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31" documentId="8_{B39DB42B-6D23-4FE3-80F8-37366B05869E}" xr6:coauthVersionLast="47" xr6:coauthVersionMax="47" xr10:uidLastSave="{D1E1C87B-0D0A-4B86-A218-3A5FB02661D0}"/>
  <bookViews>
    <workbookView xWindow="-120" yWindow="-120" windowWidth="29040" windowHeight="17640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10 (2)_...6e684f08_1FLCNJG" sheetId="24" state="hidden" r:id="rId19"/>
    <sheet name="OSR_308_UAWDAG" sheetId="26" state="hidden" r:id="rId20"/>
    <sheet name="OSR_330 (2)_...8a14c83e_1NSH7XI" sheetId="27" state="hidden" r:id="rId21"/>
    <sheet name="OSR_331_10VKQAJ" sheetId="29" state="hidden" r:id="rId22"/>
    <sheet name="OSR_308 (2)_...47685838_1YQW4QY" sheetId="30" state="hidden" r:id="rId23"/>
    <sheet name="OSR_332_6NDVBW" sheetId="32" state="hidden" r:id="rId24"/>
    <sheet name="OSR_331 (2)_...7280af70_1P5SPLT" sheetId="33" state="hidden" r:id="rId25"/>
    <sheet name="OSR_333_69UF5U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6" r:id="rId53"/>
    <sheet name="324" sheetId="75" r:id="rId54"/>
    <sheet name="333" sheetId="34" r:id="rId55"/>
    <sheet name="307" sheetId="64" r:id="rId56"/>
    <sheet name="331" sheetId="28" r:id="rId57"/>
    <sheet name="315" sheetId="69" r:id="rId58"/>
    <sheet name="326" sheetId="77" r:id="rId59"/>
    <sheet name="332" sheetId="31" r:id="rId60"/>
    <sheet name="316" sheetId="70" r:id="rId61"/>
    <sheet name="Div 6" sheetId="51" r:id="rId62"/>
    <sheet name="317" sheetId="71" r:id="rId63"/>
    <sheet name="320" sheetId="72" r:id="rId64"/>
    <sheet name="310" sheetId="21" r:id="rId65"/>
    <sheet name="309" sheetId="65" r:id="rId66"/>
    <sheet name="313" sheetId="67" r:id="rId67"/>
    <sheet name="321" sheetId="73" r:id="rId68"/>
    <sheet name="322" sheetId="74" r:id="rId69"/>
    <sheet name="325" sheetId="76" r:id="rId70"/>
    <sheet name="327" sheetId="78" r:id="rId71"/>
    <sheet name="Div 4" sheetId="36" r:id="rId72"/>
    <sheet name="310 &amp; 491" sheetId="39" r:id="rId73"/>
    <sheet name="491" sheetId="42" r:id="rId74"/>
    <sheet name="405" sheetId="79" r:id="rId75"/>
    <sheet name="406" sheetId="80" r:id="rId76"/>
    <sheet name="411" sheetId="81" r:id="rId77"/>
    <sheet name="412" sheetId="82" r:id="rId78"/>
    <sheet name="413" sheetId="83" r:id="rId79"/>
    <sheet name="414" sheetId="84" r:id="rId80"/>
    <sheet name="415" sheetId="85" r:id="rId81"/>
    <sheet name="418" sheetId="86" r:id="rId82"/>
    <sheet name="420" sheetId="87" r:id="rId83"/>
    <sheet name="423" sheetId="88" r:id="rId84"/>
    <sheet name="424" sheetId="89" r:id="rId85"/>
    <sheet name="425" sheetId="90" r:id="rId86"/>
    <sheet name="455" sheetId="96" r:id="rId87"/>
    <sheet name="492" sheetId="45" r:id="rId88"/>
    <sheet name="430" sheetId="91" r:id="rId89"/>
    <sheet name="433" sheetId="92" r:id="rId90"/>
    <sheet name="435" sheetId="93" r:id="rId91"/>
    <sheet name="444" sheetId="94" r:id="rId92"/>
    <sheet name="450" sheetId="95" r:id="rId93"/>
    <sheet name="Div 5" sheetId="48" r:id="rId94"/>
    <sheet name="501" sheetId="97" r:id="rId95"/>
    <sheet name="Dept" sheetId="98" state="hidden" r:id="rId96"/>
    <sheet name="OSR_Dept_Y0WUKY" sheetId="99" state="hidden" r:id="rId97"/>
    <sheet name="OSR_Summary (...56e5d78f_5JEYZH" sheetId="100" state="hidden" r:id="rId98"/>
  </sheets>
  <definedNames>
    <definedName name="OSRRefD13x_0" localSheetId="48">'300'!$D$13:$D$81</definedName>
    <definedName name="OSRRefD13x_0" localSheetId="49">'300 &amp; 317'!$D$13:$D$96</definedName>
    <definedName name="OSRRefD13x_0" localSheetId="55">'307'!$D$13:$D$25</definedName>
    <definedName name="OSRRefD13x_0" localSheetId="51">'308'!$D$13:$D$38</definedName>
    <definedName name="OSRRefD13x_0" localSheetId="65">'309'!$D$13:$D$16</definedName>
    <definedName name="OSRRefD13x_0" localSheetId="64">'310'!$D$13:$D$23</definedName>
    <definedName name="OSRRefD13x_0" localSheetId="72">'310 &amp; 491'!$D$13:$D$26</definedName>
    <definedName name="OSRRefD13x_0" localSheetId="52">'311'!$D$13:$D$38</definedName>
    <definedName name="OSRRefD13x_0" localSheetId="66">'313'!$D$13:$D$16</definedName>
    <definedName name="OSRRefD13x_0" localSheetId="57">'315'!$D$13:$D$55</definedName>
    <definedName name="OSRRefD13x_0" localSheetId="60">'316'!$D$13:$D$25</definedName>
    <definedName name="OSRRefD13x_0" localSheetId="62">'317'!$D$13:$D$34</definedName>
    <definedName name="OSRRefD13x_0" localSheetId="67">'321'!$D$13:$D$16</definedName>
    <definedName name="OSRRefD13x_0" localSheetId="53">'324'!$D$13:$D$16</definedName>
    <definedName name="OSRRefD13x_0" localSheetId="69">'325'!$D$13:$D$14</definedName>
    <definedName name="OSRRefD13x_0" localSheetId="58">'326'!$D$13:$D$36</definedName>
    <definedName name="OSRRefD13x_0" localSheetId="70">'327'!$D$13:$D$14</definedName>
    <definedName name="OSRRefD13x_0" localSheetId="56">'331'!$D$13:$D$55</definedName>
    <definedName name="OSRRefD13x_0" localSheetId="59">'332'!$D$13:$D$25</definedName>
    <definedName name="OSRRefD13x_0" localSheetId="54">'333'!$D$13:$D$57</definedName>
    <definedName name="OSRRefD13x_0" localSheetId="74">'405'!$D$13:$D$14</definedName>
    <definedName name="OSRRefD13x_0" localSheetId="79">'414'!$D$13</definedName>
    <definedName name="OSRRefD13x_0" localSheetId="80">'415'!$D$13:$D$14</definedName>
    <definedName name="OSRRefD13x_0" localSheetId="82">'420'!$D$13:$D$14</definedName>
    <definedName name="OSRRefD13x_0" localSheetId="85">'425'!$D$13</definedName>
    <definedName name="OSRRefD13x_0" localSheetId="89">'433'!$D$13:$D$15</definedName>
    <definedName name="OSRRefD13x_0" localSheetId="90">'435'!$D$13:$D$14</definedName>
    <definedName name="OSRRefD13x_0" localSheetId="91">'444'!$D$13:$D$15</definedName>
    <definedName name="OSRRefD13x_0" localSheetId="92">'450'!$D$13:$D$15</definedName>
    <definedName name="OSRRefD13x_0" localSheetId="73">'491'!$D$13:$D$18</definedName>
    <definedName name="OSRRefD13x_0" localSheetId="87">'492'!$D$13:$D$17</definedName>
    <definedName name="OSRRefD13x_0" localSheetId="94">'501'!$D$13</definedName>
    <definedName name="OSRRefD13x_0" localSheetId="47">'Div 3'!$D$13:$D$86</definedName>
    <definedName name="OSRRefD13x_0" localSheetId="71">'Div 4'!$D$13:$D$21</definedName>
    <definedName name="OSRRefD13x_0" localSheetId="93">'Div 5'!$D$13</definedName>
    <definedName name="OSRRefD13x_0" localSheetId="61">'Div 6'!$D$13:$D$34</definedName>
    <definedName name="OSRRefD13x_0" localSheetId="2">Summary!$D$13:$D$106</definedName>
    <definedName name="OSRRefD16x_0" localSheetId="48">'300'!$D$84:$D$124</definedName>
    <definedName name="OSRRefD16x_0" localSheetId="49">'300 &amp; 317'!$D$99:$D$148</definedName>
    <definedName name="OSRRefD16x_0" localSheetId="50">'301'!$D$15:$D$16</definedName>
    <definedName name="OSRRefD16x_0" localSheetId="55">'307'!$D$28:$D$37</definedName>
    <definedName name="OSRRefD16x_0" localSheetId="51">'308'!$D$41:$D$57</definedName>
    <definedName name="OSRRefD16x_0" localSheetId="65">'309'!$D$19:$D$20</definedName>
    <definedName name="OSRRefD16x_0" localSheetId="64">'310'!$D$26:$D$28</definedName>
    <definedName name="OSRRefD16x_0" localSheetId="72">'310 &amp; 491'!$D$29:$D$31</definedName>
    <definedName name="OSRRefD16x_0" localSheetId="52">'311'!$D$41:$D$57</definedName>
    <definedName name="OSRRefD16x_0" localSheetId="66">'313'!$D$19</definedName>
    <definedName name="OSRRefD16x_0" localSheetId="57">'315'!$D$58:$D$82</definedName>
    <definedName name="OSRRefD16x_0" localSheetId="60">'316'!$D$28</definedName>
    <definedName name="OSRRefD16x_0" localSheetId="62">'317'!$D$37:$D$50</definedName>
    <definedName name="OSRRefD16x_0" localSheetId="63">'320'!$D$15:$D$16</definedName>
    <definedName name="OSRRefD16x_0" localSheetId="67">'321'!$D$19:$D$21</definedName>
    <definedName name="OSRRefD16x_0" localSheetId="68">'322'!$D$15</definedName>
    <definedName name="OSRRefD16x_0" localSheetId="53">'324'!$D$19:$D$21</definedName>
    <definedName name="OSRRefD16x_0" localSheetId="69">'325'!$D$17:$D$18</definedName>
    <definedName name="OSRRefD16x_0" localSheetId="58">'326'!$D$39:$D$47</definedName>
    <definedName name="OSRRefD16x_0" localSheetId="70">'327'!$D$17:$D$18</definedName>
    <definedName name="OSRRefD16x_0" localSheetId="56">'331'!$D$58:$D$83</definedName>
    <definedName name="OSRRefD16x_0" localSheetId="59">'332'!$D$28:$D$30</definedName>
    <definedName name="OSRRefD16x_0" localSheetId="54">'333'!$D$60:$D$85</definedName>
    <definedName name="OSRRefD16x_0" localSheetId="74">'405'!$D$17:$D$18</definedName>
    <definedName name="OSRRefD16x_0" localSheetId="79">'414'!$D$16</definedName>
    <definedName name="OSRRefD16x_0" localSheetId="80">'415'!$D$17:$D$18</definedName>
    <definedName name="OSRRefD16x_0" localSheetId="81">'418'!$D$15</definedName>
    <definedName name="OSRRefD16x_0" localSheetId="85">'425'!$D$16</definedName>
    <definedName name="OSRRefD16x_0" localSheetId="89">'433'!$D$18:$D$19</definedName>
    <definedName name="OSRRefD16x_0" localSheetId="90">'435'!$D$17</definedName>
    <definedName name="OSRRefD16x_0" localSheetId="91">'444'!$D$18:$D$19</definedName>
    <definedName name="OSRRefD16x_0" localSheetId="92">'450'!$D$18:$D$19</definedName>
    <definedName name="OSRRefD16x_0" localSheetId="73">'491'!$D$21:$D$22</definedName>
    <definedName name="OSRRefD16x_0" localSheetId="87">'492'!$D$20:$D$21</definedName>
    <definedName name="OSRRefD16x_0" localSheetId="47">'Div 3'!$D$89:$D$131</definedName>
    <definedName name="OSRRefD16x_0" localSheetId="71">'Div 4'!$D$24:$D$25</definedName>
    <definedName name="OSRRefD16x_0" localSheetId="61">'Div 6'!$D$37:$D$50</definedName>
    <definedName name="OSRRefD16x_0" localSheetId="2">Summary!$D$109:$D$160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'300'!$D$130:$D$139</definedName>
    <definedName name="OSRRefD22_0x_0" localSheetId="49">'300 &amp; 317'!$D$154:$D$163</definedName>
    <definedName name="OSRRefD22_0x_0" localSheetId="50">'301'!$D$22:$D$31</definedName>
    <definedName name="OSRRefD22_0x_0" localSheetId="55">'307'!$D$43:$D$49</definedName>
    <definedName name="OSRRefD22_0x_0" localSheetId="51">'308'!$D$63:$D$71</definedName>
    <definedName name="OSRRefD22_0x_0" localSheetId="65">'309'!$D$26:$D$27</definedName>
    <definedName name="OSRRefD22_0x_0" localSheetId="64">'310'!$D$34:$D$42</definedName>
    <definedName name="OSRRefD22_0x_0" localSheetId="72">'310 &amp; 491'!$D$37:$D$45</definedName>
    <definedName name="OSRRefD22_0x_0" localSheetId="52">'311'!$D$63:$D$71</definedName>
    <definedName name="OSRRefD22_0x_0" localSheetId="66">'313'!$D$25:$D$32</definedName>
    <definedName name="OSRRefD22_0x_0" localSheetId="57">'315'!$D$88:$D$95</definedName>
    <definedName name="OSRRefD22_0x_0" localSheetId="60">'316'!$D$34:$D$41</definedName>
    <definedName name="OSRRefD22_0x_0" localSheetId="62">'317'!$D$56:$D$64</definedName>
    <definedName name="OSRRefD22_0x_0" localSheetId="63">'320'!$D$22:$D$23</definedName>
    <definedName name="OSRRefD22_0x_0" localSheetId="67">'321'!$D$27:$D$35</definedName>
    <definedName name="OSRRefD22_0x_0" localSheetId="68">'322'!$D$21:$D$25</definedName>
    <definedName name="OSRRefD22_0x_0" localSheetId="69">'325'!$D$24:$D$31</definedName>
    <definedName name="OSRRefD22_0x_0" localSheetId="58">'326'!$D$53:$D$60</definedName>
    <definedName name="OSRRefD22_0x_0" localSheetId="70">'327'!$D$24</definedName>
    <definedName name="OSRRefD22_0x_0" localSheetId="56">'331'!$D$89:$D$96</definedName>
    <definedName name="OSRRefD22_0x_0" localSheetId="59">'332'!$D$36:$D$43</definedName>
    <definedName name="OSRRefD22_0x_0" localSheetId="54">'333'!$D$91:$D$98</definedName>
    <definedName name="OSRRefD22_0x_0" localSheetId="74">'405'!$D$24:$D$31</definedName>
    <definedName name="OSRRefD22_0x_0" localSheetId="75">'406'!$D$20</definedName>
    <definedName name="OSRRefD22_0x_0" localSheetId="76">'411'!$D$20:$D$27</definedName>
    <definedName name="OSRRefD22_0x_0" localSheetId="77">'412'!$D$20</definedName>
    <definedName name="OSRRefD22_0x_0" localSheetId="78">'413'!$D$20:$D$24</definedName>
    <definedName name="OSRRefD22_0x_0" localSheetId="79">'414'!$D$22</definedName>
    <definedName name="OSRRefD22_0x_0" localSheetId="80">'415'!$D$24:$D$32</definedName>
    <definedName name="OSRRefD22_0x_0" localSheetId="81">'418'!$D$21:$D$28</definedName>
    <definedName name="OSRRefD22_0x_0" localSheetId="82">'420'!$D$22</definedName>
    <definedName name="OSRRefD22_0x_0" localSheetId="83">'423'!$D$20:$D$21</definedName>
    <definedName name="OSRRefD22_0x_0" localSheetId="84">'424'!$D$20</definedName>
    <definedName name="OSRRefD22_0x_0" localSheetId="85">'425'!$D$22:$D$26</definedName>
    <definedName name="OSRRefD22_0x_0" localSheetId="88">'430'!$D$20:$D$27</definedName>
    <definedName name="OSRRefD22_0x_0" localSheetId="89">'433'!$D$25:$D$33</definedName>
    <definedName name="OSRRefD22_0x_0" localSheetId="90">'435'!$D$23:$D$24</definedName>
    <definedName name="OSRRefD22_0x_0" localSheetId="91">'444'!$D$25:$D$33</definedName>
    <definedName name="OSRRefD22_0x_0" localSheetId="92">'450'!$D$25:$D$33</definedName>
    <definedName name="OSRRefD22_0x_0" localSheetId="73">'491'!$D$28:$D$36</definedName>
    <definedName name="OSRRefD22_0x_0" localSheetId="87">'492'!$D$27:$D$35</definedName>
    <definedName name="OSRRefD22_0x_0" localSheetId="94">'501'!$D$21:$D$29</definedName>
    <definedName name="OSRRefD22_0x_0" localSheetId="39">'Div 2'!$D$20:$D$30</definedName>
    <definedName name="OSRRefD22_0x_0" localSheetId="47">'Div 3'!$D$137:$D$146</definedName>
    <definedName name="OSRRefD22_0x_0" localSheetId="71">'Div 4'!$D$31:$D$39</definedName>
    <definedName name="OSRRefD22_0x_0" localSheetId="93">'Div 5'!$D$21:$D$29</definedName>
    <definedName name="OSRRefD22_0x_0" localSheetId="61">'Div 6'!$D$56:$D$64</definedName>
    <definedName name="OSRRefD22_0x_0" localSheetId="2">Summary!$D$166:$D$175</definedName>
    <definedName name="OSRRefD22_10x_0" localSheetId="41">'201'!$D$52:$D$54</definedName>
    <definedName name="OSRRefD22_10x_0" localSheetId="42">'202'!$D$54</definedName>
    <definedName name="OSRRefD22_10x_0" localSheetId="43">'203'!$D$56:$D$59</definedName>
    <definedName name="OSRRefD22_10x_0" localSheetId="48">'300'!$D$168:$D$169</definedName>
    <definedName name="OSRRefD22_10x_0" localSheetId="49">'300 &amp; 317'!$D$192:$D$193</definedName>
    <definedName name="OSRRefD22_10x_0" localSheetId="50">'301'!$D$60</definedName>
    <definedName name="OSRRefD22_10x_0" localSheetId="55">'307'!$D$75</definedName>
    <definedName name="OSRRefD22_10x_0" localSheetId="51">'308'!$D$101:$D$102</definedName>
    <definedName name="OSRRefD22_10x_0" localSheetId="65">'309'!$D$50:$D$51</definedName>
    <definedName name="OSRRefD22_10x_0" localSheetId="64">'310'!$D$68</definedName>
    <definedName name="OSRRefD22_10x_0" localSheetId="72">'310 &amp; 491'!$D$73</definedName>
    <definedName name="OSRRefD22_10x_0" localSheetId="52">'311'!$D$101:$D$102</definedName>
    <definedName name="OSRRefD22_10x_0" localSheetId="57">'315'!$D$123:$D$124</definedName>
    <definedName name="OSRRefD22_10x_0" localSheetId="60">'316'!$D$67</definedName>
    <definedName name="OSRRefD22_10x_0" localSheetId="62">'317'!$D$89:$D$92</definedName>
    <definedName name="OSRRefD22_10x_0" localSheetId="67">'321'!$D$63:$D$67</definedName>
    <definedName name="OSRRefD22_10x_0" localSheetId="69">'325'!$D$54</definedName>
    <definedName name="OSRRefD22_10x_0" localSheetId="58">'326'!$D$85</definedName>
    <definedName name="OSRRefD22_10x_0" localSheetId="56">'331'!$D$123</definedName>
    <definedName name="OSRRefD22_10x_0" localSheetId="59">'332'!$D$69</definedName>
    <definedName name="OSRRefD22_10x_0" localSheetId="54">'333'!$D$125</definedName>
    <definedName name="OSRRefD22_10x_0" localSheetId="74">'405'!$D$55:$D$56</definedName>
    <definedName name="OSRRefD22_10x_0" localSheetId="76">'411'!$D$52</definedName>
    <definedName name="OSRRefD22_10x_0" localSheetId="80">'415'!$D$57</definedName>
    <definedName name="OSRRefD22_10x_0" localSheetId="81">'418'!$D$53</definedName>
    <definedName name="OSRRefD22_10x_0" localSheetId="89">'433'!$D$58</definedName>
    <definedName name="OSRRefD22_10x_0" localSheetId="91">'444'!$D$58</definedName>
    <definedName name="OSRRefD22_10x_0" localSheetId="92">'450'!$D$57</definedName>
    <definedName name="OSRRefD22_10x_0" localSheetId="73">'491'!$D$62</definedName>
    <definedName name="OSRRefD22_10x_0" localSheetId="87">'492'!$D$61</definedName>
    <definedName name="OSRRefD22_10x_0" localSheetId="94">'501'!$D$59</definedName>
    <definedName name="OSRRefD22_10x_0" localSheetId="39">'Div 2'!$D$56</definedName>
    <definedName name="OSRRefD22_10x_0" localSheetId="47">'Div 3'!$D$175:$D$176</definedName>
    <definedName name="OSRRefD22_10x_0" localSheetId="71">'Div 4'!$D$66</definedName>
    <definedName name="OSRRefD22_10x_0" localSheetId="93">'Div 5'!$D$59</definedName>
    <definedName name="OSRRefD22_10x_0" localSheetId="61">'Div 6'!$D$89:$D$92</definedName>
    <definedName name="OSRRefD22_10x_0" localSheetId="2">Summary!$D$204:$D$205</definedName>
    <definedName name="OSRRefD22_11x_0" localSheetId="41">'201'!$D$56</definedName>
    <definedName name="OSRRefD22_11x_0" localSheetId="42">'202'!$D$56</definedName>
    <definedName name="OSRRefD22_11x_0" localSheetId="43">'203'!$D$61</definedName>
    <definedName name="OSRRefD22_11x_0" localSheetId="48">'300'!$D$171</definedName>
    <definedName name="OSRRefD22_11x_0" localSheetId="49">'300 &amp; 317'!$D$195</definedName>
    <definedName name="OSRRefD22_11x_0" localSheetId="50">'301'!$D$62</definedName>
    <definedName name="OSRRefD22_11x_0" localSheetId="55">'307'!$D$77:$D$80</definedName>
    <definedName name="OSRRefD22_11x_0" localSheetId="51">'308'!$D$104:$D$105</definedName>
    <definedName name="OSRRefD22_11x_0" localSheetId="65">'309'!$D$53</definedName>
    <definedName name="OSRRefD22_11x_0" localSheetId="64">'310'!$D$70</definedName>
    <definedName name="OSRRefD22_11x_0" localSheetId="72">'310 &amp; 491'!$D$75</definedName>
    <definedName name="OSRRefD22_11x_0" localSheetId="52">'311'!$D$104:$D$105</definedName>
    <definedName name="OSRRefD22_11x_0" localSheetId="57">'315'!$D$126:$D$127</definedName>
    <definedName name="OSRRefD22_11x_0" localSheetId="60">'316'!$D$69:$D$74</definedName>
    <definedName name="OSRRefD22_11x_0" localSheetId="62">'317'!$D$94</definedName>
    <definedName name="OSRRefD22_11x_0" localSheetId="67">'321'!$D$69</definedName>
    <definedName name="OSRRefD22_11x_0" localSheetId="69">'325'!$D$56:$D$57</definedName>
    <definedName name="OSRRefD22_11x_0" localSheetId="58">'326'!$D$87:$D$89</definedName>
    <definedName name="OSRRefD22_11x_0" localSheetId="56">'331'!$D$125:$D$126</definedName>
    <definedName name="OSRRefD22_11x_0" localSheetId="59">'332'!$D$71:$D$76</definedName>
    <definedName name="OSRRefD22_11x_0" localSheetId="54">'333'!$D$127:$D$128</definedName>
    <definedName name="OSRRefD22_11x_0" localSheetId="74">'405'!$D$58:$D$61</definedName>
    <definedName name="OSRRefD22_11x_0" localSheetId="76">'411'!$D$54:$D$57</definedName>
    <definedName name="OSRRefD22_11x_0" localSheetId="80">'415'!$D$59:$D$60</definedName>
    <definedName name="OSRRefD22_11x_0" localSheetId="81">'418'!$D$55:$D$61</definedName>
    <definedName name="OSRRefD22_11x_0" localSheetId="89">'433'!$D$60:$D$61</definedName>
    <definedName name="OSRRefD22_11x_0" localSheetId="91">'444'!$D$60:$D$61</definedName>
    <definedName name="OSRRefD22_11x_0" localSheetId="92">'450'!$D$59</definedName>
    <definedName name="OSRRefD22_11x_0" localSheetId="73">'491'!$D$64</definedName>
    <definedName name="OSRRefD22_11x_0" localSheetId="87">'492'!$D$63</definedName>
    <definedName name="OSRRefD22_11x_0" localSheetId="94">'501'!$D$61</definedName>
    <definedName name="OSRRefD22_11x_0" localSheetId="39">'Div 2'!$D$58</definedName>
    <definedName name="OSRRefD22_11x_0" localSheetId="47">'Div 3'!$D$178</definedName>
    <definedName name="OSRRefD22_11x_0" localSheetId="71">'Div 4'!$D$68</definedName>
    <definedName name="OSRRefD22_11x_0" localSheetId="93">'Div 5'!$D$61</definedName>
    <definedName name="OSRRefD22_11x_0" localSheetId="61">'Div 6'!$D$94</definedName>
    <definedName name="OSRRefD22_11x_0" localSheetId="2">Summary!$D$207</definedName>
    <definedName name="OSRRefD22_12x_0" localSheetId="41">'201'!$D$58:$D$59</definedName>
    <definedName name="OSRRefD22_12x_0" localSheetId="42">'202'!$D$58</definedName>
    <definedName name="OSRRefD22_12x_0" localSheetId="43">'203'!$D$63</definedName>
    <definedName name="OSRRefD22_12x_0" localSheetId="48">'300'!$D$173</definedName>
    <definedName name="OSRRefD22_12x_0" localSheetId="49">'300 &amp; 317'!$D$197</definedName>
    <definedName name="OSRRefD22_12x_0" localSheetId="50">'301'!$D$64</definedName>
    <definedName name="OSRRefD22_12x_0" localSheetId="55">'307'!$D$82</definedName>
    <definedName name="OSRRefD22_12x_0" localSheetId="51">'308'!$D$107:$D$108</definedName>
    <definedName name="OSRRefD22_12x_0" localSheetId="65">'309'!$D$55</definedName>
    <definedName name="OSRRefD22_12x_0" localSheetId="64">'310'!$D$72:$D$73</definedName>
    <definedName name="OSRRefD22_12x_0" localSheetId="72">'310 &amp; 491'!$D$77</definedName>
    <definedName name="OSRRefD22_12x_0" localSheetId="52">'311'!$D$107:$D$108</definedName>
    <definedName name="OSRRefD22_12x_0" localSheetId="57">'315'!$D$129:$D$130</definedName>
    <definedName name="OSRRefD22_12x_0" localSheetId="60">'316'!$D$76</definedName>
    <definedName name="OSRRefD22_12x_0" localSheetId="62">'317'!$D$96</definedName>
    <definedName name="OSRRefD22_12x_0" localSheetId="67">'321'!$D$71</definedName>
    <definedName name="OSRRefD22_12x_0" localSheetId="69">'325'!$D$59:$D$62</definedName>
    <definedName name="OSRRefD22_12x_0" localSheetId="58">'326'!$D$91:$D$93</definedName>
    <definedName name="OSRRefD22_12x_0" localSheetId="56">'331'!$D$128</definedName>
    <definedName name="OSRRefD22_12x_0" localSheetId="59">'332'!$D$78</definedName>
    <definedName name="OSRRefD22_12x_0" localSheetId="54">'333'!$D$130</definedName>
    <definedName name="OSRRefD22_12x_0" localSheetId="74">'405'!$D$63</definedName>
    <definedName name="OSRRefD22_12x_0" localSheetId="76">'411'!$D$59:$D$61</definedName>
    <definedName name="OSRRefD22_12x_0" localSheetId="80">'415'!$D$62:$D$65</definedName>
    <definedName name="OSRRefD22_12x_0" localSheetId="81">'418'!$D$63</definedName>
    <definedName name="OSRRefD22_12x_0" localSheetId="89">'433'!$D$63:$D$65</definedName>
    <definedName name="OSRRefD22_12x_0" localSheetId="91">'444'!$D$63:$D$66</definedName>
    <definedName name="OSRRefD22_12x_0" localSheetId="92">'450'!$D$61:$D$62</definedName>
    <definedName name="OSRRefD22_12x_0" localSheetId="73">'491'!$D$66</definedName>
    <definedName name="OSRRefD22_12x_0" localSheetId="87">'492'!$D$65:$D$67</definedName>
    <definedName name="OSRRefD22_12x_0" localSheetId="39">'Div 2'!$D$60:$D$62</definedName>
    <definedName name="OSRRefD22_12x_0" localSheetId="47">'Div 3'!$D$180</definedName>
    <definedName name="OSRRefD22_12x_0" localSheetId="71">'Div 4'!$D$70</definedName>
    <definedName name="OSRRefD22_12x_0" localSheetId="61">'Div 6'!$D$96</definedName>
    <definedName name="OSRRefD22_12x_0" localSheetId="2">Summary!$D$209</definedName>
    <definedName name="OSRRefD22_13x_0" localSheetId="41">'201'!$D$61</definedName>
    <definedName name="OSRRefD22_13x_0" localSheetId="43">'203'!$D$65</definedName>
    <definedName name="OSRRefD22_13x_0" localSheetId="48">'300'!$D$175:$D$176</definedName>
    <definedName name="OSRRefD22_13x_0" localSheetId="49">'300 &amp; 317'!$D$199:$D$200</definedName>
    <definedName name="OSRRefD22_13x_0" localSheetId="50">'301'!$D$66</definedName>
    <definedName name="OSRRefD22_13x_0" localSheetId="55">'307'!$D$84</definedName>
    <definedName name="OSRRefD22_13x_0" localSheetId="51">'308'!$D$110</definedName>
    <definedName name="OSRRefD22_13x_0" localSheetId="64">'310'!$D$75</definedName>
    <definedName name="OSRRefD22_13x_0" localSheetId="72">'310 &amp; 491'!$D$79</definedName>
    <definedName name="OSRRefD22_13x_0" localSheetId="52">'311'!$D$110</definedName>
    <definedName name="OSRRefD22_13x_0" localSheetId="57">'315'!$D$132:$D$136</definedName>
    <definedName name="OSRRefD22_13x_0" localSheetId="60">'316'!$D$78</definedName>
    <definedName name="OSRRefD22_13x_0" localSheetId="67">'321'!$D$73</definedName>
    <definedName name="OSRRefD22_13x_0" localSheetId="69">'325'!$D$64:$D$69</definedName>
    <definedName name="OSRRefD22_13x_0" localSheetId="58">'326'!$D$95:$D$96</definedName>
    <definedName name="OSRRefD22_13x_0" localSheetId="56">'331'!$D$130</definedName>
    <definedName name="OSRRefD22_13x_0" localSheetId="59">'332'!$D$80</definedName>
    <definedName name="OSRRefD22_13x_0" localSheetId="54">'333'!$D$132</definedName>
    <definedName name="OSRRefD22_13x_0" localSheetId="74">'405'!$D$65:$D$73</definedName>
    <definedName name="OSRRefD22_13x_0" localSheetId="76">'411'!$D$63</definedName>
    <definedName name="OSRRefD22_13x_0" localSheetId="80">'415'!$D$67</definedName>
    <definedName name="OSRRefD22_13x_0" localSheetId="81">'418'!$D$65</definedName>
    <definedName name="OSRRefD22_13x_0" localSheetId="89">'433'!$D$67:$D$74</definedName>
    <definedName name="OSRRefD22_13x_0" localSheetId="91">'444'!$D$68</definedName>
    <definedName name="OSRRefD22_13x_0" localSheetId="92">'450'!$D$64:$D$66</definedName>
    <definedName name="OSRRefD22_13x_0" localSheetId="73">'491'!$D$68</definedName>
    <definedName name="OSRRefD22_13x_0" localSheetId="87">'492'!$D$69:$D$72</definedName>
    <definedName name="OSRRefD22_13x_0" localSheetId="39">'Div 2'!$D$64:$D$67</definedName>
    <definedName name="OSRRefD22_13x_0" localSheetId="47">'Div 3'!$D$182</definedName>
    <definedName name="OSRRefD22_13x_0" localSheetId="71">'Div 4'!$D$72</definedName>
    <definedName name="OSRRefD22_13x_0" localSheetId="2">Summary!$D$211</definedName>
    <definedName name="OSRRefD22_14x_0" localSheetId="41">'201'!$D$63</definedName>
    <definedName name="OSRRefD22_14x_0" localSheetId="48">'300'!$D$178</definedName>
    <definedName name="OSRRefD22_14x_0" localSheetId="49">'300 &amp; 317'!$D$202</definedName>
    <definedName name="OSRRefD22_14x_0" localSheetId="50">'301'!$D$68</definedName>
    <definedName name="OSRRefD22_14x_0" localSheetId="51">'308'!$D$112</definedName>
    <definedName name="OSRRefD22_14x_0" localSheetId="64">'310'!$D$77:$D$80</definedName>
    <definedName name="OSRRefD22_14x_0" localSheetId="72">'310 &amp; 491'!$D$81:$D$84</definedName>
    <definedName name="OSRRefD22_14x_0" localSheetId="52">'311'!$D$112</definedName>
    <definedName name="OSRRefD22_14x_0" localSheetId="57">'315'!$D$138</definedName>
    <definedName name="OSRRefD22_14x_0" localSheetId="69">'325'!$D$71</definedName>
    <definedName name="OSRRefD22_14x_0" localSheetId="58">'326'!$D$98:$D$101</definedName>
    <definedName name="OSRRefD22_14x_0" localSheetId="56">'331'!$D$132:$D$134</definedName>
    <definedName name="OSRRefD22_14x_0" localSheetId="54">'333'!$D$134:$D$136</definedName>
    <definedName name="OSRRefD22_14x_0" localSheetId="74">'405'!$D$75</definedName>
    <definedName name="OSRRefD22_14x_0" localSheetId="76">'411'!$D$65:$D$67</definedName>
    <definedName name="OSRRefD22_14x_0" localSheetId="80">'415'!$D$69:$D$75</definedName>
    <definedName name="OSRRefD22_14x_0" localSheetId="89">'433'!$D$76</definedName>
    <definedName name="OSRRefD22_14x_0" localSheetId="91">'444'!$D$70:$D$77</definedName>
    <definedName name="OSRRefD22_14x_0" localSheetId="92">'450'!$D$68:$D$73</definedName>
    <definedName name="OSRRefD22_14x_0" localSheetId="73">'491'!$D$70:$D$73</definedName>
    <definedName name="OSRRefD22_14x_0" localSheetId="87">'492'!$D$74</definedName>
    <definedName name="OSRRefD22_14x_0" localSheetId="39">'Div 2'!$D$69</definedName>
    <definedName name="OSRRefD22_14x_0" localSheetId="47">'Div 3'!$D$184:$D$185</definedName>
    <definedName name="OSRRefD22_14x_0" localSheetId="71">'Div 4'!$D$74</definedName>
    <definedName name="OSRRefD22_14x_0" localSheetId="2">Summary!$D$213:$D$214</definedName>
    <definedName name="OSRRefD22_15x_0" localSheetId="48">'300'!$D$180</definedName>
    <definedName name="OSRRefD22_15x_0" localSheetId="49">'300 &amp; 317'!$D$204</definedName>
    <definedName name="OSRRefD22_15x_0" localSheetId="50">'301'!$D$70:$D$73</definedName>
    <definedName name="OSRRefD22_15x_0" localSheetId="64">'310'!$D$82:$D$87</definedName>
    <definedName name="OSRRefD22_15x_0" localSheetId="72">'310 &amp; 491'!$D$86</definedName>
    <definedName name="OSRRefD22_15x_0" localSheetId="57">'315'!$D$140</definedName>
    <definedName name="OSRRefD22_15x_0" localSheetId="69">'325'!$D$73</definedName>
    <definedName name="OSRRefD22_15x_0" localSheetId="58">'326'!$D$103</definedName>
    <definedName name="OSRRefD22_15x_0" localSheetId="56">'331'!$D$136:$D$137</definedName>
    <definedName name="OSRRefD22_15x_0" localSheetId="54">'333'!$D$138:$D$139</definedName>
    <definedName name="OSRRefD22_15x_0" localSheetId="74">'405'!$D$77</definedName>
    <definedName name="OSRRefD22_15x_0" localSheetId="76">'411'!$D$69</definedName>
    <definedName name="OSRRefD22_15x_0" localSheetId="80">'415'!$D$77</definedName>
    <definedName name="OSRRefD22_15x_0" localSheetId="89">'433'!$D$78</definedName>
    <definedName name="OSRRefD22_15x_0" localSheetId="91">'444'!$D$79</definedName>
    <definedName name="OSRRefD22_15x_0" localSheetId="92">'450'!$D$75</definedName>
    <definedName name="OSRRefD22_15x_0" localSheetId="73">'491'!$D$75</definedName>
    <definedName name="OSRRefD22_15x_0" localSheetId="87">'492'!$D$76:$D$83</definedName>
    <definedName name="OSRRefD22_15x_0" localSheetId="39">'Div 2'!$D$71:$D$72</definedName>
    <definedName name="OSRRefD22_15x_0" localSheetId="47">'Div 3'!$D$187</definedName>
    <definedName name="OSRRefD22_15x_0" localSheetId="71">'Div 4'!$D$76</definedName>
    <definedName name="OSRRefD22_15x_0" localSheetId="2">Summary!$D$216</definedName>
    <definedName name="OSRRefD22_16x_0" localSheetId="48">'300'!$D$182:$D$185</definedName>
    <definedName name="OSRRefD22_16x_0" localSheetId="49">'300 &amp; 317'!$D$206:$D$209</definedName>
    <definedName name="OSRRefD22_16x_0" localSheetId="50">'301'!$D$75:$D$77</definedName>
    <definedName name="OSRRefD22_16x_0" localSheetId="64">'310'!$D$89</definedName>
    <definedName name="OSRRefD22_16x_0" localSheetId="72">'310 &amp; 491'!$D$88:$D$91</definedName>
    <definedName name="OSRRefD22_16x_0" localSheetId="57">'315'!$D$142</definedName>
    <definedName name="OSRRefD22_16x_0" localSheetId="69">'325'!$D$75</definedName>
    <definedName name="OSRRefD22_16x_0" localSheetId="58">'326'!$D$105</definedName>
    <definedName name="OSRRefD22_16x_0" localSheetId="56">'331'!$D$139:$D$141</definedName>
    <definedName name="OSRRefD22_16x_0" localSheetId="54">'333'!$D$141:$D$144</definedName>
    <definedName name="OSRRefD22_16x_0" localSheetId="74">'405'!$D$79</definedName>
    <definedName name="OSRRefD22_16x_0" localSheetId="76">'411'!$D$71:$D$72</definedName>
    <definedName name="OSRRefD22_16x_0" localSheetId="80">'415'!$D$79</definedName>
    <definedName name="OSRRefD22_16x_0" localSheetId="91">'444'!$D$81</definedName>
    <definedName name="OSRRefD22_16x_0" localSheetId="92">'450'!$D$77</definedName>
    <definedName name="OSRRefD22_16x_0" localSheetId="73">'491'!$D$77:$D$80</definedName>
    <definedName name="OSRRefD22_16x_0" localSheetId="87">'492'!$D$85</definedName>
    <definedName name="OSRRefD22_16x_0" localSheetId="39">'Div 2'!$D$74:$D$78</definedName>
    <definedName name="OSRRefD22_16x_0" localSheetId="47">'Div 3'!$D$189</definedName>
    <definedName name="OSRRefD22_16x_0" localSheetId="71">'Div 4'!$D$78:$D$81</definedName>
    <definedName name="OSRRefD22_16x_0" localSheetId="2">Summary!$D$218</definedName>
    <definedName name="OSRRefD22_17x_0" localSheetId="48">'300'!$D$187:$D$189</definedName>
    <definedName name="OSRRefD22_17x_0" localSheetId="49">'300 &amp; 317'!$D$211:$D$213</definedName>
    <definedName name="OSRRefD22_17x_0" localSheetId="50">'301'!$D$79</definedName>
    <definedName name="OSRRefD22_17x_0" localSheetId="64">'310'!$D$91</definedName>
    <definedName name="OSRRefD22_17x_0" localSheetId="72">'310 &amp; 491'!$D$93</definedName>
    <definedName name="OSRRefD22_17x_0" localSheetId="58">'326'!$D$107</definedName>
    <definedName name="OSRRefD22_17x_0" localSheetId="56">'331'!$D$143:$D$144</definedName>
    <definedName name="OSRRefD22_17x_0" localSheetId="54">'333'!$D$146:$D$147</definedName>
    <definedName name="OSRRefD22_17x_0" localSheetId="76">'411'!$D$74</definedName>
    <definedName name="OSRRefD22_17x_0" localSheetId="80">'415'!$D$81</definedName>
    <definedName name="OSRRefD22_17x_0" localSheetId="91">'444'!$D$83</definedName>
    <definedName name="OSRRefD22_17x_0" localSheetId="92">'450'!$D$79</definedName>
    <definedName name="OSRRefD22_17x_0" localSheetId="73">'491'!$D$82</definedName>
    <definedName name="OSRRefD22_17x_0" localSheetId="87">'492'!$D$87</definedName>
    <definedName name="OSRRefD22_17x_0" localSheetId="39">'Div 2'!$D$80:$D$81</definedName>
    <definedName name="OSRRefD22_17x_0" localSheetId="47">'Div 3'!$D$191:$D$194</definedName>
    <definedName name="OSRRefD22_17x_0" localSheetId="71">'Div 4'!$D$83</definedName>
    <definedName name="OSRRefD22_17x_0" localSheetId="2">Summary!$D$220</definedName>
    <definedName name="OSRRefD22_18x_0" localSheetId="48">'300'!$D$191:$D$194</definedName>
    <definedName name="OSRRefD22_18x_0" localSheetId="49">'300 &amp; 317'!$D$215:$D$218</definedName>
    <definedName name="OSRRefD22_18x_0" localSheetId="50">'301'!$D$81:$D$86</definedName>
    <definedName name="OSRRefD22_18x_0" localSheetId="64">'310'!$D$93</definedName>
    <definedName name="OSRRefD22_18x_0" localSheetId="72">'310 &amp; 491'!$D$95:$D$103</definedName>
    <definedName name="OSRRefD22_18x_0" localSheetId="56">'331'!$D$146:$D$151</definedName>
    <definedName name="OSRRefD22_18x_0" localSheetId="54">'333'!$D$149:$D$154</definedName>
    <definedName name="OSRRefD22_18x_0" localSheetId="73">'491'!$D$84:$D$92</definedName>
    <definedName name="OSRRefD22_18x_0" localSheetId="87">'492'!$D$89:$D$91</definedName>
    <definedName name="OSRRefD22_18x_0" localSheetId="39">'Div 2'!$D$83</definedName>
    <definedName name="OSRRefD22_18x_0" localSheetId="47">'Div 3'!$D$196:$D$198</definedName>
    <definedName name="OSRRefD22_18x_0" localSheetId="71">'Div 4'!$D$85:$D$88</definedName>
    <definedName name="OSRRefD22_18x_0" localSheetId="2">Summary!$D$222:$D$225</definedName>
    <definedName name="OSRRefD22_19x_0" localSheetId="48">'300'!$D$196:$D$197</definedName>
    <definedName name="OSRRefD22_19x_0" localSheetId="49">'300 &amp; 317'!$D$220:$D$221</definedName>
    <definedName name="OSRRefD22_19x_0" localSheetId="50">'301'!$D$88</definedName>
    <definedName name="OSRRefD22_19x_0" localSheetId="72">'310 &amp; 491'!$D$105</definedName>
    <definedName name="OSRRefD22_19x_0" localSheetId="56">'331'!$D$153</definedName>
    <definedName name="OSRRefD22_19x_0" localSheetId="54">'333'!$D$156</definedName>
    <definedName name="OSRRefD22_19x_0" localSheetId="73">'491'!$D$94</definedName>
    <definedName name="OSRRefD22_19x_0" localSheetId="39">'Div 2'!$D$85:$D$86</definedName>
    <definedName name="OSRRefD22_19x_0" localSheetId="47">'Div 3'!$D$200:$D$204</definedName>
    <definedName name="OSRRefD22_19x_0" localSheetId="71">'Div 4'!$D$90:$D$91</definedName>
    <definedName name="OSRRefD22_19x_0" localSheetId="2">Summary!$D$227:$D$229</definedName>
    <definedName name="OSRRefD22_1x_0" localSheetId="40">'200'!$D$22</definedName>
    <definedName name="OSRRefD22_1x_0" localSheetId="41">'201'!$D$29:$D$32</definedName>
    <definedName name="OSRRefD22_1x_0" localSheetId="42">'202'!$D$29:$D$31</definedName>
    <definedName name="OSRRefD22_1x_0" localSheetId="43">'203'!$D$31:$D$35</definedName>
    <definedName name="OSRRefD22_1x_0" localSheetId="44">'204'!$D$30:$D$32</definedName>
    <definedName name="OSRRefD22_1x_0" localSheetId="45">'205'!$D$29</definedName>
    <definedName name="OSRRefD22_1x_0" localSheetId="46">'206'!$D$29:$D$32</definedName>
    <definedName name="OSRRefD22_1x_0" localSheetId="48">'300'!$D$141:$D$147</definedName>
    <definedName name="OSRRefD22_1x_0" localSheetId="49">'300 &amp; 317'!$D$165:$D$171</definedName>
    <definedName name="OSRRefD22_1x_0" localSheetId="50">'301'!$D$33:$D$39</definedName>
    <definedName name="OSRRefD22_1x_0" localSheetId="55">'307'!$D$51:$D$54</definedName>
    <definedName name="OSRRefD22_1x_0" localSheetId="51">'308'!$D$73:$D$79</definedName>
    <definedName name="OSRRefD22_1x_0" localSheetId="65">'309'!$D$29:$D$30</definedName>
    <definedName name="OSRRefD22_1x_0" localSheetId="64">'310'!$D$44:$D$49</definedName>
    <definedName name="OSRRefD22_1x_0" localSheetId="72">'310 &amp; 491'!$D$47:$D$53</definedName>
    <definedName name="OSRRefD22_1x_0" localSheetId="52">'311'!$D$73:$D$79</definedName>
    <definedName name="OSRRefD22_1x_0" localSheetId="66">'313'!$D$34</definedName>
    <definedName name="OSRRefD22_1x_0" localSheetId="57">'315'!$D$97:$D$102</definedName>
    <definedName name="OSRRefD22_1x_0" localSheetId="60">'316'!$D$43:$D$46</definedName>
    <definedName name="OSRRefD22_1x_0" localSheetId="62">'317'!$D$66:$D$70</definedName>
    <definedName name="OSRRefD22_1x_0" localSheetId="63">'320'!$D$25</definedName>
    <definedName name="OSRRefD22_1x_0" localSheetId="67">'321'!$D$37:$D$42</definedName>
    <definedName name="OSRRefD22_1x_0" localSheetId="68">'322'!$D$27</definedName>
    <definedName name="OSRRefD22_1x_0" localSheetId="69">'325'!$D$33:$D$35</definedName>
    <definedName name="OSRRefD22_1x_0" localSheetId="58">'326'!$D$62:$D$67</definedName>
    <definedName name="OSRRefD22_1x_0" localSheetId="70">'327'!$D$26</definedName>
    <definedName name="OSRRefD22_1x_0" localSheetId="56">'331'!$D$98:$D$103</definedName>
    <definedName name="OSRRefD22_1x_0" localSheetId="59">'332'!$D$45:$D$48</definedName>
    <definedName name="OSRRefD22_1x_0" localSheetId="54">'333'!$D$100:$D$105</definedName>
    <definedName name="OSRRefD22_1x_0" localSheetId="74">'405'!$D$33:$D$36</definedName>
    <definedName name="OSRRefD22_1x_0" localSheetId="75">'406'!$D$22</definedName>
    <definedName name="OSRRefD22_1x_0" localSheetId="76">'411'!$D$29:$D$33</definedName>
    <definedName name="OSRRefD22_1x_0" localSheetId="77">'412'!$D$22</definedName>
    <definedName name="OSRRefD22_1x_0" localSheetId="78">'413'!$D$26</definedName>
    <definedName name="OSRRefD22_1x_0" localSheetId="79">'414'!$D$24</definedName>
    <definedName name="OSRRefD22_1x_0" localSheetId="80">'415'!$D$34:$D$38</definedName>
    <definedName name="OSRRefD22_1x_0" localSheetId="81">'418'!$D$30:$D$33</definedName>
    <definedName name="OSRRefD22_1x_0" localSheetId="82">'420'!$D$24</definedName>
    <definedName name="OSRRefD22_1x_0" localSheetId="83">'423'!$D$23</definedName>
    <definedName name="OSRRefD22_1x_0" localSheetId="84">'424'!$D$22</definedName>
    <definedName name="OSRRefD22_1x_0" localSheetId="85">'425'!$D$28</definedName>
    <definedName name="OSRRefD22_1x_0" localSheetId="88">'430'!$D$29</definedName>
    <definedName name="OSRRefD22_1x_0" localSheetId="89">'433'!$D$35:$D$40</definedName>
    <definedName name="OSRRefD22_1x_0" localSheetId="90">'435'!$D$26</definedName>
    <definedName name="OSRRefD22_1x_0" localSheetId="91">'444'!$D$35:$D$40</definedName>
    <definedName name="OSRRefD22_1x_0" localSheetId="92">'450'!$D$35:$D$39</definedName>
    <definedName name="OSRRefD22_1x_0" localSheetId="73">'491'!$D$38:$D$43</definedName>
    <definedName name="OSRRefD22_1x_0" localSheetId="87">'492'!$D$37:$D$43</definedName>
    <definedName name="OSRRefD22_1x_0" localSheetId="94">'501'!$D$31:$D$36</definedName>
    <definedName name="OSRRefD22_1x_0" localSheetId="39">'Div 2'!$D$32:$D$37</definedName>
    <definedName name="OSRRefD22_1x_0" localSheetId="47">'Div 3'!$D$148:$D$154</definedName>
    <definedName name="OSRRefD22_1x_0" localSheetId="71">'Div 4'!$D$41:$D$47</definedName>
    <definedName name="OSRRefD22_1x_0" localSheetId="93">'Div 5'!$D$31:$D$36</definedName>
    <definedName name="OSRRefD22_1x_0" localSheetId="61">'Div 6'!$D$66:$D$70</definedName>
    <definedName name="OSRRefD22_1x_0" localSheetId="2">Summary!$D$177:$D$183</definedName>
    <definedName name="OSRRefD22_20x_0" localSheetId="48">'300'!$D$199:$D$205</definedName>
    <definedName name="OSRRefD22_20x_0" localSheetId="49">'300 &amp; 317'!$D$223:$D$229</definedName>
    <definedName name="OSRRefD22_20x_0" localSheetId="50">'301'!$D$90</definedName>
    <definedName name="OSRRefD22_20x_0" localSheetId="72">'310 &amp; 491'!$D$107</definedName>
    <definedName name="OSRRefD22_20x_0" localSheetId="56">'331'!$D$155</definedName>
    <definedName name="OSRRefD22_20x_0" localSheetId="54">'333'!$D$158</definedName>
    <definedName name="OSRRefD22_20x_0" localSheetId="73">'491'!$D$96</definedName>
    <definedName name="OSRRefD22_20x_0" localSheetId="47">'Div 3'!$D$206:$D$207</definedName>
    <definedName name="OSRRefD22_20x_0" localSheetId="71">'Div 4'!$D$93:$D$101</definedName>
    <definedName name="OSRRefD22_20x_0" localSheetId="2">Summary!$D$231:$D$235</definedName>
    <definedName name="OSRRefD22_21x_0" localSheetId="48">'300'!$D$207:$D$208</definedName>
    <definedName name="OSRRefD22_21x_0" localSheetId="49">'300 &amp; 317'!$D$231:$D$232</definedName>
    <definedName name="OSRRefD22_21x_0" localSheetId="50">'301'!$D$92:$D$94</definedName>
    <definedName name="OSRRefD22_21x_0" localSheetId="72">'310 &amp; 491'!$D$109:$D$110</definedName>
    <definedName name="OSRRefD22_21x_0" localSheetId="56">'331'!$D$157</definedName>
    <definedName name="OSRRefD22_21x_0" localSheetId="54">'333'!$D$160</definedName>
    <definedName name="OSRRefD22_21x_0" localSheetId="73">'491'!$D$98:$D$99</definedName>
    <definedName name="OSRRefD22_21x_0" localSheetId="47">'Div 3'!$D$209:$D$215</definedName>
    <definedName name="OSRRefD22_21x_0" localSheetId="71">'Div 4'!$D$103</definedName>
    <definedName name="OSRRefD22_21x_0" localSheetId="2">Summary!$D$237:$D$238</definedName>
    <definedName name="OSRRefD22_22x_0" localSheetId="48">'300'!$D$210</definedName>
    <definedName name="OSRRefD22_22x_0" localSheetId="49">'300 &amp; 317'!$D$234</definedName>
    <definedName name="OSRRefD22_22x_0" localSheetId="50">'301'!$D$96</definedName>
    <definedName name="OSRRefD22_22x_0" localSheetId="72">'310 &amp; 491'!$D$112</definedName>
    <definedName name="OSRRefD22_22x_0" localSheetId="56">'331'!$D$159</definedName>
    <definedName name="OSRRefD22_22x_0" localSheetId="54">'333'!$D$162</definedName>
    <definedName name="OSRRefD22_22x_0" localSheetId="73">'491'!$D$101</definedName>
    <definedName name="OSRRefD22_22x_0" localSheetId="47">'Div 3'!$D$217:$D$218</definedName>
    <definedName name="OSRRefD22_22x_0" localSheetId="71">'Div 4'!$D$105</definedName>
    <definedName name="OSRRefD22_22x_0" localSheetId="2">Summary!$D$240:$D$248</definedName>
    <definedName name="OSRRefD22_23x_0" localSheetId="48">'300'!$D$212:$D$214</definedName>
    <definedName name="OSRRefD22_23x_0" localSheetId="49">'300 &amp; 317'!$D$236:$D$238</definedName>
    <definedName name="OSRRefD22_23x_0" localSheetId="47">'Div 3'!$D$220</definedName>
    <definedName name="OSRRefD22_23x_0" localSheetId="71">'Div 4'!$D$107:$D$109</definedName>
    <definedName name="OSRRefD22_23x_0" localSheetId="2">Summary!$D$250:$D$251</definedName>
    <definedName name="OSRRefD22_24x_0" localSheetId="48">'300'!$D$216</definedName>
    <definedName name="OSRRefD22_24x_0" localSheetId="49">'300 &amp; 317'!$D$240</definedName>
    <definedName name="OSRRefD22_24x_0" localSheetId="47">'Div 3'!$D$222:$D$224</definedName>
    <definedName name="OSRRefD22_24x_0" localSheetId="71">'Div 4'!$D$111</definedName>
    <definedName name="OSRRefD22_24x_0" localSheetId="2">Summary!$D$253</definedName>
    <definedName name="OSRRefD22_25x_0" localSheetId="47">'Div 3'!$D$226</definedName>
    <definedName name="OSRRefD22_25x_0" localSheetId="2">Summary!$D$255:$D$257</definedName>
    <definedName name="OSRRefD22_26x_0" localSheetId="2">Summary!$D$259</definedName>
    <definedName name="OSRRefD22_2x_0" localSheetId="40">'200'!$D$24</definedName>
    <definedName name="OSRRefD22_2x_0" localSheetId="41">'201'!$D$34</definedName>
    <definedName name="OSRRefD22_2x_0" localSheetId="42">'202'!$D$33</definedName>
    <definedName name="OSRRefD22_2x_0" localSheetId="43">'203'!$D$37</definedName>
    <definedName name="OSRRefD22_2x_0" localSheetId="44">'204'!$D$34</definedName>
    <definedName name="OSRRefD22_2x_0" localSheetId="45">'205'!$D$31</definedName>
    <definedName name="OSRRefD22_2x_0" localSheetId="46">'206'!$D$34</definedName>
    <definedName name="OSRRefD22_2x_0" localSheetId="48">'300'!$D$149</definedName>
    <definedName name="OSRRefD22_2x_0" localSheetId="49">'300 &amp; 317'!$D$173</definedName>
    <definedName name="OSRRefD22_2x_0" localSheetId="50">'301'!$D$41</definedName>
    <definedName name="OSRRefD22_2x_0" localSheetId="55">'307'!$D$56</definedName>
    <definedName name="OSRRefD22_2x_0" localSheetId="51">'308'!$D$81</definedName>
    <definedName name="OSRRefD22_2x_0" localSheetId="65">'309'!$D$32</definedName>
    <definedName name="OSRRefD22_2x_0" localSheetId="64">'310'!$D$51</definedName>
    <definedName name="OSRRefD22_2x_0" localSheetId="72">'310 &amp; 491'!$D$55</definedName>
    <definedName name="OSRRefD22_2x_0" localSheetId="52">'311'!$D$81</definedName>
    <definedName name="OSRRefD22_2x_0" localSheetId="66">'313'!$D$36</definedName>
    <definedName name="OSRRefD22_2x_0" localSheetId="57">'315'!$D$104</definedName>
    <definedName name="OSRRefD22_2x_0" localSheetId="60">'316'!$D$48</definedName>
    <definedName name="OSRRefD22_2x_0" localSheetId="62">'317'!$D$72</definedName>
    <definedName name="OSRRefD22_2x_0" localSheetId="63">'320'!$D$27</definedName>
    <definedName name="OSRRefD22_2x_0" localSheetId="67">'321'!$D$44</definedName>
    <definedName name="OSRRefD22_2x_0" localSheetId="68">'322'!$D$29</definedName>
    <definedName name="OSRRefD22_2x_0" localSheetId="69">'325'!$D$37</definedName>
    <definedName name="OSRRefD22_2x_0" localSheetId="58">'326'!$D$69</definedName>
    <definedName name="OSRRefD22_2x_0" localSheetId="56">'331'!$D$105</definedName>
    <definedName name="OSRRefD22_2x_0" localSheetId="59">'332'!$D$50</definedName>
    <definedName name="OSRRefD22_2x_0" localSheetId="54">'333'!$D$107</definedName>
    <definedName name="OSRRefD22_2x_0" localSheetId="74">'405'!$D$38</definedName>
    <definedName name="OSRRefD22_2x_0" localSheetId="75">'406'!$D$24</definedName>
    <definedName name="OSRRefD22_2x_0" localSheetId="76">'411'!$D$35</definedName>
    <definedName name="OSRRefD22_2x_0" localSheetId="77">'412'!$D$24</definedName>
    <definedName name="OSRRefD22_2x_0" localSheetId="78">'413'!$D$28</definedName>
    <definedName name="OSRRefD22_2x_0" localSheetId="79">'414'!$D$26</definedName>
    <definedName name="OSRRefD22_2x_0" localSheetId="80">'415'!$D$40</definedName>
    <definedName name="OSRRefD22_2x_0" localSheetId="81">'418'!$D$35</definedName>
    <definedName name="OSRRefD22_2x_0" localSheetId="83">'423'!$D$25</definedName>
    <definedName name="OSRRefD22_2x_0" localSheetId="84">'424'!$D$24</definedName>
    <definedName name="OSRRefD22_2x_0" localSheetId="85">'425'!$D$30</definedName>
    <definedName name="OSRRefD22_2x_0" localSheetId="88">'430'!$D$31</definedName>
    <definedName name="OSRRefD22_2x_0" localSheetId="89">'433'!$D$42</definedName>
    <definedName name="OSRRefD22_2x_0" localSheetId="90">'435'!$D$28</definedName>
    <definedName name="OSRRefD22_2x_0" localSheetId="91">'444'!$D$42</definedName>
    <definedName name="OSRRefD22_2x_0" localSheetId="92">'450'!$D$41</definedName>
    <definedName name="OSRRefD22_2x_0" localSheetId="73">'491'!$D$45</definedName>
    <definedName name="OSRRefD22_2x_0" localSheetId="87">'492'!$D$45</definedName>
    <definedName name="OSRRefD22_2x_0" localSheetId="94">'501'!$D$38</definedName>
    <definedName name="OSRRefD22_2x_0" localSheetId="39">'Div 2'!$D$39</definedName>
    <definedName name="OSRRefD22_2x_0" localSheetId="47">'Div 3'!$D$156</definedName>
    <definedName name="OSRRefD22_2x_0" localSheetId="71">'Div 4'!$D$49</definedName>
    <definedName name="OSRRefD22_2x_0" localSheetId="93">'Div 5'!$D$38</definedName>
    <definedName name="OSRRefD22_2x_0" localSheetId="61">'Div 6'!$D$72</definedName>
    <definedName name="OSRRefD22_2x_0" localSheetId="2">Summary!$D$185</definedName>
    <definedName name="OSRRefD22_3x_0" localSheetId="40">'200'!$D$26</definedName>
    <definedName name="OSRRefD22_3x_0" localSheetId="41">'201'!$D$36</definedName>
    <definedName name="OSRRefD22_3x_0" localSheetId="42">'202'!$D$35</definedName>
    <definedName name="OSRRefD22_3x_0" localSheetId="43">'203'!$D$39</definedName>
    <definedName name="OSRRefD22_3x_0" localSheetId="44">'204'!$D$36</definedName>
    <definedName name="OSRRefD22_3x_0" localSheetId="45">'205'!$D$33</definedName>
    <definedName name="OSRRefD22_3x_0" localSheetId="46">'206'!$D$36</definedName>
    <definedName name="OSRRefD22_3x_0" localSheetId="48">'300'!$D$151:$D$152</definedName>
    <definedName name="OSRRefD22_3x_0" localSheetId="49">'300 &amp; 317'!$D$175:$D$176</definedName>
    <definedName name="OSRRefD22_3x_0" localSheetId="50">'301'!$D$43:$D$44</definedName>
    <definedName name="OSRRefD22_3x_0" localSheetId="55">'307'!$D$58</definedName>
    <definedName name="OSRRefD22_3x_0" localSheetId="51">'308'!$D$83:$D$84</definedName>
    <definedName name="OSRRefD22_3x_0" localSheetId="65">'309'!$D$34</definedName>
    <definedName name="OSRRefD22_3x_0" localSheetId="64">'310'!$D$53</definedName>
    <definedName name="OSRRefD22_3x_0" localSheetId="72">'310 &amp; 491'!$D$57</definedName>
    <definedName name="OSRRefD22_3x_0" localSheetId="52">'311'!$D$83:$D$84</definedName>
    <definedName name="OSRRefD22_3x_0" localSheetId="66">'313'!$D$38</definedName>
    <definedName name="OSRRefD22_3x_0" localSheetId="57">'315'!$D$106:$D$107</definedName>
    <definedName name="OSRRefD22_3x_0" localSheetId="60">'316'!$D$50</definedName>
    <definedName name="OSRRefD22_3x_0" localSheetId="62">'317'!$D$74</definedName>
    <definedName name="OSRRefD22_3x_0" localSheetId="67">'321'!$D$46</definedName>
    <definedName name="OSRRefD22_3x_0" localSheetId="68">'322'!$D$31</definedName>
    <definedName name="OSRRefD22_3x_0" localSheetId="69">'325'!$D$39</definedName>
    <definedName name="OSRRefD22_3x_0" localSheetId="58">'326'!$D$71</definedName>
    <definedName name="OSRRefD22_3x_0" localSheetId="56">'331'!$D$107</definedName>
    <definedName name="OSRRefD22_3x_0" localSheetId="59">'332'!$D$52</definedName>
    <definedName name="OSRRefD22_3x_0" localSheetId="54">'333'!$D$109</definedName>
    <definedName name="OSRRefD22_3x_0" localSheetId="74">'405'!$D$40</definedName>
    <definedName name="OSRRefD22_3x_0" localSheetId="75">'406'!$D$26</definedName>
    <definedName name="OSRRefD22_3x_0" localSheetId="76">'411'!$D$37</definedName>
    <definedName name="OSRRefD22_3x_0" localSheetId="77">'412'!$D$26:$D$27</definedName>
    <definedName name="OSRRefD22_3x_0" localSheetId="78">'413'!$D$30</definedName>
    <definedName name="OSRRefD22_3x_0" localSheetId="79">'414'!$D$28</definedName>
    <definedName name="OSRRefD22_3x_0" localSheetId="80">'415'!$D$42</definedName>
    <definedName name="OSRRefD22_3x_0" localSheetId="81">'418'!$D$37</definedName>
    <definedName name="OSRRefD22_3x_0" localSheetId="83">'423'!$D$27</definedName>
    <definedName name="OSRRefD22_3x_0" localSheetId="84">'424'!$D$26</definedName>
    <definedName name="OSRRefD22_3x_0" localSheetId="85">'425'!$D$32</definedName>
    <definedName name="OSRRefD22_3x_0" localSheetId="88">'430'!$D$33</definedName>
    <definedName name="OSRRefD22_3x_0" localSheetId="89">'433'!$D$44</definedName>
    <definedName name="OSRRefD22_3x_0" localSheetId="90">'435'!$D$30</definedName>
    <definedName name="OSRRefD22_3x_0" localSheetId="91">'444'!$D$44</definedName>
    <definedName name="OSRRefD22_3x_0" localSheetId="92">'450'!$D$43</definedName>
    <definedName name="OSRRefD22_3x_0" localSheetId="73">'491'!$D$47</definedName>
    <definedName name="OSRRefD22_3x_0" localSheetId="87">'492'!$D$47</definedName>
    <definedName name="OSRRefD22_3x_0" localSheetId="94">'501'!$D$40</definedName>
    <definedName name="OSRRefD22_3x_0" localSheetId="39">'Div 2'!$D$41</definedName>
    <definedName name="OSRRefD22_3x_0" localSheetId="47">'Div 3'!$D$158:$D$159</definedName>
    <definedName name="OSRRefD22_3x_0" localSheetId="71">'Div 4'!$D$51</definedName>
    <definedName name="OSRRefD22_3x_0" localSheetId="93">'Div 5'!$D$40</definedName>
    <definedName name="OSRRefD22_3x_0" localSheetId="61">'Div 6'!$D$74</definedName>
    <definedName name="OSRRefD22_3x_0" localSheetId="2">Summary!$D$187:$D$188</definedName>
    <definedName name="OSRRefD22_4x_0" localSheetId="41">'201'!$D$38</definedName>
    <definedName name="OSRRefD22_4x_0" localSheetId="42">'202'!$D$37</definedName>
    <definedName name="OSRRefD22_4x_0" localSheetId="43">'203'!$D$41</definedName>
    <definedName name="OSRRefD22_4x_0" localSheetId="44">'204'!$D$38</definedName>
    <definedName name="OSRRefD22_4x_0" localSheetId="45">'205'!$D$35:$D$37</definedName>
    <definedName name="OSRRefD22_4x_0" localSheetId="46">'206'!$D$38</definedName>
    <definedName name="OSRRefD22_4x_0" localSheetId="48">'300'!$D$154</definedName>
    <definedName name="OSRRefD22_4x_0" localSheetId="49">'300 &amp; 317'!$D$178</definedName>
    <definedName name="OSRRefD22_4x_0" localSheetId="50">'301'!$D$46</definedName>
    <definedName name="OSRRefD22_4x_0" localSheetId="55">'307'!$D$60:$D$61</definedName>
    <definedName name="OSRRefD22_4x_0" localSheetId="51">'308'!$D$86</definedName>
    <definedName name="OSRRefD22_4x_0" localSheetId="65">'309'!$D$36</definedName>
    <definedName name="OSRRefD22_4x_0" localSheetId="64">'310'!$D$55</definedName>
    <definedName name="OSRRefD22_4x_0" localSheetId="72">'310 &amp; 491'!$D$59</definedName>
    <definedName name="OSRRefD22_4x_0" localSheetId="52">'311'!$D$86</definedName>
    <definedName name="OSRRefD22_4x_0" localSheetId="66">'313'!$D$40</definedName>
    <definedName name="OSRRefD22_4x_0" localSheetId="57">'315'!$D$109</definedName>
    <definedName name="OSRRefD22_4x_0" localSheetId="60">'316'!$D$52</definedName>
    <definedName name="OSRRefD22_4x_0" localSheetId="62">'317'!$D$76</definedName>
    <definedName name="OSRRefD22_4x_0" localSheetId="67">'321'!$D$48</definedName>
    <definedName name="OSRRefD22_4x_0" localSheetId="68">'322'!$D$33:$D$34</definedName>
    <definedName name="OSRRefD22_4x_0" localSheetId="69">'325'!$D$41</definedName>
    <definedName name="OSRRefD22_4x_0" localSheetId="58">'326'!$D$73</definedName>
    <definedName name="OSRRefD22_4x_0" localSheetId="56">'331'!$D$109</definedName>
    <definedName name="OSRRefD22_4x_0" localSheetId="59">'332'!$D$54</definedName>
    <definedName name="OSRRefD22_4x_0" localSheetId="54">'333'!$D$111</definedName>
    <definedName name="OSRRefD22_4x_0" localSheetId="74">'405'!$D$42</definedName>
    <definedName name="OSRRefD22_4x_0" localSheetId="75">'406'!$D$28</definedName>
    <definedName name="OSRRefD22_4x_0" localSheetId="76">'411'!$D$39:$D$40</definedName>
    <definedName name="OSRRefD22_4x_0" localSheetId="77">'412'!$D$29</definedName>
    <definedName name="OSRRefD22_4x_0" localSheetId="78">'413'!$D$32</definedName>
    <definedName name="OSRRefD22_4x_0" localSheetId="79">'414'!$D$30</definedName>
    <definedName name="OSRRefD22_4x_0" localSheetId="80">'415'!$D$44</definedName>
    <definedName name="OSRRefD22_4x_0" localSheetId="81">'418'!$D$39:$D$40</definedName>
    <definedName name="OSRRefD22_4x_0" localSheetId="85">'425'!$D$34</definedName>
    <definedName name="OSRRefD22_4x_0" localSheetId="88">'430'!$D$35</definedName>
    <definedName name="OSRRefD22_4x_0" localSheetId="89">'433'!$D$46</definedName>
    <definedName name="OSRRefD22_4x_0" localSheetId="90">'435'!$D$32</definedName>
    <definedName name="OSRRefD22_4x_0" localSheetId="91">'444'!$D$46</definedName>
    <definedName name="OSRRefD22_4x_0" localSheetId="92">'450'!$D$45</definedName>
    <definedName name="OSRRefD22_4x_0" localSheetId="73">'491'!$D$49</definedName>
    <definedName name="OSRRefD22_4x_0" localSheetId="87">'492'!$D$49</definedName>
    <definedName name="OSRRefD22_4x_0" localSheetId="94">'501'!$D$42:$D$43</definedName>
    <definedName name="OSRRefD22_4x_0" localSheetId="39">'Div 2'!$D$43</definedName>
    <definedName name="OSRRefD22_4x_0" localSheetId="47">'Div 3'!$D$161</definedName>
    <definedName name="OSRRefD22_4x_0" localSheetId="71">'Div 4'!$D$53</definedName>
    <definedName name="OSRRefD22_4x_0" localSheetId="93">'Div 5'!$D$42:$D$43</definedName>
    <definedName name="OSRRefD22_4x_0" localSheetId="61">'Div 6'!$D$76</definedName>
    <definedName name="OSRRefD22_4x_0" localSheetId="2">Summary!$D$190</definedName>
    <definedName name="OSRRefD22_5x_0" localSheetId="41">'201'!$D$40</definedName>
    <definedName name="OSRRefD22_5x_0" localSheetId="42">'202'!$D$39:$D$40</definedName>
    <definedName name="OSRRefD22_5x_0" localSheetId="43">'203'!$D$43</definedName>
    <definedName name="OSRRefD22_5x_0" localSheetId="44">'204'!$D$40:$D$43</definedName>
    <definedName name="OSRRefD22_5x_0" localSheetId="45">'205'!$D$39:$D$41</definedName>
    <definedName name="OSRRefD22_5x_0" localSheetId="46">'206'!$D$40</definedName>
    <definedName name="OSRRefD22_5x_0" localSheetId="48">'300'!$D$156:$D$157</definedName>
    <definedName name="OSRRefD22_5x_0" localSheetId="49">'300 &amp; 317'!$D$180:$D$181</definedName>
    <definedName name="OSRRefD22_5x_0" localSheetId="50">'301'!$D$48:$D$49</definedName>
    <definedName name="OSRRefD22_5x_0" localSheetId="55">'307'!$D$63</definedName>
    <definedName name="OSRRefD22_5x_0" localSheetId="51">'308'!$D$88</definedName>
    <definedName name="OSRRefD22_5x_0" localSheetId="65">'309'!$D$38</definedName>
    <definedName name="OSRRefD22_5x_0" localSheetId="64">'310'!$D$57:$D$58</definedName>
    <definedName name="OSRRefD22_5x_0" localSheetId="72">'310 &amp; 491'!$D$61:$D$62</definedName>
    <definedName name="OSRRefD22_5x_0" localSheetId="52">'311'!$D$88</definedName>
    <definedName name="OSRRefD22_5x_0" localSheetId="66">'313'!$D$42</definedName>
    <definedName name="OSRRefD22_5x_0" localSheetId="57">'315'!$D$111</definedName>
    <definedName name="OSRRefD22_5x_0" localSheetId="60">'316'!$D$54</definedName>
    <definedName name="OSRRefD22_5x_0" localSheetId="62">'317'!$D$78:$D$79</definedName>
    <definedName name="OSRRefD22_5x_0" localSheetId="67">'321'!$D$50</definedName>
    <definedName name="OSRRefD22_5x_0" localSheetId="68">'322'!$D$36</definedName>
    <definedName name="OSRRefD22_5x_0" localSheetId="69">'325'!$D$43:$D$44</definedName>
    <definedName name="OSRRefD22_5x_0" localSheetId="58">'326'!$D$75</definedName>
    <definedName name="OSRRefD22_5x_0" localSheetId="56">'331'!$D$111:$D$112</definedName>
    <definedName name="OSRRefD22_5x_0" localSheetId="59">'332'!$D$56</definedName>
    <definedName name="OSRRefD22_5x_0" localSheetId="54">'333'!$D$113:$D$114</definedName>
    <definedName name="OSRRefD22_5x_0" localSheetId="74">'405'!$D$44:$D$45</definedName>
    <definedName name="OSRRefD22_5x_0" localSheetId="76">'411'!$D$42</definedName>
    <definedName name="OSRRefD22_5x_0" localSheetId="77">'412'!$D$31</definedName>
    <definedName name="OSRRefD22_5x_0" localSheetId="78">'413'!$D$34</definedName>
    <definedName name="OSRRefD22_5x_0" localSheetId="79">'414'!$D$32:$D$33</definedName>
    <definedName name="OSRRefD22_5x_0" localSheetId="80">'415'!$D$46:$D$47</definedName>
    <definedName name="OSRRefD22_5x_0" localSheetId="81">'418'!$D$42</definedName>
    <definedName name="OSRRefD22_5x_0" localSheetId="85">'425'!$D$36:$D$37</definedName>
    <definedName name="OSRRefD22_5x_0" localSheetId="88">'430'!$D$37:$D$39</definedName>
    <definedName name="OSRRefD22_5x_0" localSheetId="89">'433'!$D$48</definedName>
    <definedName name="OSRRefD22_5x_0" localSheetId="90">'435'!$D$34</definedName>
    <definedName name="OSRRefD22_5x_0" localSheetId="91">'444'!$D$48</definedName>
    <definedName name="OSRRefD22_5x_0" localSheetId="92">'450'!$D$47</definedName>
    <definedName name="OSRRefD22_5x_0" localSheetId="73">'491'!$D$51:$D$52</definedName>
    <definedName name="OSRRefD22_5x_0" localSheetId="87">'492'!$D$51</definedName>
    <definedName name="OSRRefD22_5x_0" localSheetId="94">'501'!$D$45</definedName>
    <definedName name="OSRRefD22_5x_0" localSheetId="39">'Div 2'!$D$45</definedName>
    <definedName name="OSRRefD22_5x_0" localSheetId="47">'Div 3'!$D$163:$D$164</definedName>
    <definedName name="OSRRefD22_5x_0" localSheetId="71">'Div 4'!$D$55:$D$56</definedName>
    <definedName name="OSRRefD22_5x_0" localSheetId="93">'Div 5'!$D$45</definedName>
    <definedName name="OSRRefD22_5x_0" localSheetId="61">'Div 6'!$D$78:$D$79</definedName>
    <definedName name="OSRRefD22_5x_0" localSheetId="2">Summary!$D$192:$D$193</definedName>
    <definedName name="OSRRefD22_6x_0" localSheetId="41">'201'!$D$42</definedName>
    <definedName name="OSRRefD22_6x_0" localSheetId="42">'202'!$D$42</definedName>
    <definedName name="OSRRefD22_6x_0" localSheetId="43">'203'!$D$45</definedName>
    <definedName name="OSRRefD22_6x_0" localSheetId="44">'204'!$D$45</definedName>
    <definedName name="OSRRefD22_6x_0" localSheetId="45">'205'!$D$43</definedName>
    <definedName name="OSRRefD22_6x_0" localSheetId="46">'206'!$D$42</definedName>
    <definedName name="OSRRefD22_6x_0" localSheetId="48">'300'!$D$159:$D$160</definedName>
    <definedName name="OSRRefD22_6x_0" localSheetId="49">'300 &amp; 317'!$D$183:$D$184</definedName>
    <definedName name="OSRRefD22_6x_0" localSheetId="50">'301'!$D$51:$D$52</definedName>
    <definedName name="OSRRefD22_6x_0" localSheetId="55">'307'!$D$65</definedName>
    <definedName name="OSRRefD22_6x_0" localSheetId="51">'308'!$D$90:$D$91</definedName>
    <definedName name="OSRRefD22_6x_0" localSheetId="65">'309'!$D$40</definedName>
    <definedName name="OSRRefD22_6x_0" localSheetId="64">'310'!$D$60</definedName>
    <definedName name="OSRRefD22_6x_0" localSheetId="72">'310 &amp; 491'!$D$64</definedName>
    <definedName name="OSRRefD22_6x_0" localSheetId="52">'311'!$D$90:$D$91</definedName>
    <definedName name="OSRRefD22_6x_0" localSheetId="66">'313'!$D$44</definedName>
    <definedName name="OSRRefD22_6x_0" localSheetId="57">'315'!$D$113:$D$114</definedName>
    <definedName name="OSRRefD22_6x_0" localSheetId="60">'316'!$D$56:$D$57</definedName>
    <definedName name="OSRRefD22_6x_0" localSheetId="62">'317'!$D$81</definedName>
    <definedName name="OSRRefD22_6x_0" localSheetId="67">'321'!$D$52</definedName>
    <definedName name="OSRRefD22_6x_0" localSheetId="68">'322'!$D$38</definedName>
    <definedName name="OSRRefD22_6x_0" localSheetId="69">'325'!$D$46</definedName>
    <definedName name="OSRRefD22_6x_0" localSheetId="58">'326'!$D$77</definedName>
    <definedName name="OSRRefD22_6x_0" localSheetId="56">'331'!$D$114</definedName>
    <definedName name="OSRRefD22_6x_0" localSheetId="59">'332'!$D$58:$D$59</definedName>
    <definedName name="OSRRefD22_6x_0" localSheetId="54">'333'!$D$116</definedName>
    <definedName name="OSRRefD22_6x_0" localSheetId="74">'405'!$D$47</definedName>
    <definedName name="OSRRefD22_6x_0" localSheetId="76">'411'!$D$44</definedName>
    <definedName name="OSRRefD22_6x_0" localSheetId="80">'415'!$D$49</definedName>
    <definedName name="OSRRefD22_6x_0" localSheetId="81">'418'!$D$44</definedName>
    <definedName name="OSRRefD22_6x_0" localSheetId="85">'425'!$D$39</definedName>
    <definedName name="OSRRefD22_6x_0" localSheetId="88">'430'!$D$41</definedName>
    <definedName name="OSRRefD22_6x_0" localSheetId="89">'433'!$D$50</definedName>
    <definedName name="OSRRefD22_6x_0" localSheetId="91">'444'!$D$50</definedName>
    <definedName name="OSRRefD22_6x_0" localSheetId="92">'450'!$D$49</definedName>
    <definedName name="OSRRefD22_6x_0" localSheetId="73">'491'!$D$54</definedName>
    <definedName name="OSRRefD22_6x_0" localSheetId="87">'492'!$D$53</definedName>
    <definedName name="OSRRefD22_6x_0" localSheetId="94">'501'!$D$47</definedName>
    <definedName name="OSRRefD22_6x_0" localSheetId="39">'Div 2'!$D$47</definedName>
    <definedName name="OSRRefD22_6x_0" localSheetId="47">'Div 3'!$D$166:$D$167</definedName>
    <definedName name="OSRRefD22_6x_0" localSheetId="71">'Div 4'!$D$58</definedName>
    <definedName name="OSRRefD22_6x_0" localSheetId="93">'Div 5'!$D$47</definedName>
    <definedName name="OSRRefD22_6x_0" localSheetId="61">'Div 6'!$D$81</definedName>
    <definedName name="OSRRefD22_6x_0" localSheetId="2">Summary!$D$195:$D$196</definedName>
    <definedName name="OSRRefD22_7x_0" localSheetId="41">'201'!$D$44</definedName>
    <definedName name="OSRRefD22_7x_0" localSheetId="42">'202'!$D$44:$D$46</definedName>
    <definedName name="OSRRefD22_7x_0" localSheetId="43">'203'!$D$47:$D$48</definedName>
    <definedName name="OSRRefD22_7x_0" localSheetId="44">'204'!$D$47:$D$48</definedName>
    <definedName name="OSRRefD22_7x_0" localSheetId="48">'300'!$D$162</definedName>
    <definedName name="OSRRefD22_7x_0" localSheetId="49">'300 &amp; 317'!$D$186</definedName>
    <definedName name="OSRRefD22_7x_0" localSheetId="50">'301'!$D$54</definedName>
    <definedName name="OSRRefD22_7x_0" localSheetId="55">'307'!$D$67</definedName>
    <definedName name="OSRRefD22_7x_0" localSheetId="51">'308'!$D$93</definedName>
    <definedName name="OSRRefD22_7x_0" localSheetId="65">'309'!$D$42</definedName>
    <definedName name="OSRRefD22_7x_0" localSheetId="64">'310'!$D$62</definedName>
    <definedName name="OSRRefD22_7x_0" localSheetId="72">'310 &amp; 491'!$D$66</definedName>
    <definedName name="OSRRefD22_7x_0" localSheetId="52">'311'!$D$93</definedName>
    <definedName name="OSRRefD22_7x_0" localSheetId="66">'313'!$D$46</definedName>
    <definedName name="OSRRefD22_7x_0" localSheetId="57">'315'!$D$116</definedName>
    <definedName name="OSRRefD22_7x_0" localSheetId="60">'316'!$D$59</definedName>
    <definedName name="OSRRefD22_7x_0" localSheetId="62">'317'!$D$83</definedName>
    <definedName name="OSRRefD22_7x_0" localSheetId="67">'321'!$D$54:$D$55</definedName>
    <definedName name="OSRRefD22_7x_0" localSheetId="68">'322'!$D$40</definedName>
    <definedName name="OSRRefD22_7x_0" localSheetId="69">'325'!$D$48</definedName>
    <definedName name="OSRRefD22_7x_0" localSheetId="58">'326'!$D$79</definedName>
    <definedName name="OSRRefD22_7x_0" localSheetId="56">'331'!$D$116</definedName>
    <definedName name="OSRRefD22_7x_0" localSheetId="59">'332'!$D$61</definedName>
    <definedName name="OSRRefD22_7x_0" localSheetId="54">'333'!$D$118</definedName>
    <definedName name="OSRRefD22_7x_0" localSheetId="74">'405'!$D$49</definedName>
    <definedName name="OSRRefD22_7x_0" localSheetId="76">'411'!$D$46</definedName>
    <definedName name="OSRRefD22_7x_0" localSheetId="80">'415'!$D$51</definedName>
    <definedName name="OSRRefD22_7x_0" localSheetId="81">'418'!$D$46</definedName>
    <definedName name="OSRRefD22_7x_0" localSheetId="85">'425'!$D$41</definedName>
    <definedName name="OSRRefD22_7x_0" localSheetId="88">'430'!$D$43</definedName>
    <definedName name="OSRRefD22_7x_0" localSheetId="89">'433'!$D$52</definedName>
    <definedName name="OSRRefD22_7x_0" localSheetId="91">'444'!$D$52</definedName>
    <definedName name="OSRRefD22_7x_0" localSheetId="92">'450'!$D$51</definedName>
    <definedName name="OSRRefD22_7x_0" localSheetId="73">'491'!$D$56</definedName>
    <definedName name="OSRRefD22_7x_0" localSheetId="87">'492'!$D$55</definedName>
    <definedName name="OSRRefD22_7x_0" localSheetId="94">'501'!$D$49:$D$52</definedName>
    <definedName name="OSRRefD22_7x_0" localSheetId="39">'Div 2'!$D$49</definedName>
    <definedName name="OSRRefD22_7x_0" localSheetId="47">'Div 3'!$D$169</definedName>
    <definedName name="OSRRefD22_7x_0" localSheetId="71">'Div 4'!$D$60</definedName>
    <definedName name="OSRRefD22_7x_0" localSheetId="93">'Div 5'!$D$49:$D$52</definedName>
    <definedName name="OSRRefD22_7x_0" localSheetId="61">'Div 6'!$D$83</definedName>
    <definedName name="OSRRefD22_7x_0" localSheetId="2">Summary!$D$198</definedName>
    <definedName name="OSRRefD22_8x_0" localSheetId="41">'201'!$D$46</definedName>
    <definedName name="OSRRefD22_8x_0" localSheetId="42">'202'!$D$48</definedName>
    <definedName name="OSRRefD22_8x_0" localSheetId="43">'203'!$D$50:$D$51</definedName>
    <definedName name="OSRRefD22_8x_0" localSheetId="44">'204'!$D$50</definedName>
    <definedName name="OSRRefD22_8x_0" localSheetId="48">'300'!$D$164</definedName>
    <definedName name="OSRRefD22_8x_0" localSheetId="49">'300 &amp; 317'!$D$188</definedName>
    <definedName name="OSRRefD22_8x_0" localSheetId="50">'301'!$D$56</definedName>
    <definedName name="OSRRefD22_8x_0" localSheetId="55">'307'!$D$69:$D$70</definedName>
    <definedName name="OSRRefD22_8x_0" localSheetId="51">'308'!$D$95</definedName>
    <definedName name="OSRRefD22_8x_0" localSheetId="65">'309'!$D$44:$D$45</definedName>
    <definedName name="OSRRefD22_8x_0" localSheetId="64">'310'!$D$64</definedName>
    <definedName name="OSRRefD22_8x_0" localSheetId="72">'310 &amp; 491'!$D$68:$D$69</definedName>
    <definedName name="OSRRefD22_8x_0" localSheetId="52">'311'!$D$95</definedName>
    <definedName name="OSRRefD22_8x_0" localSheetId="57">'315'!$D$118:$D$119</definedName>
    <definedName name="OSRRefD22_8x_0" localSheetId="60">'316'!$D$61:$D$63</definedName>
    <definedName name="OSRRefD22_8x_0" localSheetId="62">'317'!$D$85</definedName>
    <definedName name="OSRRefD22_8x_0" localSheetId="67">'321'!$D$57</definedName>
    <definedName name="OSRRefD22_8x_0" localSheetId="69">'325'!$D$50</definedName>
    <definedName name="OSRRefD22_8x_0" localSheetId="58">'326'!$D$81</definedName>
    <definedName name="OSRRefD22_8x_0" localSheetId="56">'331'!$D$118:$D$119</definedName>
    <definedName name="OSRRefD22_8x_0" localSheetId="59">'332'!$D$63:$D$65</definedName>
    <definedName name="OSRRefD22_8x_0" localSheetId="54">'333'!$D$120:$D$121</definedName>
    <definedName name="OSRRefD22_8x_0" localSheetId="74">'405'!$D$51</definedName>
    <definedName name="OSRRefD22_8x_0" localSheetId="76">'411'!$D$48</definedName>
    <definedName name="OSRRefD22_8x_0" localSheetId="80">'415'!$D$53</definedName>
    <definedName name="OSRRefD22_8x_0" localSheetId="81">'418'!$D$48:$D$49</definedName>
    <definedName name="OSRRefD22_8x_0" localSheetId="85">'425'!$D$43</definedName>
    <definedName name="OSRRefD22_8x_0" localSheetId="88">'430'!$D$45</definedName>
    <definedName name="OSRRefD22_8x_0" localSheetId="89">'433'!$D$54</definedName>
    <definedName name="OSRRefD22_8x_0" localSheetId="91">'444'!$D$54</definedName>
    <definedName name="OSRRefD22_8x_0" localSheetId="92">'450'!$D$53</definedName>
    <definedName name="OSRRefD22_8x_0" localSheetId="73">'491'!$D$58</definedName>
    <definedName name="OSRRefD22_8x_0" localSheetId="87">'492'!$D$57</definedName>
    <definedName name="OSRRefD22_8x_0" localSheetId="94">'501'!$D$54</definedName>
    <definedName name="OSRRefD22_8x_0" localSheetId="39">'Div 2'!$D$51</definedName>
    <definedName name="OSRRefD22_8x_0" localSheetId="47">'Div 3'!$D$171</definedName>
    <definedName name="OSRRefD22_8x_0" localSheetId="71">'Div 4'!$D$62</definedName>
    <definedName name="OSRRefD22_8x_0" localSheetId="93">'Div 5'!$D$54</definedName>
    <definedName name="OSRRefD22_8x_0" localSheetId="61">'Div 6'!$D$85</definedName>
    <definedName name="OSRRefD22_8x_0" localSheetId="2">Summary!$D$200</definedName>
    <definedName name="OSRRefD22_9x_0" localSheetId="41">'201'!$D$48:$D$50</definedName>
    <definedName name="OSRRefD22_9x_0" localSheetId="42">'202'!$D$50:$D$52</definedName>
    <definedName name="OSRRefD22_9x_0" localSheetId="43">'203'!$D$53:$D$54</definedName>
    <definedName name="OSRRefD22_9x_0" localSheetId="44">'204'!$D$52</definedName>
    <definedName name="OSRRefD22_9x_0" localSheetId="48">'300'!$D$166</definedName>
    <definedName name="OSRRefD22_9x_0" localSheetId="49">'300 &amp; 317'!$D$190</definedName>
    <definedName name="OSRRefD22_9x_0" localSheetId="50">'301'!$D$58</definedName>
    <definedName name="OSRRefD22_9x_0" localSheetId="55">'307'!$D$72:$D$73</definedName>
    <definedName name="OSRRefD22_9x_0" localSheetId="51">'308'!$D$97:$D$99</definedName>
    <definedName name="OSRRefD22_9x_0" localSheetId="65">'309'!$D$47:$D$48</definedName>
    <definedName name="OSRRefD22_9x_0" localSheetId="64">'310'!$D$66</definedName>
    <definedName name="OSRRefD22_9x_0" localSheetId="72">'310 &amp; 491'!$D$71</definedName>
    <definedName name="OSRRefD22_9x_0" localSheetId="52">'311'!$D$97:$D$99</definedName>
    <definedName name="OSRRefD22_9x_0" localSheetId="57">'315'!$D$121</definedName>
    <definedName name="OSRRefD22_9x_0" localSheetId="60">'316'!$D$65</definedName>
    <definedName name="OSRRefD22_9x_0" localSheetId="62">'317'!$D$87</definedName>
    <definedName name="OSRRefD22_9x_0" localSheetId="67">'321'!$D$59:$D$61</definedName>
    <definedName name="OSRRefD22_9x_0" localSheetId="69">'325'!$D$52</definedName>
    <definedName name="OSRRefD22_9x_0" localSheetId="58">'326'!$D$83</definedName>
    <definedName name="OSRRefD22_9x_0" localSheetId="56">'331'!$D$121</definedName>
    <definedName name="OSRRefD22_9x_0" localSheetId="59">'332'!$D$67</definedName>
    <definedName name="OSRRefD22_9x_0" localSheetId="54">'333'!$D$123</definedName>
    <definedName name="OSRRefD22_9x_0" localSheetId="74">'405'!$D$53</definedName>
    <definedName name="OSRRefD22_9x_0" localSheetId="76">'411'!$D$50</definedName>
    <definedName name="OSRRefD22_9x_0" localSheetId="80">'415'!$D$55</definedName>
    <definedName name="OSRRefD22_9x_0" localSheetId="81">'418'!$D$51</definedName>
    <definedName name="OSRRefD22_9x_0" localSheetId="89">'433'!$D$56</definedName>
    <definedName name="OSRRefD22_9x_0" localSheetId="91">'444'!$D$56</definedName>
    <definedName name="OSRRefD22_9x_0" localSheetId="92">'450'!$D$55</definedName>
    <definedName name="OSRRefD22_9x_0" localSheetId="73">'491'!$D$60</definedName>
    <definedName name="OSRRefD22_9x_0" localSheetId="87">'492'!$D$59</definedName>
    <definedName name="OSRRefD22_9x_0" localSheetId="94">'501'!$D$56:$D$57</definedName>
    <definedName name="OSRRefD22_9x_0" localSheetId="39">'Div 2'!$D$53:$D$54</definedName>
    <definedName name="OSRRefD22_9x_0" localSheetId="47">'Div 3'!$D$173</definedName>
    <definedName name="OSRRefD22_9x_0" localSheetId="71">'Div 4'!$D$64</definedName>
    <definedName name="OSRRefD22_9x_0" localSheetId="93">'Div 5'!$D$56:$D$57</definedName>
    <definedName name="OSRRefD22_9x_0" localSheetId="61">'Div 6'!$D$87</definedName>
    <definedName name="OSRRefD22_9x_0" localSheetId="2">Summary!$D$202</definedName>
    <definedName name="OSRRefD22x_0" localSheetId="40">'200'!$D$20,'200'!$D$22,'200'!$D$24,'200'!$D$26</definedName>
    <definedName name="OSRRefD22x_0" localSheetId="41">'201'!$D$20:$D$27,'201'!$D$29:$D$32,'201'!$D$34,'201'!$D$36,'201'!$D$38,'201'!$D$40,'201'!$D$42,'201'!$D$44,'201'!$D$46,'201'!$D$48:$D$50,'201'!$D$52:$D$54,'201'!$D$56,'201'!$D$58:$D$59,'201'!$D$61,'201'!$D$63</definedName>
    <definedName name="OSRRefD22x_0" localSheetId="42">'202'!$D$20:$D$27,'202'!$D$29:$D$31,'202'!$D$33,'202'!$D$35,'202'!$D$37,'202'!$D$39:$D$40,'202'!$D$42,'202'!$D$44:$D$46,'202'!$D$48,'202'!$D$50:$D$52,'202'!$D$54,'202'!$D$56,'202'!$D$58</definedName>
    <definedName name="OSRRefD22x_0" localSheetId="43">'203'!$D$20:$D$29,'203'!$D$31:$D$35,'203'!$D$37,'203'!$D$39,'203'!$D$41,'203'!$D$43,'203'!$D$45,'203'!$D$47:$D$48,'203'!$D$50:$D$51,'203'!$D$53:$D$54,'203'!$D$56:$D$59,'203'!$D$61,'203'!$D$63,'203'!$D$65</definedName>
    <definedName name="OSRRefD22x_0" localSheetId="44">'204'!$D$20:$D$28,'204'!$D$30:$D$32,'204'!$D$34,'204'!$D$36,'204'!$D$38,'204'!$D$40:$D$43,'204'!$D$45,'204'!$D$47:$D$48,'204'!$D$50,'204'!$D$52</definedName>
    <definedName name="OSRRefD22x_0" localSheetId="45">'205'!$D$20:$D$27,'205'!$D$29,'205'!$D$31,'205'!$D$33,'205'!$D$35:$D$37,'205'!$D$39:$D$41,'205'!$D$43</definedName>
    <definedName name="OSRRefD22x_0" localSheetId="46">'206'!$D$20:$D$27,'206'!$D$29:$D$32,'206'!$D$34,'206'!$D$36,'206'!$D$38,'206'!$D$40,'206'!$D$42</definedName>
    <definedName name="OSRRefD22x_0" localSheetId="48">'300'!$D$130:$D$139,'300'!$D$141:$D$147,'300'!$D$149,'300'!$D$151:$D$152,'300'!$D$154,'300'!$D$156:$D$157,'300'!$D$159:$D$160,'300'!$D$162,'300'!$D$164,'300'!$D$166,'300'!$D$168:$D$169,'300'!$D$171,'300'!$D$173,'300'!$D$175:$D$176,'300'!$D$178,'300'!$D$180,'300'!$D$182:$D$185,'300'!$D$187:$D$189,'300'!$D$191:$D$194,'300'!$D$196:$D$197,'300'!$D$199:$D$205,'300'!$D$207:$D$208,'300'!$D$210,'300'!$D$212:$D$214,'300'!$D$216</definedName>
    <definedName name="OSRRefD22x_0" localSheetId="49">'300 &amp; 317'!$D$154:$D$163,'300 &amp; 317'!$D$165:$D$171,'300 &amp; 317'!$D$173,'300 &amp; 317'!$D$175:$D$176,'300 &amp; 317'!$D$178,'300 &amp; 317'!$D$180:$D$181,'300 &amp; 317'!$D$183:$D$184,'300 &amp; 317'!$D$186,'300 &amp; 317'!$D$188,'300 &amp; 317'!$D$190,'300 &amp; 317'!$D$192:$D$193,'300 &amp; 317'!$D$195,'300 &amp; 317'!$D$197,'300 &amp; 317'!$D$199:$D$200,'300 &amp; 317'!$D$202,'300 &amp; 317'!$D$204,'300 &amp; 317'!$D$206:$D$209,'300 &amp; 317'!$D$211:$D$213,'300 &amp; 317'!$D$215:$D$218,'300 &amp; 317'!$D$220:$D$221,'300 &amp; 317'!$D$223:$D$229,'300 &amp; 317'!$D$231:$D$232,'300 &amp; 317'!$D$234,'300 &amp; 317'!$D$236:$D$238,'300 &amp; 317'!$D$240</definedName>
    <definedName name="OSRRefD22x_0" localSheetId="50">'301'!$D$22:$D$31,'301'!$D$33:$D$39,'301'!$D$41,'301'!$D$43:$D$44,'301'!$D$46,'301'!$D$48:$D$49,'301'!$D$51:$D$52,'301'!$D$54,'301'!$D$56,'301'!$D$58,'301'!$D$60,'301'!$D$62,'301'!$D$64,'301'!$D$66,'301'!$D$68,'301'!$D$70:$D$73,'301'!$D$75:$D$77,'301'!$D$79,'301'!$D$81:$D$86,'301'!$D$88,'301'!$D$90,'301'!$D$92:$D$94,'301'!$D$96</definedName>
    <definedName name="OSRRefD22x_0" localSheetId="55">'307'!$D$43:$D$49,'307'!$D$51:$D$54,'307'!$D$56,'307'!$D$58,'307'!$D$60:$D$61,'307'!$D$63,'307'!$D$65,'307'!$D$67,'307'!$D$69:$D$70,'307'!$D$72:$D$73,'307'!$D$75,'307'!$D$77:$D$80,'307'!$D$82,'307'!$D$84</definedName>
    <definedName name="OSRRefD22x_0" localSheetId="51">'308'!$D$63:$D$71,'308'!$D$73:$D$79,'308'!$D$81,'308'!$D$83:$D$84,'308'!$D$86,'308'!$D$88,'308'!$D$90:$D$91,'308'!$D$93,'308'!$D$95,'308'!$D$97:$D$99,'308'!$D$101:$D$102,'308'!$D$104:$D$105,'308'!$D$107:$D$108,'308'!$D$110,'308'!$D$112</definedName>
    <definedName name="OSRRefD22x_0" localSheetId="65">'309'!$D$26:$D$27,'309'!$D$29:$D$30,'309'!$D$32,'309'!$D$34,'309'!$D$36,'309'!$D$38,'309'!$D$40,'309'!$D$42,'309'!$D$44:$D$45,'309'!$D$47:$D$48,'309'!$D$50:$D$51,'309'!$D$53,'309'!$D$55</definedName>
    <definedName name="OSRRefD22x_0" localSheetId="64">'310'!$D$34:$D$42,'310'!$D$44:$D$49,'310'!$D$51,'310'!$D$53,'310'!$D$55,'310'!$D$57:$D$58,'310'!$D$60,'310'!$D$62,'310'!$D$64,'310'!$D$66,'310'!$D$68,'310'!$D$70,'310'!$D$72:$D$73,'310'!$D$75,'310'!$D$77:$D$80,'310'!$D$82:$D$87,'310'!$D$89,'310'!$D$91,'310'!$D$93</definedName>
    <definedName name="OSRRefD22x_0" localSheetId="72">'310 &amp; 491'!$D$37:$D$45,'310 &amp; 491'!$D$47:$D$53,'310 &amp; 491'!$D$55,'310 &amp; 491'!$D$57,'310 &amp; 491'!$D$59,'310 &amp; 491'!$D$61:$D$62,'310 &amp; 491'!$D$64,'310 &amp; 491'!$D$66,'310 &amp; 491'!$D$68:$D$69,'310 &amp; 491'!$D$71,'310 &amp; 491'!$D$73,'310 &amp; 491'!$D$75,'310 &amp; 491'!$D$77,'310 &amp; 491'!$D$79,'310 &amp; 491'!$D$81:$D$84,'310 &amp; 491'!$D$86,'310 &amp; 491'!$D$88:$D$91,'310 &amp; 491'!$D$93,'310 &amp; 491'!$D$95:$D$103,'310 &amp; 491'!$D$105,'310 &amp; 491'!$D$107,'310 &amp; 491'!$D$109:$D$110,'310 &amp; 491'!$D$112</definedName>
    <definedName name="OSRRefD22x_0" localSheetId="52">'311'!$D$63:$D$71,'311'!$D$73:$D$79,'311'!$D$81,'311'!$D$83:$D$84,'311'!$D$86,'311'!$D$88,'311'!$D$90:$D$91,'311'!$D$93,'311'!$D$95,'311'!$D$97:$D$99,'311'!$D$101:$D$102,'311'!$D$104:$D$105,'311'!$D$107:$D$108,'311'!$D$110,'311'!$D$112</definedName>
    <definedName name="OSRRefD22x_0" localSheetId="66">'313'!$D$25:$D$32,'313'!$D$34,'313'!$D$36,'313'!$D$38,'313'!$D$40,'313'!$D$42,'313'!$D$44,'313'!$D$46</definedName>
    <definedName name="OSRRefD22x_0" localSheetId="57">'315'!$D$88:$D$95,'315'!$D$97:$D$102,'315'!$D$104,'315'!$D$106:$D$107,'315'!$D$109,'315'!$D$111,'315'!$D$113:$D$114,'315'!$D$116,'315'!$D$118:$D$119,'315'!$D$121,'315'!$D$123:$D$124,'315'!$D$126:$D$127,'315'!$D$129:$D$130,'315'!$D$132:$D$136,'315'!$D$138,'315'!$D$140,'315'!$D$142</definedName>
    <definedName name="OSRRefD22x_0" localSheetId="60">'316'!$D$34:$D$41,'316'!$D$43:$D$46,'316'!$D$48,'316'!$D$50,'316'!$D$52,'316'!$D$54,'316'!$D$56:$D$57,'316'!$D$59,'316'!$D$61:$D$63,'316'!$D$65,'316'!$D$67,'316'!$D$69:$D$74,'316'!$D$76,'316'!$D$78</definedName>
    <definedName name="OSRRefD22x_0" localSheetId="62">'317'!$D$56:$D$64,'317'!$D$66:$D$70,'317'!$D$72,'317'!$D$74,'317'!$D$76,'317'!$D$78:$D$79,'317'!$D$81,'317'!$D$83,'317'!$D$85,'317'!$D$87,'317'!$D$89:$D$92,'317'!$D$94,'317'!$D$96</definedName>
    <definedName name="OSRRefD22x_0" localSheetId="63">'320'!$D$22:$D$23,'320'!$D$25,'320'!$D$27</definedName>
    <definedName name="OSRRefD22x_0" localSheetId="67">'321'!$D$27:$D$35,'321'!$D$37:$D$42,'321'!$D$44,'321'!$D$46,'321'!$D$48,'321'!$D$50,'321'!$D$52,'321'!$D$54:$D$55,'321'!$D$57,'321'!$D$59:$D$61,'321'!$D$63:$D$67,'321'!$D$69,'321'!$D$71,'321'!$D$73</definedName>
    <definedName name="OSRRefD22x_0" localSheetId="68">'322'!$D$21:$D$25,'322'!$D$27,'322'!$D$29,'322'!$D$31,'322'!$D$33:$D$34,'322'!$D$36,'322'!$D$38,'322'!$D$40</definedName>
    <definedName name="OSRRefD22x_0" localSheetId="69">'325'!$D$24:$D$31,'325'!$D$33:$D$35,'325'!$D$37,'325'!$D$39,'325'!$D$41,'325'!$D$43:$D$44,'325'!$D$46,'325'!$D$48,'325'!$D$50,'325'!$D$52,'325'!$D$54,'325'!$D$56:$D$57,'325'!$D$59:$D$62,'325'!$D$64:$D$69,'325'!$D$71,'325'!$D$73,'325'!$D$75</definedName>
    <definedName name="OSRRefD22x_0" localSheetId="58">'326'!$D$53:$D$60,'326'!$D$62:$D$67,'326'!$D$69,'326'!$D$71,'326'!$D$73,'326'!$D$75,'326'!$D$77,'326'!$D$79,'326'!$D$81,'326'!$D$83,'326'!$D$85,'326'!$D$87:$D$89,'326'!$D$91:$D$93,'326'!$D$95:$D$96,'326'!$D$98:$D$101,'326'!$D$103,'326'!$D$105,'326'!$D$107</definedName>
    <definedName name="OSRRefD22x_0" localSheetId="70">'327'!$D$24,'327'!$D$26</definedName>
    <definedName name="OSRRefD22x_0" localSheetId="56">'331'!$D$89:$D$96,'331'!$D$98:$D$103,'331'!$D$105,'331'!$D$107,'331'!$D$109,'331'!$D$111:$D$112,'331'!$D$114,'331'!$D$116,'331'!$D$118:$D$119,'331'!$D$121,'331'!$D$123,'331'!$D$125:$D$126,'331'!$D$128,'331'!$D$130,'331'!$D$132:$D$134,'331'!$D$136:$D$137,'331'!$D$139:$D$141,'331'!$D$143:$D$144,'331'!$D$146:$D$151,'331'!$D$153,'331'!$D$155,'331'!$D$157,'331'!$D$159</definedName>
    <definedName name="OSRRefD22x_0" localSheetId="59">'332'!$D$36:$D$43,'332'!$D$45:$D$48,'332'!$D$50,'332'!$D$52,'332'!$D$54,'332'!$D$56,'332'!$D$58:$D$59,'332'!$D$61,'332'!$D$63:$D$65,'332'!$D$67,'332'!$D$69,'332'!$D$71:$D$76,'332'!$D$78,'332'!$D$80</definedName>
    <definedName name="OSRRefD22x_0" localSheetId="54">'333'!$D$91:$D$98,'333'!$D$100:$D$105,'333'!$D$107,'333'!$D$109,'333'!$D$111,'333'!$D$113:$D$114,'333'!$D$116,'333'!$D$118,'333'!$D$120:$D$121,'333'!$D$123,'333'!$D$125,'333'!$D$127:$D$128,'333'!$D$130,'333'!$D$132,'333'!$D$134:$D$136,'333'!$D$138:$D$139,'333'!$D$141:$D$144,'333'!$D$146:$D$147,'333'!$D$149:$D$154,'333'!$D$156,'333'!$D$158,'333'!$D$160,'333'!$D$162</definedName>
    <definedName name="OSRRefD22x_0" localSheetId="74">'405'!$D$24:$D$31,'405'!$D$33:$D$36,'405'!$D$38,'405'!$D$40,'405'!$D$42,'405'!$D$44:$D$45,'405'!$D$47,'405'!$D$49,'405'!$D$51,'405'!$D$53,'405'!$D$55:$D$56,'405'!$D$58:$D$61,'405'!$D$63,'405'!$D$65:$D$73,'405'!$D$75,'405'!$D$77,'405'!$D$79</definedName>
    <definedName name="OSRRefD22x_0" localSheetId="75">'406'!$D$20,'406'!$D$22,'406'!$D$24,'406'!$D$26,'406'!$D$28</definedName>
    <definedName name="OSRRefD22x_0" localSheetId="76">'411'!$D$20:$D$27,'411'!$D$29:$D$33,'411'!$D$35,'411'!$D$37,'411'!$D$39:$D$40,'411'!$D$42,'411'!$D$44,'411'!$D$46,'411'!$D$48,'411'!$D$50,'411'!$D$52,'411'!$D$54:$D$57,'411'!$D$59:$D$61,'411'!$D$63,'411'!$D$65:$D$67,'411'!$D$69,'411'!$D$71:$D$72,'411'!$D$74</definedName>
    <definedName name="OSRRefD22x_0" localSheetId="77">'412'!$D$20,'412'!$D$22,'412'!$D$24,'412'!$D$26:$D$27,'412'!$D$29,'412'!$D$31</definedName>
    <definedName name="OSRRefD22x_0" localSheetId="78">'413'!$D$20:$D$24,'413'!$D$26,'413'!$D$28,'413'!$D$30,'413'!$D$32,'413'!$D$34</definedName>
    <definedName name="OSRRefD22x_0" localSheetId="79">'414'!$D$22,'414'!$D$24,'414'!$D$26,'414'!$D$28,'414'!$D$30,'414'!$D$32:$D$33</definedName>
    <definedName name="OSRRefD22x_0" localSheetId="80">'415'!$D$24:$D$32,'415'!$D$34:$D$38,'415'!$D$40,'415'!$D$42,'415'!$D$44,'415'!$D$46:$D$47,'415'!$D$49,'415'!$D$51,'415'!$D$53,'415'!$D$55,'415'!$D$57,'415'!$D$59:$D$60,'415'!$D$62:$D$65,'415'!$D$67,'415'!$D$69:$D$75,'415'!$D$77,'415'!$D$79,'415'!$D$81</definedName>
    <definedName name="OSRRefD22x_0" localSheetId="81">'418'!$D$21:$D$28,'418'!$D$30:$D$33,'418'!$D$35,'418'!$D$37,'418'!$D$39:$D$40,'418'!$D$42,'418'!$D$44,'418'!$D$46,'418'!$D$48:$D$49,'418'!$D$51,'418'!$D$53,'418'!$D$55:$D$61,'418'!$D$63,'418'!$D$65</definedName>
    <definedName name="OSRRefD22x_0" localSheetId="82">'420'!$D$22,'420'!$D$24</definedName>
    <definedName name="OSRRefD22x_0" localSheetId="83">'423'!$D$20:$D$21,'423'!$D$23,'423'!$D$25,'423'!$D$27</definedName>
    <definedName name="OSRRefD22x_0" localSheetId="84">'424'!$D$20,'424'!$D$22,'424'!$D$24,'424'!$D$26</definedName>
    <definedName name="OSRRefD22x_0" localSheetId="85">'425'!$D$22:$D$26,'425'!$D$28,'425'!$D$30,'425'!$D$32,'425'!$D$34,'425'!$D$36:$D$37,'425'!$D$39,'425'!$D$41,'425'!$D$43</definedName>
    <definedName name="OSRRefD22x_0" localSheetId="88">'430'!$D$20:$D$27,'430'!$D$29,'430'!$D$31,'430'!$D$33,'430'!$D$35,'430'!$D$37:$D$39,'430'!$D$41,'430'!$D$43,'430'!$D$45</definedName>
    <definedName name="OSRRefD22x_0" localSheetId="89">'433'!$D$25:$D$33,'433'!$D$35:$D$40,'433'!$D$42,'433'!$D$44,'433'!$D$46,'433'!$D$48,'433'!$D$50,'433'!$D$52,'433'!$D$54,'433'!$D$56,'433'!$D$58,'433'!$D$60:$D$61,'433'!$D$63:$D$65,'433'!$D$67:$D$74,'433'!$D$76,'433'!$D$78</definedName>
    <definedName name="OSRRefD22x_0" localSheetId="90">'435'!$D$23:$D$24,'435'!$D$26,'435'!$D$28,'435'!$D$30,'435'!$D$32,'435'!$D$34</definedName>
    <definedName name="OSRRefD22x_0" localSheetId="91">'444'!$D$25:$D$33,'444'!$D$35:$D$40,'444'!$D$42,'444'!$D$44,'444'!$D$46,'444'!$D$48,'444'!$D$50,'444'!$D$52,'444'!$D$54,'444'!$D$56,'444'!$D$58,'444'!$D$60:$D$61,'444'!$D$63:$D$66,'444'!$D$68,'444'!$D$70:$D$77,'444'!$D$79,'444'!$D$81,'444'!$D$83</definedName>
    <definedName name="OSRRefD22x_0" localSheetId="92">'450'!$D$25:$D$33,'450'!$D$35:$D$39,'450'!$D$41,'450'!$D$43,'450'!$D$45,'450'!$D$47,'450'!$D$49,'450'!$D$51,'450'!$D$53,'450'!$D$55,'450'!$D$57,'450'!$D$59,'450'!$D$61:$D$62,'450'!$D$64:$D$66,'450'!$D$68:$D$73,'450'!$D$75,'450'!$D$77,'450'!$D$79</definedName>
    <definedName name="OSRRefD22x_0" localSheetId="73">'491'!$D$28:$D$36,'491'!$D$38:$D$43,'491'!$D$45,'491'!$D$47,'491'!$D$49,'491'!$D$51:$D$52,'491'!$D$54,'491'!$D$56,'491'!$D$58,'491'!$D$60,'491'!$D$62,'491'!$D$64,'491'!$D$66,'491'!$D$68,'491'!$D$70:$D$73,'491'!$D$75,'491'!$D$77:$D$80,'491'!$D$82,'491'!$D$84:$D$92,'491'!$D$94,'491'!$D$96,'491'!$D$98:$D$99,'491'!$D$101</definedName>
    <definedName name="OSRRefD22x_0" localSheetId="87">'492'!$D$27:$D$35,'492'!$D$37:$D$43,'492'!$D$45,'492'!$D$47,'492'!$D$49,'492'!$D$51,'492'!$D$53,'492'!$D$55,'492'!$D$57,'492'!$D$59,'492'!$D$61,'492'!$D$63,'492'!$D$65:$D$67,'492'!$D$69:$D$72,'492'!$D$74,'492'!$D$76:$D$83,'492'!$D$85,'492'!$D$87,'492'!$D$89:$D$91</definedName>
    <definedName name="OSRRefD22x_0" localSheetId="94">'501'!$D$21:$D$29,'501'!$D$31:$D$36,'501'!$D$38,'501'!$D$40,'501'!$D$42:$D$43,'501'!$D$45,'501'!$D$47,'501'!$D$49:$D$52,'501'!$D$54,'501'!$D$56:$D$57,'501'!$D$59,'501'!$D$61</definedName>
    <definedName name="OSRRefD22x_0" localSheetId="39">'Div 2'!$D$20:$D$30,'Div 2'!$D$32:$D$37,'Div 2'!$D$39,'Div 2'!$D$41,'Div 2'!$D$43,'Div 2'!$D$45,'Div 2'!$D$47,'Div 2'!$D$49,'Div 2'!$D$51,'Div 2'!$D$53:$D$54,'Div 2'!$D$56,'Div 2'!$D$58,'Div 2'!$D$60:$D$62,'Div 2'!$D$64:$D$67,'Div 2'!$D$69,'Div 2'!$D$71:$D$72,'Div 2'!$D$74:$D$78,'Div 2'!$D$80:$D$81,'Div 2'!$D$83,'Div 2'!$D$85:$D$86</definedName>
    <definedName name="OSRRefD22x_0" localSheetId="47">'Div 3'!$D$137:$D$146,'Div 3'!$D$148:$D$154,'Div 3'!$D$156,'Div 3'!$D$158:$D$159,'Div 3'!$D$161,'Div 3'!$D$163:$D$164,'Div 3'!$D$166:$D$167,'Div 3'!$D$169,'Div 3'!$D$171,'Div 3'!$D$173,'Div 3'!$D$175:$D$176,'Div 3'!$D$178,'Div 3'!$D$180,'Div 3'!$D$182,'Div 3'!$D$184:$D$185,'Div 3'!$D$187,'Div 3'!$D$189,'Div 3'!$D$191:$D$194,'Div 3'!$D$196:$D$198,'Div 3'!$D$200:$D$204,'Div 3'!$D$206:$D$207,'Div 3'!$D$209:$D$215,'Div 3'!$D$217:$D$218,'Div 3'!$D$220,'Div 3'!$D$222:$D$224,'Div 3'!$D$226</definedName>
    <definedName name="OSRRefD22x_0" localSheetId="71">'Div 4'!$D$31:$D$39,'Div 4'!$D$41:$D$47,'Div 4'!$D$49,'Div 4'!$D$51,'Div 4'!$D$53,'Div 4'!$D$55:$D$56,'Div 4'!$D$58,'Div 4'!$D$60,'Div 4'!$D$62,'Div 4'!$D$64,'Div 4'!$D$66,'Div 4'!$D$68,'Div 4'!$D$70,'Div 4'!$D$72,'Div 4'!$D$74,'Div 4'!$D$76,'Div 4'!$D$78:$D$81,'Div 4'!$D$83,'Div 4'!$D$85:$D$88,'Div 4'!$D$90:$D$91,'Div 4'!$D$93:$D$101,'Div 4'!$D$103,'Div 4'!$D$105,'Div 4'!$D$107:$D$109,'Div 4'!$D$111</definedName>
    <definedName name="OSRRefD22x_0" localSheetId="93">'Div 5'!$D$21:$D$29,'Div 5'!$D$31:$D$36,'Div 5'!$D$38,'Div 5'!$D$40,'Div 5'!$D$42:$D$43,'Div 5'!$D$45,'Div 5'!$D$47,'Div 5'!$D$49:$D$52,'Div 5'!$D$54,'Div 5'!$D$56:$D$57,'Div 5'!$D$59,'Div 5'!$D$61</definedName>
    <definedName name="OSRRefD22x_0" localSheetId="61">'Div 6'!$D$56:$D$64,'Div 6'!$D$66:$D$70,'Div 6'!$D$72,'Div 6'!$D$74,'Div 6'!$D$76,'Div 6'!$D$78:$D$79,'Div 6'!$D$81,'Div 6'!$D$83,'Div 6'!$D$85,'Div 6'!$D$87,'Div 6'!$D$89:$D$92,'Div 6'!$D$94,'Div 6'!$D$96</definedName>
    <definedName name="OSRRefD22x_0" localSheetId="2">Summary!$D$166:$D$175,Summary!$D$177:$D$183,Summary!$D$185,Summary!$D$187:$D$188,Summary!$D$190,Summary!$D$192:$D$193,Summary!$D$195:$D$196,Summary!$D$198,Summary!$D$200,Summary!$D$202,Summary!$D$204:$D$205,Summary!$D$207,Summary!$D$209,Summary!$D$211,Summary!$D$213:$D$214,Summary!$D$216,Summary!$D$218,Summary!$D$220,Summary!$D$222:$D$225,Summary!$D$227:$D$229,Summary!$D$231:$D$235,Summary!$D$237:$D$238,Summary!$D$240:$D$248,Summary!$D$250:$D$251,Summary!$D$253,Summary!$D$255:$D$257,Summary!$D$259</definedName>
    <definedName name="OSRRefD25x_0" localSheetId="48">'300'!$D$219:$D$223</definedName>
    <definedName name="OSRRefD25x_0" localSheetId="49">'300 &amp; 317'!$D$243:$D$249</definedName>
    <definedName name="OSRRefD25x_0" localSheetId="50">'301'!$D$99</definedName>
    <definedName name="OSRRefD25x_0" localSheetId="51">'308'!$D$115:$D$117</definedName>
    <definedName name="OSRRefD25x_0" localSheetId="72">'310 &amp; 491'!$D$115:$D$117</definedName>
    <definedName name="OSRRefD25x_0" localSheetId="52">'311'!$D$115:$D$117</definedName>
    <definedName name="OSRRefD25x_0" localSheetId="57">'315'!$D$145:$D$147</definedName>
    <definedName name="OSRRefD25x_0" localSheetId="60">'316'!$D$81</definedName>
    <definedName name="OSRRefD25x_0" localSheetId="62">'317'!$D$99:$D$101</definedName>
    <definedName name="OSRRefD25x_0" localSheetId="63">'320'!$D$30</definedName>
    <definedName name="OSRRefD25x_0" localSheetId="56">'331'!$D$162:$D$164</definedName>
    <definedName name="OSRRefD25x_0" localSheetId="59">'332'!$D$83:$D$84</definedName>
    <definedName name="OSRRefD25x_0" localSheetId="54">'333'!$D$165:$D$167</definedName>
    <definedName name="OSRRefD25x_0" localSheetId="74">'405'!$D$82</definedName>
    <definedName name="OSRRefD25x_0" localSheetId="76">'411'!$D$77:$D$78</definedName>
    <definedName name="OSRRefD25x_0" localSheetId="80">'415'!$D$84</definedName>
    <definedName name="OSRRefD25x_0" localSheetId="81">'418'!$D$68</definedName>
    <definedName name="OSRRefD25x_0" localSheetId="83">'423'!$D$30</definedName>
    <definedName name="OSRRefD25x_0" localSheetId="86">'455'!$D$21:$D$22</definedName>
    <definedName name="OSRRefD25x_0" localSheetId="73">'491'!$D$104:$D$106</definedName>
    <definedName name="OSRRefD25x_0" localSheetId="94">'501'!$D$64</definedName>
    <definedName name="OSRRefD25x_0" localSheetId="47">'Div 3'!$D$229:$D$233</definedName>
    <definedName name="OSRRefD25x_0" localSheetId="71">'Div 4'!$D$114:$D$116</definedName>
    <definedName name="OSRRefD25x_0" localSheetId="93">'Div 5'!$D$64</definedName>
    <definedName name="OSRRefD25x_0" localSheetId="61">'Div 6'!$D$99:$D$101</definedName>
    <definedName name="OSRRefD25x_0" localSheetId="2">Summary!$D$262:$D$270</definedName>
    <definedName name="OSRRefH13x_0" localSheetId="48">'300'!$H$13:$H$81</definedName>
    <definedName name="OSRRefH13x_0" localSheetId="49">'300 &amp; 317'!$H$13:$H$96</definedName>
    <definedName name="OSRRefH13x_0" localSheetId="55">'307'!$H$13:$H$25</definedName>
    <definedName name="OSRRefH13x_0" localSheetId="51">'308'!$H$13:$H$38</definedName>
    <definedName name="OSRRefH13x_0" localSheetId="65">'309'!$H$13:$H$16</definedName>
    <definedName name="OSRRefH13x_0" localSheetId="64">'310'!$H$13:$H$23</definedName>
    <definedName name="OSRRefH13x_0" localSheetId="72">'310 &amp; 491'!$H$13:$H$26</definedName>
    <definedName name="OSRRefH13x_0" localSheetId="52">'311'!$H$13:$H$38</definedName>
    <definedName name="OSRRefH13x_0" localSheetId="66">'313'!$H$13:$H$16</definedName>
    <definedName name="OSRRefH13x_0" localSheetId="57">'315'!$H$13:$H$55</definedName>
    <definedName name="OSRRefH13x_0" localSheetId="60">'316'!$H$13:$H$25</definedName>
    <definedName name="OSRRefH13x_0" localSheetId="62">'317'!$H$13:$H$34</definedName>
    <definedName name="OSRRefH13x_0" localSheetId="67">'321'!$H$13:$H$16</definedName>
    <definedName name="OSRRefH13x_0" localSheetId="53">'324'!$H$13:$H$16</definedName>
    <definedName name="OSRRefH13x_0" localSheetId="69">'325'!$H$13:$H$14</definedName>
    <definedName name="OSRRefH13x_0" localSheetId="58">'326'!$H$13:$H$36</definedName>
    <definedName name="OSRRefH13x_0" localSheetId="70">'327'!$H$13:$H$14</definedName>
    <definedName name="OSRRefH13x_0" localSheetId="56">'331'!$H$13:$H$55</definedName>
    <definedName name="OSRRefH13x_0" localSheetId="59">'332'!$H$13:$H$25</definedName>
    <definedName name="OSRRefH13x_0" localSheetId="54">'333'!$H$13:$H$57</definedName>
    <definedName name="OSRRefH13x_0" localSheetId="74">'405'!$H$13:$H$14</definedName>
    <definedName name="OSRRefH13x_0" localSheetId="79">'414'!$H$13</definedName>
    <definedName name="OSRRefH13x_0" localSheetId="80">'415'!$H$13:$H$14</definedName>
    <definedName name="OSRRefH13x_0" localSheetId="82">'420'!$H$13:$H$14</definedName>
    <definedName name="OSRRefH13x_0" localSheetId="85">'425'!$H$13</definedName>
    <definedName name="OSRRefH13x_0" localSheetId="89">'433'!$H$13:$H$15</definedName>
    <definedName name="OSRRefH13x_0" localSheetId="90">'435'!$H$13:$H$14</definedName>
    <definedName name="OSRRefH13x_0" localSheetId="91">'444'!$H$13:$H$15</definedName>
    <definedName name="OSRRefH13x_0" localSheetId="92">'450'!$H$13:$H$15</definedName>
    <definedName name="OSRRefH13x_0" localSheetId="73">'491'!$H$13:$H$18</definedName>
    <definedName name="OSRRefH13x_0" localSheetId="87">'492'!$H$13:$H$17</definedName>
    <definedName name="OSRRefH13x_0" localSheetId="94">'501'!$H$13</definedName>
    <definedName name="OSRRefH13x_0" localSheetId="47">'Div 3'!$H$13:$H$86</definedName>
    <definedName name="OSRRefH13x_0" localSheetId="71">'Div 4'!$H$13:$H$21</definedName>
    <definedName name="OSRRefH13x_0" localSheetId="93">'Div 5'!$H$13</definedName>
    <definedName name="OSRRefH13x_0" localSheetId="61">'Div 6'!$H$13:$H$34</definedName>
    <definedName name="OSRRefH13x_0" localSheetId="2">Summary!$H$13:$H$106</definedName>
    <definedName name="OSRRefH16x_0" localSheetId="48">'300'!$H$84:$H$124</definedName>
    <definedName name="OSRRefH16x_0" localSheetId="49">'300 &amp; 317'!$H$99:$H$148</definedName>
    <definedName name="OSRRefH16x_0" localSheetId="50">'301'!$H$15:$H$16</definedName>
    <definedName name="OSRRefH16x_0" localSheetId="55">'307'!$H$28:$H$37</definedName>
    <definedName name="OSRRefH16x_0" localSheetId="51">'308'!$H$41:$H$57</definedName>
    <definedName name="OSRRefH16x_0" localSheetId="65">'309'!$H$19:$H$20</definedName>
    <definedName name="OSRRefH16x_0" localSheetId="64">'310'!$H$26:$H$28</definedName>
    <definedName name="OSRRefH16x_0" localSheetId="72">'310 &amp; 491'!$H$29:$H$31</definedName>
    <definedName name="OSRRefH16x_0" localSheetId="52">'311'!$H$41:$H$57</definedName>
    <definedName name="OSRRefH16x_0" localSheetId="66">'313'!$H$19</definedName>
    <definedName name="OSRRefH16x_0" localSheetId="57">'315'!$H$58:$H$82</definedName>
    <definedName name="OSRRefH16x_0" localSheetId="60">'316'!$H$28</definedName>
    <definedName name="OSRRefH16x_0" localSheetId="62">'317'!$H$37:$H$50</definedName>
    <definedName name="OSRRefH16x_0" localSheetId="63">'320'!$H$15:$H$16</definedName>
    <definedName name="OSRRefH16x_0" localSheetId="67">'321'!$H$19:$H$21</definedName>
    <definedName name="OSRRefH16x_0" localSheetId="68">'322'!$H$15</definedName>
    <definedName name="OSRRefH16x_0" localSheetId="53">'324'!$H$19:$H$21</definedName>
    <definedName name="OSRRefH16x_0" localSheetId="69">'325'!$H$17:$H$18</definedName>
    <definedName name="OSRRefH16x_0" localSheetId="58">'326'!$H$39:$H$47</definedName>
    <definedName name="OSRRefH16x_0" localSheetId="70">'327'!$H$17:$H$18</definedName>
    <definedName name="OSRRefH16x_0" localSheetId="56">'331'!$H$58:$H$83</definedName>
    <definedName name="OSRRefH16x_0" localSheetId="59">'332'!$H$28:$H$30</definedName>
    <definedName name="OSRRefH16x_0" localSheetId="54">'333'!$H$60:$H$85</definedName>
    <definedName name="OSRRefH16x_0" localSheetId="74">'405'!$H$17:$H$18</definedName>
    <definedName name="OSRRefH16x_0" localSheetId="79">'414'!$H$16</definedName>
    <definedName name="OSRRefH16x_0" localSheetId="80">'415'!$H$17:$H$18</definedName>
    <definedName name="OSRRefH16x_0" localSheetId="81">'418'!$H$15</definedName>
    <definedName name="OSRRefH16x_0" localSheetId="85">'425'!$H$16</definedName>
    <definedName name="OSRRefH16x_0" localSheetId="89">'433'!$H$18:$H$19</definedName>
    <definedName name="OSRRefH16x_0" localSheetId="90">'435'!$H$17</definedName>
    <definedName name="OSRRefH16x_0" localSheetId="91">'444'!$H$18:$H$19</definedName>
    <definedName name="OSRRefH16x_0" localSheetId="92">'450'!$H$18:$H$19</definedName>
    <definedName name="OSRRefH16x_0" localSheetId="73">'491'!$H$21:$H$22</definedName>
    <definedName name="OSRRefH16x_0" localSheetId="87">'492'!$H$20:$H$21</definedName>
    <definedName name="OSRRefH16x_0" localSheetId="47">'Div 3'!$H$89:$H$131</definedName>
    <definedName name="OSRRefH16x_0" localSheetId="71">'Div 4'!$H$24:$H$25</definedName>
    <definedName name="OSRRefH16x_0" localSheetId="61">'Div 6'!$H$37:$H$50</definedName>
    <definedName name="OSRRefH16x_0" localSheetId="2">Summary!$H$109:$H$160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'300'!$H$130:$H$139</definedName>
    <definedName name="OSRRefH22_0x_0" localSheetId="49">'300 &amp; 317'!$H$154:$H$163</definedName>
    <definedName name="OSRRefH22_0x_0" localSheetId="50">'301'!$H$22:$H$31</definedName>
    <definedName name="OSRRefH22_0x_0" localSheetId="55">'307'!$H$43:$H$49</definedName>
    <definedName name="OSRRefH22_0x_0" localSheetId="51">'308'!$H$63:$H$71</definedName>
    <definedName name="OSRRefH22_0x_0" localSheetId="65">'309'!$H$26:$H$27</definedName>
    <definedName name="OSRRefH22_0x_0" localSheetId="64">'310'!$H$34:$H$42</definedName>
    <definedName name="OSRRefH22_0x_0" localSheetId="72">'310 &amp; 491'!$H$37:$H$45</definedName>
    <definedName name="OSRRefH22_0x_0" localSheetId="52">'311'!$H$63:$H$71</definedName>
    <definedName name="OSRRefH22_0x_0" localSheetId="66">'313'!$H$25:$H$32</definedName>
    <definedName name="OSRRefH22_0x_0" localSheetId="57">'315'!$H$88:$H$95</definedName>
    <definedName name="OSRRefH22_0x_0" localSheetId="60">'316'!$H$34:$H$41</definedName>
    <definedName name="OSRRefH22_0x_0" localSheetId="62">'317'!$H$56:$H$64</definedName>
    <definedName name="OSRRefH22_0x_0" localSheetId="63">'320'!$H$22:$H$23</definedName>
    <definedName name="OSRRefH22_0x_0" localSheetId="67">'321'!$H$27:$H$35</definedName>
    <definedName name="OSRRefH22_0x_0" localSheetId="68">'322'!$H$21:$H$25</definedName>
    <definedName name="OSRRefH22_0x_0" localSheetId="69">'325'!$H$24:$H$31</definedName>
    <definedName name="OSRRefH22_0x_0" localSheetId="58">'326'!$H$53:$H$60</definedName>
    <definedName name="OSRRefH22_0x_0" localSheetId="70">'327'!$H$24</definedName>
    <definedName name="OSRRefH22_0x_0" localSheetId="56">'331'!$H$89:$H$96</definedName>
    <definedName name="OSRRefH22_0x_0" localSheetId="59">'332'!$H$36:$H$43</definedName>
    <definedName name="OSRRefH22_0x_0" localSheetId="54">'333'!$H$91:$H$98</definedName>
    <definedName name="OSRRefH22_0x_0" localSheetId="74">'405'!$H$24:$H$31</definedName>
    <definedName name="OSRRefH22_0x_0" localSheetId="75">'406'!$H$20</definedName>
    <definedName name="OSRRefH22_0x_0" localSheetId="76">'411'!$H$20:$H$27</definedName>
    <definedName name="OSRRefH22_0x_0" localSheetId="77">'412'!$H$20</definedName>
    <definedName name="OSRRefH22_0x_0" localSheetId="78">'413'!$H$20:$H$24</definedName>
    <definedName name="OSRRefH22_0x_0" localSheetId="79">'414'!$H$22</definedName>
    <definedName name="OSRRefH22_0x_0" localSheetId="80">'415'!$H$24:$H$32</definedName>
    <definedName name="OSRRefH22_0x_0" localSheetId="81">'418'!$H$21:$H$28</definedName>
    <definedName name="OSRRefH22_0x_0" localSheetId="82">'420'!$H$22</definedName>
    <definedName name="OSRRefH22_0x_0" localSheetId="83">'423'!$H$20:$H$21</definedName>
    <definedName name="OSRRefH22_0x_0" localSheetId="84">'424'!$H$20</definedName>
    <definedName name="OSRRefH22_0x_0" localSheetId="85">'425'!$H$22:$H$26</definedName>
    <definedName name="OSRRefH22_0x_0" localSheetId="88">'430'!$H$20:$H$27</definedName>
    <definedName name="OSRRefH22_0x_0" localSheetId="89">'433'!$H$25:$H$33</definedName>
    <definedName name="OSRRefH22_0x_0" localSheetId="90">'435'!$H$23:$H$24</definedName>
    <definedName name="OSRRefH22_0x_0" localSheetId="91">'444'!$H$25:$H$33</definedName>
    <definedName name="OSRRefH22_0x_0" localSheetId="92">'450'!$H$25:$H$33</definedName>
    <definedName name="OSRRefH22_0x_0" localSheetId="73">'491'!$H$28:$H$36</definedName>
    <definedName name="OSRRefH22_0x_0" localSheetId="87">'492'!$H$27:$H$35</definedName>
    <definedName name="OSRRefH22_0x_0" localSheetId="94">'501'!$H$21:$H$29</definedName>
    <definedName name="OSRRefH22_0x_0" localSheetId="39">'Div 2'!$H$20:$H$30</definedName>
    <definedName name="OSRRefH22_0x_0" localSheetId="47">'Div 3'!$H$137:$H$146</definedName>
    <definedName name="OSRRefH22_0x_0" localSheetId="71">'Div 4'!$H$31:$H$39</definedName>
    <definedName name="OSRRefH22_0x_0" localSheetId="93">'Div 5'!$H$21:$H$29</definedName>
    <definedName name="OSRRefH22_0x_0" localSheetId="61">'Div 6'!$H$56:$H$64</definedName>
    <definedName name="OSRRefH22_0x_0" localSheetId="2">Summary!$H$166:$H$175</definedName>
    <definedName name="OSRRefH22_10x_0" localSheetId="41">'201'!$H$52:$H$54</definedName>
    <definedName name="OSRRefH22_10x_0" localSheetId="42">'202'!$H$54</definedName>
    <definedName name="OSRRefH22_10x_0" localSheetId="43">'203'!$H$56:$H$59</definedName>
    <definedName name="OSRRefH22_10x_0" localSheetId="48">'300'!$H$168:$H$169</definedName>
    <definedName name="OSRRefH22_10x_0" localSheetId="49">'300 &amp; 317'!$H$192:$H$193</definedName>
    <definedName name="OSRRefH22_10x_0" localSheetId="50">'301'!$H$60</definedName>
    <definedName name="OSRRefH22_10x_0" localSheetId="55">'307'!$H$75</definedName>
    <definedName name="OSRRefH22_10x_0" localSheetId="51">'308'!$H$101:$H$102</definedName>
    <definedName name="OSRRefH22_10x_0" localSheetId="65">'309'!$H$50:$H$51</definedName>
    <definedName name="OSRRefH22_10x_0" localSheetId="64">'310'!$H$68</definedName>
    <definedName name="OSRRefH22_10x_0" localSheetId="72">'310 &amp; 491'!$H$73</definedName>
    <definedName name="OSRRefH22_10x_0" localSheetId="52">'311'!$H$101:$H$102</definedName>
    <definedName name="OSRRefH22_10x_0" localSheetId="57">'315'!$H$123:$H$124</definedName>
    <definedName name="OSRRefH22_10x_0" localSheetId="60">'316'!$H$67</definedName>
    <definedName name="OSRRefH22_10x_0" localSheetId="62">'317'!$H$89:$H$92</definedName>
    <definedName name="OSRRefH22_10x_0" localSheetId="67">'321'!$H$63:$H$67</definedName>
    <definedName name="OSRRefH22_10x_0" localSheetId="69">'325'!$H$54</definedName>
    <definedName name="OSRRefH22_10x_0" localSheetId="58">'326'!$H$85</definedName>
    <definedName name="OSRRefH22_10x_0" localSheetId="56">'331'!$H$123</definedName>
    <definedName name="OSRRefH22_10x_0" localSheetId="59">'332'!$H$69</definedName>
    <definedName name="OSRRefH22_10x_0" localSheetId="54">'333'!$H$125</definedName>
    <definedName name="OSRRefH22_10x_0" localSheetId="74">'405'!$H$55:$H$56</definedName>
    <definedName name="OSRRefH22_10x_0" localSheetId="76">'411'!$H$52</definedName>
    <definedName name="OSRRefH22_10x_0" localSheetId="80">'415'!$H$57</definedName>
    <definedName name="OSRRefH22_10x_0" localSheetId="81">'418'!$H$53</definedName>
    <definedName name="OSRRefH22_10x_0" localSheetId="89">'433'!$H$58</definedName>
    <definedName name="OSRRefH22_10x_0" localSheetId="91">'444'!$H$58</definedName>
    <definedName name="OSRRefH22_10x_0" localSheetId="92">'450'!$H$57</definedName>
    <definedName name="OSRRefH22_10x_0" localSheetId="73">'491'!$H$62</definedName>
    <definedName name="OSRRefH22_10x_0" localSheetId="87">'492'!$H$61</definedName>
    <definedName name="OSRRefH22_10x_0" localSheetId="94">'501'!$H$59</definedName>
    <definedName name="OSRRefH22_10x_0" localSheetId="39">'Div 2'!$H$56</definedName>
    <definedName name="OSRRefH22_10x_0" localSheetId="47">'Div 3'!$H$175:$H$176</definedName>
    <definedName name="OSRRefH22_10x_0" localSheetId="71">'Div 4'!$H$66</definedName>
    <definedName name="OSRRefH22_10x_0" localSheetId="93">'Div 5'!$H$59</definedName>
    <definedName name="OSRRefH22_10x_0" localSheetId="61">'Div 6'!$H$89:$H$92</definedName>
    <definedName name="OSRRefH22_10x_0" localSheetId="2">Summary!$H$204:$H$205</definedName>
    <definedName name="OSRRefH22_11x_0" localSheetId="41">'201'!$H$56</definedName>
    <definedName name="OSRRefH22_11x_0" localSheetId="42">'202'!$H$56</definedName>
    <definedName name="OSRRefH22_11x_0" localSheetId="43">'203'!$H$61</definedName>
    <definedName name="OSRRefH22_11x_0" localSheetId="48">'300'!$H$171</definedName>
    <definedName name="OSRRefH22_11x_0" localSheetId="49">'300 &amp; 317'!$H$195</definedName>
    <definedName name="OSRRefH22_11x_0" localSheetId="50">'301'!$H$62</definedName>
    <definedName name="OSRRefH22_11x_0" localSheetId="55">'307'!$H$77:$H$80</definedName>
    <definedName name="OSRRefH22_11x_0" localSheetId="51">'308'!$H$104:$H$105</definedName>
    <definedName name="OSRRefH22_11x_0" localSheetId="65">'309'!$H$53</definedName>
    <definedName name="OSRRefH22_11x_0" localSheetId="64">'310'!$H$70</definedName>
    <definedName name="OSRRefH22_11x_0" localSheetId="72">'310 &amp; 491'!$H$75</definedName>
    <definedName name="OSRRefH22_11x_0" localSheetId="52">'311'!$H$104:$H$105</definedName>
    <definedName name="OSRRefH22_11x_0" localSheetId="57">'315'!$H$126:$H$127</definedName>
    <definedName name="OSRRefH22_11x_0" localSheetId="60">'316'!$H$69:$H$74</definedName>
    <definedName name="OSRRefH22_11x_0" localSheetId="62">'317'!$H$94</definedName>
    <definedName name="OSRRefH22_11x_0" localSheetId="67">'321'!$H$69</definedName>
    <definedName name="OSRRefH22_11x_0" localSheetId="69">'325'!$H$56:$H$57</definedName>
    <definedName name="OSRRefH22_11x_0" localSheetId="58">'326'!$H$87:$H$89</definedName>
    <definedName name="OSRRefH22_11x_0" localSheetId="56">'331'!$H$125:$H$126</definedName>
    <definedName name="OSRRefH22_11x_0" localSheetId="59">'332'!$H$71:$H$76</definedName>
    <definedName name="OSRRefH22_11x_0" localSheetId="54">'333'!$H$127:$H$128</definedName>
    <definedName name="OSRRefH22_11x_0" localSheetId="74">'405'!$H$58:$H$61</definedName>
    <definedName name="OSRRefH22_11x_0" localSheetId="76">'411'!$H$54:$H$57</definedName>
    <definedName name="OSRRefH22_11x_0" localSheetId="80">'415'!$H$59:$H$60</definedName>
    <definedName name="OSRRefH22_11x_0" localSheetId="81">'418'!$H$55:$H$61</definedName>
    <definedName name="OSRRefH22_11x_0" localSheetId="89">'433'!$H$60:$H$61</definedName>
    <definedName name="OSRRefH22_11x_0" localSheetId="91">'444'!$H$60:$H$61</definedName>
    <definedName name="OSRRefH22_11x_0" localSheetId="92">'450'!$H$59</definedName>
    <definedName name="OSRRefH22_11x_0" localSheetId="73">'491'!$H$64</definedName>
    <definedName name="OSRRefH22_11x_0" localSheetId="87">'492'!$H$63</definedName>
    <definedName name="OSRRefH22_11x_0" localSheetId="94">'501'!$H$61</definedName>
    <definedName name="OSRRefH22_11x_0" localSheetId="39">'Div 2'!$H$58</definedName>
    <definedName name="OSRRefH22_11x_0" localSheetId="47">'Div 3'!$H$178</definedName>
    <definedName name="OSRRefH22_11x_0" localSheetId="71">'Div 4'!$H$68</definedName>
    <definedName name="OSRRefH22_11x_0" localSheetId="93">'Div 5'!$H$61</definedName>
    <definedName name="OSRRefH22_11x_0" localSheetId="61">'Div 6'!$H$94</definedName>
    <definedName name="OSRRefH22_11x_0" localSheetId="2">Summary!$H$207</definedName>
    <definedName name="OSRRefH22_12x_0" localSheetId="41">'201'!$H$58:$H$59</definedName>
    <definedName name="OSRRefH22_12x_0" localSheetId="42">'202'!$H$58</definedName>
    <definedName name="OSRRefH22_12x_0" localSheetId="43">'203'!$H$63</definedName>
    <definedName name="OSRRefH22_12x_0" localSheetId="48">'300'!$H$173</definedName>
    <definedName name="OSRRefH22_12x_0" localSheetId="49">'300 &amp; 317'!$H$197</definedName>
    <definedName name="OSRRefH22_12x_0" localSheetId="50">'301'!$H$64</definedName>
    <definedName name="OSRRefH22_12x_0" localSheetId="55">'307'!$H$82</definedName>
    <definedName name="OSRRefH22_12x_0" localSheetId="51">'308'!$H$107:$H$108</definedName>
    <definedName name="OSRRefH22_12x_0" localSheetId="65">'309'!$H$55</definedName>
    <definedName name="OSRRefH22_12x_0" localSheetId="64">'310'!$H$72:$H$73</definedName>
    <definedName name="OSRRefH22_12x_0" localSheetId="72">'310 &amp; 491'!$H$77</definedName>
    <definedName name="OSRRefH22_12x_0" localSheetId="52">'311'!$H$107:$H$108</definedName>
    <definedName name="OSRRefH22_12x_0" localSheetId="57">'315'!$H$129:$H$130</definedName>
    <definedName name="OSRRefH22_12x_0" localSheetId="60">'316'!$H$76</definedName>
    <definedName name="OSRRefH22_12x_0" localSheetId="62">'317'!$H$96</definedName>
    <definedName name="OSRRefH22_12x_0" localSheetId="67">'321'!$H$71</definedName>
    <definedName name="OSRRefH22_12x_0" localSheetId="69">'325'!$H$59:$H$62</definedName>
    <definedName name="OSRRefH22_12x_0" localSheetId="58">'326'!$H$91:$H$93</definedName>
    <definedName name="OSRRefH22_12x_0" localSheetId="56">'331'!$H$128</definedName>
    <definedName name="OSRRefH22_12x_0" localSheetId="59">'332'!$H$78</definedName>
    <definedName name="OSRRefH22_12x_0" localSheetId="54">'333'!$H$130</definedName>
    <definedName name="OSRRefH22_12x_0" localSheetId="74">'405'!$H$63</definedName>
    <definedName name="OSRRefH22_12x_0" localSheetId="76">'411'!$H$59:$H$61</definedName>
    <definedName name="OSRRefH22_12x_0" localSheetId="80">'415'!$H$62:$H$65</definedName>
    <definedName name="OSRRefH22_12x_0" localSheetId="81">'418'!$H$63</definedName>
    <definedName name="OSRRefH22_12x_0" localSheetId="89">'433'!$H$63:$H$65</definedName>
    <definedName name="OSRRefH22_12x_0" localSheetId="91">'444'!$H$63:$H$66</definedName>
    <definedName name="OSRRefH22_12x_0" localSheetId="92">'450'!$H$61:$H$62</definedName>
    <definedName name="OSRRefH22_12x_0" localSheetId="73">'491'!$H$66</definedName>
    <definedName name="OSRRefH22_12x_0" localSheetId="87">'492'!$H$65:$H$67</definedName>
    <definedName name="OSRRefH22_12x_0" localSheetId="39">'Div 2'!$H$60:$H$62</definedName>
    <definedName name="OSRRefH22_12x_0" localSheetId="47">'Div 3'!$H$180</definedName>
    <definedName name="OSRRefH22_12x_0" localSheetId="71">'Div 4'!$H$70</definedName>
    <definedName name="OSRRefH22_12x_0" localSheetId="61">'Div 6'!$H$96</definedName>
    <definedName name="OSRRefH22_12x_0" localSheetId="2">Summary!$H$209</definedName>
    <definedName name="OSRRefH22_13x_0" localSheetId="41">'201'!$H$61</definedName>
    <definedName name="OSRRefH22_13x_0" localSheetId="43">'203'!$H$65</definedName>
    <definedName name="OSRRefH22_13x_0" localSheetId="48">'300'!$H$175:$H$176</definedName>
    <definedName name="OSRRefH22_13x_0" localSheetId="49">'300 &amp; 317'!$H$199:$H$200</definedName>
    <definedName name="OSRRefH22_13x_0" localSheetId="50">'301'!$H$66</definedName>
    <definedName name="OSRRefH22_13x_0" localSheetId="55">'307'!$H$84</definedName>
    <definedName name="OSRRefH22_13x_0" localSheetId="51">'308'!$H$110</definedName>
    <definedName name="OSRRefH22_13x_0" localSheetId="64">'310'!$H$75</definedName>
    <definedName name="OSRRefH22_13x_0" localSheetId="72">'310 &amp; 491'!$H$79</definedName>
    <definedName name="OSRRefH22_13x_0" localSheetId="52">'311'!$H$110</definedName>
    <definedName name="OSRRefH22_13x_0" localSheetId="57">'315'!$H$132:$H$136</definedName>
    <definedName name="OSRRefH22_13x_0" localSheetId="60">'316'!$H$78</definedName>
    <definedName name="OSRRefH22_13x_0" localSheetId="67">'321'!$H$73</definedName>
    <definedName name="OSRRefH22_13x_0" localSheetId="69">'325'!$H$64:$H$69</definedName>
    <definedName name="OSRRefH22_13x_0" localSheetId="58">'326'!$H$95:$H$96</definedName>
    <definedName name="OSRRefH22_13x_0" localSheetId="56">'331'!$H$130</definedName>
    <definedName name="OSRRefH22_13x_0" localSheetId="59">'332'!$H$80</definedName>
    <definedName name="OSRRefH22_13x_0" localSheetId="54">'333'!$H$132</definedName>
    <definedName name="OSRRefH22_13x_0" localSheetId="74">'405'!$H$65:$H$73</definedName>
    <definedName name="OSRRefH22_13x_0" localSheetId="76">'411'!$H$63</definedName>
    <definedName name="OSRRefH22_13x_0" localSheetId="80">'415'!$H$67</definedName>
    <definedName name="OSRRefH22_13x_0" localSheetId="81">'418'!$H$65</definedName>
    <definedName name="OSRRefH22_13x_0" localSheetId="89">'433'!$H$67:$H$74</definedName>
    <definedName name="OSRRefH22_13x_0" localSheetId="91">'444'!$H$68</definedName>
    <definedName name="OSRRefH22_13x_0" localSheetId="92">'450'!$H$64:$H$66</definedName>
    <definedName name="OSRRefH22_13x_0" localSheetId="73">'491'!$H$68</definedName>
    <definedName name="OSRRefH22_13x_0" localSheetId="87">'492'!$H$69:$H$72</definedName>
    <definedName name="OSRRefH22_13x_0" localSheetId="39">'Div 2'!$H$64:$H$67</definedName>
    <definedName name="OSRRefH22_13x_0" localSheetId="47">'Div 3'!$H$182</definedName>
    <definedName name="OSRRefH22_13x_0" localSheetId="71">'Div 4'!$H$72</definedName>
    <definedName name="OSRRefH22_13x_0" localSheetId="2">Summary!$H$211</definedName>
    <definedName name="OSRRefH22_14x_0" localSheetId="41">'201'!$H$63</definedName>
    <definedName name="OSRRefH22_14x_0" localSheetId="48">'300'!$H$178</definedName>
    <definedName name="OSRRefH22_14x_0" localSheetId="49">'300 &amp; 317'!$H$202</definedName>
    <definedName name="OSRRefH22_14x_0" localSheetId="50">'301'!$H$68</definedName>
    <definedName name="OSRRefH22_14x_0" localSheetId="51">'308'!$H$112</definedName>
    <definedName name="OSRRefH22_14x_0" localSheetId="64">'310'!$H$77:$H$80</definedName>
    <definedName name="OSRRefH22_14x_0" localSheetId="72">'310 &amp; 491'!$H$81:$H$84</definedName>
    <definedName name="OSRRefH22_14x_0" localSheetId="52">'311'!$H$112</definedName>
    <definedName name="OSRRefH22_14x_0" localSheetId="57">'315'!$H$138</definedName>
    <definedName name="OSRRefH22_14x_0" localSheetId="69">'325'!$H$71</definedName>
    <definedName name="OSRRefH22_14x_0" localSheetId="58">'326'!$H$98:$H$101</definedName>
    <definedName name="OSRRefH22_14x_0" localSheetId="56">'331'!$H$132:$H$134</definedName>
    <definedName name="OSRRefH22_14x_0" localSheetId="54">'333'!$H$134:$H$136</definedName>
    <definedName name="OSRRefH22_14x_0" localSheetId="74">'405'!$H$75</definedName>
    <definedName name="OSRRefH22_14x_0" localSheetId="76">'411'!$H$65:$H$67</definedName>
    <definedName name="OSRRefH22_14x_0" localSheetId="80">'415'!$H$69:$H$75</definedName>
    <definedName name="OSRRefH22_14x_0" localSheetId="89">'433'!$H$76</definedName>
    <definedName name="OSRRefH22_14x_0" localSheetId="91">'444'!$H$70:$H$77</definedName>
    <definedName name="OSRRefH22_14x_0" localSheetId="92">'450'!$H$68:$H$73</definedName>
    <definedName name="OSRRefH22_14x_0" localSheetId="73">'491'!$H$70:$H$73</definedName>
    <definedName name="OSRRefH22_14x_0" localSheetId="87">'492'!$H$74</definedName>
    <definedName name="OSRRefH22_14x_0" localSheetId="39">'Div 2'!$H$69</definedName>
    <definedName name="OSRRefH22_14x_0" localSheetId="47">'Div 3'!$H$184:$H$185</definedName>
    <definedName name="OSRRefH22_14x_0" localSheetId="71">'Div 4'!$H$74</definedName>
    <definedName name="OSRRefH22_14x_0" localSheetId="2">Summary!$H$213:$H$214</definedName>
    <definedName name="OSRRefH22_15x_0" localSheetId="48">'300'!$H$180</definedName>
    <definedName name="OSRRefH22_15x_0" localSheetId="49">'300 &amp; 317'!$H$204</definedName>
    <definedName name="OSRRefH22_15x_0" localSheetId="50">'301'!$H$70:$H$73</definedName>
    <definedName name="OSRRefH22_15x_0" localSheetId="64">'310'!$H$82:$H$87</definedName>
    <definedName name="OSRRefH22_15x_0" localSheetId="72">'310 &amp; 491'!$H$86</definedName>
    <definedName name="OSRRefH22_15x_0" localSheetId="57">'315'!$H$140</definedName>
    <definedName name="OSRRefH22_15x_0" localSheetId="69">'325'!$H$73</definedName>
    <definedName name="OSRRefH22_15x_0" localSheetId="58">'326'!$H$103</definedName>
    <definedName name="OSRRefH22_15x_0" localSheetId="56">'331'!$H$136:$H$137</definedName>
    <definedName name="OSRRefH22_15x_0" localSheetId="54">'333'!$H$138:$H$139</definedName>
    <definedName name="OSRRefH22_15x_0" localSheetId="74">'405'!$H$77</definedName>
    <definedName name="OSRRefH22_15x_0" localSheetId="76">'411'!$H$69</definedName>
    <definedName name="OSRRefH22_15x_0" localSheetId="80">'415'!$H$77</definedName>
    <definedName name="OSRRefH22_15x_0" localSheetId="89">'433'!$H$78</definedName>
    <definedName name="OSRRefH22_15x_0" localSheetId="91">'444'!$H$79</definedName>
    <definedName name="OSRRefH22_15x_0" localSheetId="92">'450'!$H$75</definedName>
    <definedName name="OSRRefH22_15x_0" localSheetId="73">'491'!$H$75</definedName>
    <definedName name="OSRRefH22_15x_0" localSheetId="87">'492'!$H$76:$H$83</definedName>
    <definedName name="OSRRefH22_15x_0" localSheetId="39">'Div 2'!$H$71:$H$72</definedName>
    <definedName name="OSRRefH22_15x_0" localSheetId="47">'Div 3'!$H$187</definedName>
    <definedName name="OSRRefH22_15x_0" localSheetId="71">'Div 4'!$H$76</definedName>
    <definedName name="OSRRefH22_15x_0" localSheetId="2">Summary!$H$216</definedName>
    <definedName name="OSRRefH22_16x_0" localSheetId="48">'300'!$H$182:$H$185</definedName>
    <definedName name="OSRRefH22_16x_0" localSheetId="49">'300 &amp; 317'!$H$206:$H$209</definedName>
    <definedName name="OSRRefH22_16x_0" localSheetId="50">'301'!$H$75:$H$77</definedName>
    <definedName name="OSRRefH22_16x_0" localSheetId="64">'310'!$H$89</definedName>
    <definedName name="OSRRefH22_16x_0" localSheetId="72">'310 &amp; 491'!$H$88:$H$91</definedName>
    <definedName name="OSRRefH22_16x_0" localSheetId="57">'315'!$H$142</definedName>
    <definedName name="OSRRefH22_16x_0" localSheetId="69">'325'!$H$75</definedName>
    <definedName name="OSRRefH22_16x_0" localSheetId="58">'326'!$H$105</definedName>
    <definedName name="OSRRefH22_16x_0" localSheetId="56">'331'!$H$139:$H$141</definedName>
    <definedName name="OSRRefH22_16x_0" localSheetId="54">'333'!$H$141:$H$144</definedName>
    <definedName name="OSRRefH22_16x_0" localSheetId="74">'405'!$H$79</definedName>
    <definedName name="OSRRefH22_16x_0" localSheetId="76">'411'!$H$71:$H$72</definedName>
    <definedName name="OSRRefH22_16x_0" localSheetId="80">'415'!$H$79</definedName>
    <definedName name="OSRRefH22_16x_0" localSheetId="91">'444'!$H$81</definedName>
    <definedName name="OSRRefH22_16x_0" localSheetId="92">'450'!$H$77</definedName>
    <definedName name="OSRRefH22_16x_0" localSheetId="73">'491'!$H$77:$H$80</definedName>
    <definedName name="OSRRefH22_16x_0" localSheetId="87">'492'!$H$85</definedName>
    <definedName name="OSRRefH22_16x_0" localSheetId="39">'Div 2'!$H$74:$H$78</definedName>
    <definedName name="OSRRefH22_16x_0" localSheetId="47">'Div 3'!$H$189</definedName>
    <definedName name="OSRRefH22_16x_0" localSheetId="71">'Div 4'!$H$78:$H$81</definedName>
    <definedName name="OSRRefH22_16x_0" localSheetId="2">Summary!$H$218</definedName>
    <definedName name="OSRRefH22_17x_0" localSheetId="48">'300'!$H$187:$H$189</definedName>
    <definedName name="OSRRefH22_17x_0" localSheetId="49">'300 &amp; 317'!$H$211:$H$213</definedName>
    <definedName name="OSRRefH22_17x_0" localSheetId="50">'301'!$H$79</definedName>
    <definedName name="OSRRefH22_17x_0" localSheetId="64">'310'!$H$91</definedName>
    <definedName name="OSRRefH22_17x_0" localSheetId="72">'310 &amp; 491'!$H$93</definedName>
    <definedName name="OSRRefH22_17x_0" localSheetId="58">'326'!$H$107</definedName>
    <definedName name="OSRRefH22_17x_0" localSheetId="56">'331'!$H$143:$H$144</definedName>
    <definedName name="OSRRefH22_17x_0" localSheetId="54">'333'!$H$146:$H$147</definedName>
    <definedName name="OSRRefH22_17x_0" localSheetId="76">'411'!$H$74</definedName>
    <definedName name="OSRRefH22_17x_0" localSheetId="80">'415'!$H$81</definedName>
    <definedName name="OSRRefH22_17x_0" localSheetId="91">'444'!$H$83</definedName>
    <definedName name="OSRRefH22_17x_0" localSheetId="92">'450'!$H$79</definedName>
    <definedName name="OSRRefH22_17x_0" localSheetId="73">'491'!$H$82</definedName>
    <definedName name="OSRRefH22_17x_0" localSheetId="87">'492'!$H$87</definedName>
    <definedName name="OSRRefH22_17x_0" localSheetId="39">'Div 2'!$H$80:$H$81</definedName>
    <definedName name="OSRRefH22_17x_0" localSheetId="47">'Div 3'!$H$191:$H$194</definedName>
    <definedName name="OSRRefH22_17x_0" localSheetId="71">'Div 4'!$H$83</definedName>
    <definedName name="OSRRefH22_17x_0" localSheetId="2">Summary!$H$220</definedName>
    <definedName name="OSRRefH22_18x_0" localSheetId="48">'300'!$H$191:$H$194</definedName>
    <definedName name="OSRRefH22_18x_0" localSheetId="49">'300 &amp; 317'!$H$215:$H$218</definedName>
    <definedName name="OSRRefH22_18x_0" localSheetId="50">'301'!$H$81:$H$86</definedName>
    <definedName name="OSRRefH22_18x_0" localSheetId="64">'310'!$H$93</definedName>
    <definedName name="OSRRefH22_18x_0" localSheetId="72">'310 &amp; 491'!$H$95:$H$103</definedName>
    <definedName name="OSRRefH22_18x_0" localSheetId="56">'331'!$H$146:$H$151</definedName>
    <definedName name="OSRRefH22_18x_0" localSheetId="54">'333'!$H$149:$H$154</definedName>
    <definedName name="OSRRefH22_18x_0" localSheetId="73">'491'!$H$84:$H$92</definedName>
    <definedName name="OSRRefH22_18x_0" localSheetId="87">'492'!$H$89:$H$91</definedName>
    <definedName name="OSRRefH22_18x_0" localSheetId="39">'Div 2'!$H$83</definedName>
    <definedName name="OSRRefH22_18x_0" localSheetId="47">'Div 3'!$H$196:$H$198</definedName>
    <definedName name="OSRRefH22_18x_0" localSheetId="71">'Div 4'!$H$85:$H$88</definedName>
    <definedName name="OSRRefH22_18x_0" localSheetId="2">Summary!$H$222:$H$225</definedName>
    <definedName name="OSRRefH22_19x_0" localSheetId="48">'300'!$H$196:$H$197</definedName>
    <definedName name="OSRRefH22_19x_0" localSheetId="49">'300 &amp; 317'!$H$220:$H$221</definedName>
    <definedName name="OSRRefH22_19x_0" localSheetId="50">'301'!$H$88</definedName>
    <definedName name="OSRRefH22_19x_0" localSheetId="72">'310 &amp; 491'!$H$105</definedName>
    <definedName name="OSRRefH22_19x_0" localSheetId="56">'331'!$H$153</definedName>
    <definedName name="OSRRefH22_19x_0" localSheetId="54">'333'!$H$156</definedName>
    <definedName name="OSRRefH22_19x_0" localSheetId="73">'491'!$H$94</definedName>
    <definedName name="OSRRefH22_19x_0" localSheetId="39">'Div 2'!$H$85:$H$86</definedName>
    <definedName name="OSRRefH22_19x_0" localSheetId="47">'Div 3'!$H$200:$H$204</definedName>
    <definedName name="OSRRefH22_19x_0" localSheetId="71">'Div 4'!$H$90:$H$91</definedName>
    <definedName name="OSRRefH22_19x_0" localSheetId="2">Summary!$H$227:$H$229</definedName>
    <definedName name="OSRRefH22_1x_0" localSheetId="40">'200'!$H$22</definedName>
    <definedName name="OSRRefH22_1x_0" localSheetId="41">'201'!$H$29:$H$32</definedName>
    <definedName name="OSRRefH22_1x_0" localSheetId="42">'202'!$H$29:$H$31</definedName>
    <definedName name="OSRRefH22_1x_0" localSheetId="43">'203'!$H$31:$H$35</definedName>
    <definedName name="OSRRefH22_1x_0" localSheetId="44">'204'!$H$30:$H$32</definedName>
    <definedName name="OSRRefH22_1x_0" localSheetId="45">'205'!$H$29</definedName>
    <definedName name="OSRRefH22_1x_0" localSheetId="46">'206'!$H$29:$H$32</definedName>
    <definedName name="OSRRefH22_1x_0" localSheetId="48">'300'!$H$141:$H$147</definedName>
    <definedName name="OSRRefH22_1x_0" localSheetId="49">'300 &amp; 317'!$H$165:$H$171</definedName>
    <definedName name="OSRRefH22_1x_0" localSheetId="50">'301'!$H$33:$H$39</definedName>
    <definedName name="OSRRefH22_1x_0" localSheetId="55">'307'!$H$51:$H$54</definedName>
    <definedName name="OSRRefH22_1x_0" localSheetId="51">'308'!$H$73:$H$79</definedName>
    <definedName name="OSRRefH22_1x_0" localSheetId="65">'309'!$H$29:$H$30</definedName>
    <definedName name="OSRRefH22_1x_0" localSheetId="64">'310'!$H$44:$H$49</definedName>
    <definedName name="OSRRefH22_1x_0" localSheetId="72">'310 &amp; 491'!$H$47:$H$53</definedName>
    <definedName name="OSRRefH22_1x_0" localSheetId="52">'311'!$H$73:$H$79</definedName>
    <definedName name="OSRRefH22_1x_0" localSheetId="66">'313'!$H$34</definedName>
    <definedName name="OSRRefH22_1x_0" localSheetId="57">'315'!$H$97:$H$102</definedName>
    <definedName name="OSRRefH22_1x_0" localSheetId="60">'316'!$H$43:$H$46</definedName>
    <definedName name="OSRRefH22_1x_0" localSheetId="62">'317'!$H$66:$H$70</definedName>
    <definedName name="OSRRefH22_1x_0" localSheetId="63">'320'!$H$25</definedName>
    <definedName name="OSRRefH22_1x_0" localSheetId="67">'321'!$H$37:$H$42</definedName>
    <definedName name="OSRRefH22_1x_0" localSheetId="68">'322'!$H$27</definedName>
    <definedName name="OSRRefH22_1x_0" localSheetId="69">'325'!$H$33:$H$35</definedName>
    <definedName name="OSRRefH22_1x_0" localSheetId="58">'326'!$H$62:$H$67</definedName>
    <definedName name="OSRRefH22_1x_0" localSheetId="70">'327'!$H$26</definedName>
    <definedName name="OSRRefH22_1x_0" localSheetId="56">'331'!$H$98:$H$103</definedName>
    <definedName name="OSRRefH22_1x_0" localSheetId="59">'332'!$H$45:$H$48</definedName>
    <definedName name="OSRRefH22_1x_0" localSheetId="54">'333'!$H$100:$H$105</definedName>
    <definedName name="OSRRefH22_1x_0" localSheetId="74">'405'!$H$33:$H$36</definedName>
    <definedName name="OSRRefH22_1x_0" localSheetId="75">'406'!$H$22</definedName>
    <definedName name="OSRRefH22_1x_0" localSheetId="76">'411'!$H$29:$H$33</definedName>
    <definedName name="OSRRefH22_1x_0" localSheetId="77">'412'!$H$22</definedName>
    <definedName name="OSRRefH22_1x_0" localSheetId="78">'413'!$H$26</definedName>
    <definedName name="OSRRefH22_1x_0" localSheetId="79">'414'!$H$24</definedName>
    <definedName name="OSRRefH22_1x_0" localSheetId="80">'415'!$H$34:$H$38</definedName>
    <definedName name="OSRRefH22_1x_0" localSheetId="81">'418'!$H$30:$H$33</definedName>
    <definedName name="OSRRefH22_1x_0" localSheetId="82">'420'!$H$24</definedName>
    <definedName name="OSRRefH22_1x_0" localSheetId="83">'423'!$H$23</definedName>
    <definedName name="OSRRefH22_1x_0" localSheetId="84">'424'!$H$22</definedName>
    <definedName name="OSRRefH22_1x_0" localSheetId="85">'425'!$H$28</definedName>
    <definedName name="OSRRefH22_1x_0" localSheetId="88">'430'!$H$29</definedName>
    <definedName name="OSRRefH22_1x_0" localSheetId="89">'433'!$H$35:$H$40</definedName>
    <definedName name="OSRRefH22_1x_0" localSheetId="90">'435'!$H$26</definedName>
    <definedName name="OSRRefH22_1x_0" localSheetId="91">'444'!$H$35:$H$40</definedName>
    <definedName name="OSRRefH22_1x_0" localSheetId="92">'450'!$H$35:$H$39</definedName>
    <definedName name="OSRRefH22_1x_0" localSheetId="73">'491'!$H$38:$H$43</definedName>
    <definedName name="OSRRefH22_1x_0" localSheetId="87">'492'!$H$37:$H$43</definedName>
    <definedName name="OSRRefH22_1x_0" localSheetId="94">'501'!$H$31:$H$36</definedName>
    <definedName name="OSRRefH22_1x_0" localSheetId="39">'Div 2'!$H$32:$H$37</definedName>
    <definedName name="OSRRefH22_1x_0" localSheetId="47">'Div 3'!$H$148:$H$154</definedName>
    <definedName name="OSRRefH22_1x_0" localSheetId="71">'Div 4'!$H$41:$H$47</definedName>
    <definedName name="OSRRefH22_1x_0" localSheetId="93">'Div 5'!$H$31:$H$36</definedName>
    <definedName name="OSRRefH22_1x_0" localSheetId="61">'Div 6'!$H$66:$H$70</definedName>
    <definedName name="OSRRefH22_1x_0" localSheetId="2">Summary!$H$177:$H$183</definedName>
    <definedName name="OSRRefH22_20x_0" localSheetId="48">'300'!$H$199:$H$205</definedName>
    <definedName name="OSRRefH22_20x_0" localSheetId="49">'300 &amp; 317'!$H$223:$H$229</definedName>
    <definedName name="OSRRefH22_20x_0" localSheetId="50">'301'!$H$90</definedName>
    <definedName name="OSRRefH22_20x_0" localSheetId="72">'310 &amp; 491'!$H$107</definedName>
    <definedName name="OSRRefH22_20x_0" localSheetId="56">'331'!$H$155</definedName>
    <definedName name="OSRRefH22_20x_0" localSheetId="54">'333'!$H$158</definedName>
    <definedName name="OSRRefH22_20x_0" localSheetId="73">'491'!$H$96</definedName>
    <definedName name="OSRRefH22_20x_0" localSheetId="47">'Div 3'!$H$206:$H$207</definedName>
    <definedName name="OSRRefH22_20x_0" localSheetId="71">'Div 4'!$H$93:$H$101</definedName>
    <definedName name="OSRRefH22_20x_0" localSheetId="2">Summary!$H$231:$H$235</definedName>
    <definedName name="OSRRefH22_21x_0" localSheetId="48">'300'!$H$207:$H$208</definedName>
    <definedName name="OSRRefH22_21x_0" localSheetId="49">'300 &amp; 317'!$H$231:$H$232</definedName>
    <definedName name="OSRRefH22_21x_0" localSheetId="50">'301'!$H$92:$H$94</definedName>
    <definedName name="OSRRefH22_21x_0" localSheetId="72">'310 &amp; 491'!$H$109:$H$110</definedName>
    <definedName name="OSRRefH22_21x_0" localSheetId="56">'331'!$H$157</definedName>
    <definedName name="OSRRefH22_21x_0" localSheetId="54">'333'!$H$160</definedName>
    <definedName name="OSRRefH22_21x_0" localSheetId="73">'491'!$H$98:$H$99</definedName>
    <definedName name="OSRRefH22_21x_0" localSheetId="47">'Div 3'!$H$209:$H$215</definedName>
    <definedName name="OSRRefH22_21x_0" localSheetId="71">'Div 4'!$H$103</definedName>
    <definedName name="OSRRefH22_21x_0" localSheetId="2">Summary!$H$237:$H$238</definedName>
    <definedName name="OSRRefH22_22x_0" localSheetId="48">'300'!$H$210</definedName>
    <definedName name="OSRRefH22_22x_0" localSheetId="49">'300 &amp; 317'!$H$234</definedName>
    <definedName name="OSRRefH22_22x_0" localSheetId="50">'301'!$H$96</definedName>
    <definedName name="OSRRefH22_22x_0" localSheetId="72">'310 &amp; 491'!$H$112</definedName>
    <definedName name="OSRRefH22_22x_0" localSheetId="56">'331'!$H$159</definedName>
    <definedName name="OSRRefH22_22x_0" localSheetId="54">'333'!$H$162</definedName>
    <definedName name="OSRRefH22_22x_0" localSheetId="73">'491'!$H$101</definedName>
    <definedName name="OSRRefH22_22x_0" localSheetId="47">'Div 3'!$H$217:$H$218</definedName>
    <definedName name="OSRRefH22_22x_0" localSheetId="71">'Div 4'!$H$105</definedName>
    <definedName name="OSRRefH22_22x_0" localSheetId="2">Summary!$H$240:$H$248</definedName>
    <definedName name="OSRRefH22_23x_0" localSheetId="48">'300'!$H$212:$H$214</definedName>
    <definedName name="OSRRefH22_23x_0" localSheetId="49">'300 &amp; 317'!$H$236:$H$238</definedName>
    <definedName name="OSRRefH22_23x_0" localSheetId="47">'Div 3'!$H$220</definedName>
    <definedName name="OSRRefH22_23x_0" localSheetId="71">'Div 4'!$H$107:$H$109</definedName>
    <definedName name="OSRRefH22_23x_0" localSheetId="2">Summary!$H$250:$H$251</definedName>
    <definedName name="OSRRefH22_24x_0" localSheetId="48">'300'!$H$216</definedName>
    <definedName name="OSRRefH22_24x_0" localSheetId="49">'300 &amp; 317'!$H$240</definedName>
    <definedName name="OSRRefH22_24x_0" localSheetId="47">'Div 3'!$H$222:$H$224</definedName>
    <definedName name="OSRRefH22_24x_0" localSheetId="71">'Div 4'!$H$111</definedName>
    <definedName name="OSRRefH22_24x_0" localSheetId="2">Summary!$H$253</definedName>
    <definedName name="OSRRefH22_25x_0" localSheetId="47">'Div 3'!$H$226</definedName>
    <definedName name="OSRRefH22_25x_0" localSheetId="2">Summary!$H$255:$H$257</definedName>
    <definedName name="OSRRefH22_26x_0" localSheetId="2">Summary!$H$259</definedName>
    <definedName name="OSRRefH22_2x_0" localSheetId="40">'200'!$H$24</definedName>
    <definedName name="OSRRefH22_2x_0" localSheetId="41">'201'!$H$34</definedName>
    <definedName name="OSRRefH22_2x_0" localSheetId="42">'202'!$H$33</definedName>
    <definedName name="OSRRefH22_2x_0" localSheetId="43">'203'!$H$37</definedName>
    <definedName name="OSRRefH22_2x_0" localSheetId="44">'204'!$H$34</definedName>
    <definedName name="OSRRefH22_2x_0" localSheetId="45">'205'!$H$31</definedName>
    <definedName name="OSRRefH22_2x_0" localSheetId="46">'206'!$H$34</definedName>
    <definedName name="OSRRefH22_2x_0" localSheetId="48">'300'!$H$149</definedName>
    <definedName name="OSRRefH22_2x_0" localSheetId="49">'300 &amp; 317'!$H$173</definedName>
    <definedName name="OSRRefH22_2x_0" localSheetId="50">'301'!$H$41</definedName>
    <definedName name="OSRRefH22_2x_0" localSheetId="55">'307'!$H$56</definedName>
    <definedName name="OSRRefH22_2x_0" localSheetId="51">'308'!$H$81</definedName>
    <definedName name="OSRRefH22_2x_0" localSheetId="65">'309'!$H$32</definedName>
    <definedName name="OSRRefH22_2x_0" localSheetId="64">'310'!$H$51</definedName>
    <definedName name="OSRRefH22_2x_0" localSheetId="72">'310 &amp; 491'!$H$55</definedName>
    <definedName name="OSRRefH22_2x_0" localSheetId="52">'311'!$H$81</definedName>
    <definedName name="OSRRefH22_2x_0" localSheetId="66">'313'!$H$36</definedName>
    <definedName name="OSRRefH22_2x_0" localSheetId="57">'315'!$H$104</definedName>
    <definedName name="OSRRefH22_2x_0" localSheetId="60">'316'!$H$48</definedName>
    <definedName name="OSRRefH22_2x_0" localSheetId="62">'317'!$H$72</definedName>
    <definedName name="OSRRefH22_2x_0" localSheetId="63">'320'!$H$27</definedName>
    <definedName name="OSRRefH22_2x_0" localSheetId="67">'321'!$H$44</definedName>
    <definedName name="OSRRefH22_2x_0" localSheetId="68">'322'!$H$29</definedName>
    <definedName name="OSRRefH22_2x_0" localSheetId="69">'325'!$H$37</definedName>
    <definedName name="OSRRefH22_2x_0" localSheetId="58">'326'!$H$69</definedName>
    <definedName name="OSRRefH22_2x_0" localSheetId="56">'331'!$H$105</definedName>
    <definedName name="OSRRefH22_2x_0" localSheetId="59">'332'!$H$50</definedName>
    <definedName name="OSRRefH22_2x_0" localSheetId="54">'333'!$H$107</definedName>
    <definedName name="OSRRefH22_2x_0" localSheetId="74">'405'!$H$38</definedName>
    <definedName name="OSRRefH22_2x_0" localSheetId="75">'406'!$H$24</definedName>
    <definedName name="OSRRefH22_2x_0" localSheetId="76">'411'!$H$35</definedName>
    <definedName name="OSRRefH22_2x_0" localSheetId="77">'412'!$H$24</definedName>
    <definedName name="OSRRefH22_2x_0" localSheetId="78">'413'!$H$28</definedName>
    <definedName name="OSRRefH22_2x_0" localSheetId="79">'414'!$H$26</definedName>
    <definedName name="OSRRefH22_2x_0" localSheetId="80">'415'!$H$40</definedName>
    <definedName name="OSRRefH22_2x_0" localSheetId="81">'418'!$H$35</definedName>
    <definedName name="OSRRefH22_2x_0" localSheetId="83">'423'!$H$25</definedName>
    <definedName name="OSRRefH22_2x_0" localSheetId="84">'424'!$H$24</definedName>
    <definedName name="OSRRefH22_2x_0" localSheetId="85">'425'!$H$30</definedName>
    <definedName name="OSRRefH22_2x_0" localSheetId="88">'430'!$H$31</definedName>
    <definedName name="OSRRefH22_2x_0" localSheetId="89">'433'!$H$42</definedName>
    <definedName name="OSRRefH22_2x_0" localSheetId="90">'435'!$H$28</definedName>
    <definedName name="OSRRefH22_2x_0" localSheetId="91">'444'!$H$42</definedName>
    <definedName name="OSRRefH22_2x_0" localSheetId="92">'450'!$H$41</definedName>
    <definedName name="OSRRefH22_2x_0" localSheetId="73">'491'!$H$45</definedName>
    <definedName name="OSRRefH22_2x_0" localSheetId="87">'492'!$H$45</definedName>
    <definedName name="OSRRefH22_2x_0" localSheetId="94">'501'!$H$38</definedName>
    <definedName name="OSRRefH22_2x_0" localSheetId="39">'Div 2'!$H$39</definedName>
    <definedName name="OSRRefH22_2x_0" localSheetId="47">'Div 3'!$H$156</definedName>
    <definedName name="OSRRefH22_2x_0" localSheetId="71">'Div 4'!$H$49</definedName>
    <definedName name="OSRRefH22_2x_0" localSheetId="93">'Div 5'!$H$38</definedName>
    <definedName name="OSRRefH22_2x_0" localSheetId="61">'Div 6'!$H$72</definedName>
    <definedName name="OSRRefH22_2x_0" localSheetId="2">Summary!$H$185</definedName>
    <definedName name="OSRRefH22_3x_0" localSheetId="40">'200'!$H$26</definedName>
    <definedName name="OSRRefH22_3x_0" localSheetId="41">'201'!$H$36</definedName>
    <definedName name="OSRRefH22_3x_0" localSheetId="42">'202'!$H$35</definedName>
    <definedName name="OSRRefH22_3x_0" localSheetId="43">'203'!$H$39</definedName>
    <definedName name="OSRRefH22_3x_0" localSheetId="44">'204'!$H$36</definedName>
    <definedName name="OSRRefH22_3x_0" localSheetId="45">'205'!$H$33</definedName>
    <definedName name="OSRRefH22_3x_0" localSheetId="46">'206'!$H$36</definedName>
    <definedName name="OSRRefH22_3x_0" localSheetId="48">'300'!$H$151:$H$152</definedName>
    <definedName name="OSRRefH22_3x_0" localSheetId="49">'300 &amp; 317'!$H$175:$H$176</definedName>
    <definedName name="OSRRefH22_3x_0" localSheetId="50">'301'!$H$43:$H$44</definedName>
    <definedName name="OSRRefH22_3x_0" localSheetId="55">'307'!$H$58</definedName>
    <definedName name="OSRRefH22_3x_0" localSheetId="51">'308'!$H$83:$H$84</definedName>
    <definedName name="OSRRefH22_3x_0" localSheetId="65">'309'!$H$34</definedName>
    <definedName name="OSRRefH22_3x_0" localSheetId="64">'310'!$H$53</definedName>
    <definedName name="OSRRefH22_3x_0" localSheetId="72">'310 &amp; 491'!$H$57</definedName>
    <definedName name="OSRRefH22_3x_0" localSheetId="52">'311'!$H$83:$H$84</definedName>
    <definedName name="OSRRefH22_3x_0" localSheetId="66">'313'!$H$38</definedName>
    <definedName name="OSRRefH22_3x_0" localSheetId="57">'315'!$H$106:$H$107</definedName>
    <definedName name="OSRRefH22_3x_0" localSheetId="60">'316'!$H$50</definedName>
    <definedName name="OSRRefH22_3x_0" localSheetId="62">'317'!$H$74</definedName>
    <definedName name="OSRRefH22_3x_0" localSheetId="67">'321'!$H$46</definedName>
    <definedName name="OSRRefH22_3x_0" localSheetId="68">'322'!$H$31</definedName>
    <definedName name="OSRRefH22_3x_0" localSheetId="69">'325'!$H$39</definedName>
    <definedName name="OSRRefH22_3x_0" localSheetId="58">'326'!$H$71</definedName>
    <definedName name="OSRRefH22_3x_0" localSheetId="56">'331'!$H$107</definedName>
    <definedName name="OSRRefH22_3x_0" localSheetId="59">'332'!$H$52</definedName>
    <definedName name="OSRRefH22_3x_0" localSheetId="54">'333'!$H$109</definedName>
    <definedName name="OSRRefH22_3x_0" localSheetId="74">'405'!$H$40</definedName>
    <definedName name="OSRRefH22_3x_0" localSheetId="75">'406'!$H$26</definedName>
    <definedName name="OSRRefH22_3x_0" localSheetId="76">'411'!$H$37</definedName>
    <definedName name="OSRRefH22_3x_0" localSheetId="77">'412'!$H$26:$H$27</definedName>
    <definedName name="OSRRefH22_3x_0" localSheetId="78">'413'!$H$30</definedName>
    <definedName name="OSRRefH22_3x_0" localSheetId="79">'414'!$H$28</definedName>
    <definedName name="OSRRefH22_3x_0" localSheetId="80">'415'!$H$42</definedName>
    <definedName name="OSRRefH22_3x_0" localSheetId="81">'418'!$H$37</definedName>
    <definedName name="OSRRefH22_3x_0" localSheetId="83">'423'!$H$27</definedName>
    <definedName name="OSRRefH22_3x_0" localSheetId="84">'424'!$H$26</definedName>
    <definedName name="OSRRefH22_3x_0" localSheetId="85">'425'!$H$32</definedName>
    <definedName name="OSRRefH22_3x_0" localSheetId="88">'430'!$H$33</definedName>
    <definedName name="OSRRefH22_3x_0" localSheetId="89">'433'!$H$44</definedName>
    <definedName name="OSRRefH22_3x_0" localSheetId="90">'435'!$H$30</definedName>
    <definedName name="OSRRefH22_3x_0" localSheetId="91">'444'!$H$44</definedName>
    <definedName name="OSRRefH22_3x_0" localSheetId="92">'450'!$H$43</definedName>
    <definedName name="OSRRefH22_3x_0" localSheetId="73">'491'!$H$47</definedName>
    <definedName name="OSRRefH22_3x_0" localSheetId="87">'492'!$H$47</definedName>
    <definedName name="OSRRefH22_3x_0" localSheetId="94">'501'!$H$40</definedName>
    <definedName name="OSRRefH22_3x_0" localSheetId="39">'Div 2'!$H$41</definedName>
    <definedName name="OSRRefH22_3x_0" localSheetId="47">'Div 3'!$H$158:$H$159</definedName>
    <definedName name="OSRRefH22_3x_0" localSheetId="71">'Div 4'!$H$51</definedName>
    <definedName name="OSRRefH22_3x_0" localSheetId="93">'Div 5'!$H$40</definedName>
    <definedName name="OSRRefH22_3x_0" localSheetId="61">'Div 6'!$H$74</definedName>
    <definedName name="OSRRefH22_3x_0" localSheetId="2">Summary!$H$187:$H$188</definedName>
    <definedName name="OSRRefH22_4x_0" localSheetId="41">'201'!$H$38</definedName>
    <definedName name="OSRRefH22_4x_0" localSheetId="42">'202'!$H$37</definedName>
    <definedName name="OSRRefH22_4x_0" localSheetId="43">'203'!$H$41</definedName>
    <definedName name="OSRRefH22_4x_0" localSheetId="44">'204'!$H$38</definedName>
    <definedName name="OSRRefH22_4x_0" localSheetId="45">'205'!$H$35:$H$37</definedName>
    <definedName name="OSRRefH22_4x_0" localSheetId="46">'206'!$H$38</definedName>
    <definedName name="OSRRefH22_4x_0" localSheetId="48">'300'!$H$154</definedName>
    <definedName name="OSRRefH22_4x_0" localSheetId="49">'300 &amp; 317'!$H$178</definedName>
    <definedName name="OSRRefH22_4x_0" localSheetId="50">'301'!$H$46</definedName>
    <definedName name="OSRRefH22_4x_0" localSheetId="55">'307'!$H$60:$H$61</definedName>
    <definedName name="OSRRefH22_4x_0" localSheetId="51">'308'!$H$86</definedName>
    <definedName name="OSRRefH22_4x_0" localSheetId="65">'309'!$H$36</definedName>
    <definedName name="OSRRefH22_4x_0" localSheetId="64">'310'!$H$55</definedName>
    <definedName name="OSRRefH22_4x_0" localSheetId="72">'310 &amp; 491'!$H$59</definedName>
    <definedName name="OSRRefH22_4x_0" localSheetId="52">'311'!$H$86</definedName>
    <definedName name="OSRRefH22_4x_0" localSheetId="66">'313'!$H$40</definedName>
    <definedName name="OSRRefH22_4x_0" localSheetId="57">'315'!$H$109</definedName>
    <definedName name="OSRRefH22_4x_0" localSheetId="60">'316'!$H$52</definedName>
    <definedName name="OSRRefH22_4x_0" localSheetId="62">'317'!$H$76</definedName>
    <definedName name="OSRRefH22_4x_0" localSheetId="67">'321'!$H$48</definedName>
    <definedName name="OSRRefH22_4x_0" localSheetId="68">'322'!$H$33:$H$34</definedName>
    <definedName name="OSRRefH22_4x_0" localSheetId="69">'325'!$H$41</definedName>
    <definedName name="OSRRefH22_4x_0" localSheetId="58">'326'!$H$73</definedName>
    <definedName name="OSRRefH22_4x_0" localSheetId="56">'331'!$H$109</definedName>
    <definedName name="OSRRefH22_4x_0" localSheetId="59">'332'!$H$54</definedName>
    <definedName name="OSRRefH22_4x_0" localSheetId="54">'333'!$H$111</definedName>
    <definedName name="OSRRefH22_4x_0" localSheetId="74">'405'!$H$42</definedName>
    <definedName name="OSRRefH22_4x_0" localSheetId="75">'406'!$H$28</definedName>
    <definedName name="OSRRefH22_4x_0" localSheetId="76">'411'!$H$39:$H$40</definedName>
    <definedName name="OSRRefH22_4x_0" localSheetId="77">'412'!$H$29</definedName>
    <definedName name="OSRRefH22_4x_0" localSheetId="78">'413'!$H$32</definedName>
    <definedName name="OSRRefH22_4x_0" localSheetId="79">'414'!$H$30</definedName>
    <definedName name="OSRRefH22_4x_0" localSheetId="80">'415'!$H$44</definedName>
    <definedName name="OSRRefH22_4x_0" localSheetId="81">'418'!$H$39:$H$40</definedName>
    <definedName name="OSRRefH22_4x_0" localSheetId="85">'425'!$H$34</definedName>
    <definedName name="OSRRefH22_4x_0" localSheetId="88">'430'!$H$35</definedName>
    <definedName name="OSRRefH22_4x_0" localSheetId="89">'433'!$H$46</definedName>
    <definedName name="OSRRefH22_4x_0" localSheetId="90">'435'!$H$32</definedName>
    <definedName name="OSRRefH22_4x_0" localSheetId="91">'444'!$H$46</definedName>
    <definedName name="OSRRefH22_4x_0" localSheetId="92">'450'!$H$45</definedName>
    <definedName name="OSRRefH22_4x_0" localSheetId="73">'491'!$H$49</definedName>
    <definedName name="OSRRefH22_4x_0" localSheetId="87">'492'!$H$49</definedName>
    <definedName name="OSRRefH22_4x_0" localSheetId="94">'501'!$H$42:$H$43</definedName>
    <definedName name="OSRRefH22_4x_0" localSheetId="39">'Div 2'!$H$43</definedName>
    <definedName name="OSRRefH22_4x_0" localSheetId="47">'Div 3'!$H$161</definedName>
    <definedName name="OSRRefH22_4x_0" localSheetId="71">'Div 4'!$H$53</definedName>
    <definedName name="OSRRefH22_4x_0" localSheetId="93">'Div 5'!$H$42:$H$43</definedName>
    <definedName name="OSRRefH22_4x_0" localSheetId="61">'Div 6'!$H$76</definedName>
    <definedName name="OSRRefH22_4x_0" localSheetId="2">Summary!$H$190</definedName>
    <definedName name="OSRRefH22_5x_0" localSheetId="41">'201'!$H$40</definedName>
    <definedName name="OSRRefH22_5x_0" localSheetId="42">'202'!$H$39:$H$40</definedName>
    <definedName name="OSRRefH22_5x_0" localSheetId="43">'203'!$H$43</definedName>
    <definedName name="OSRRefH22_5x_0" localSheetId="44">'204'!$H$40:$H$43</definedName>
    <definedName name="OSRRefH22_5x_0" localSheetId="45">'205'!$H$39:$H$41</definedName>
    <definedName name="OSRRefH22_5x_0" localSheetId="46">'206'!$H$40</definedName>
    <definedName name="OSRRefH22_5x_0" localSheetId="48">'300'!$H$156:$H$157</definedName>
    <definedName name="OSRRefH22_5x_0" localSheetId="49">'300 &amp; 317'!$H$180:$H$181</definedName>
    <definedName name="OSRRefH22_5x_0" localSheetId="50">'301'!$H$48:$H$49</definedName>
    <definedName name="OSRRefH22_5x_0" localSheetId="55">'307'!$H$63</definedName>
    <definedName name="OSRRefH22_5x_0" localSheetId="51">'308'!$H$88</definedName>
    <definedName name="OSRRefH22_5x_0" localSheetId="65">'309'!$H$38</definedName>
    <definedName name="OSRRefH22_5x_0" localSheetId="64">'310'!$H$57:$H$58</definedName>
    <definedName name="OSRRefH22_5x_0" localSheetId="72">'310 &amp; 491'!$H$61:$H$62</definedName>
    <definedName name="OSRRefH22_5x_0" localSheetId="52">'311'!$H$88</definedName>
    <definedName name="OSRRefH22_5x_0" localSheetId="66">'313'!$H$42</definedName>
    <definedName name="OSRRefH22_5x_0" localSheetId="57">'315'!$H$111</definedName>
    <definedName name="OSRRefH22_5x_0" localSheetId="60">'316'!$H$54</definedName>
    <definedName name="OSRRefH22_5x_0" localSheetId="62">'317'!$H$78:$H$79</definedName>
    <definedName name="OSRRefH22_5x_0" localSheetId="67">'321'!$H$50</definedName>
    <definedName name="OSRRefH22_5x_0" localSheetId="68">'322'!$H$36</definedName>
    <definedName name="OSRRefH22_5x_0" localSheetId="69">'325'!$H$43:$H$44</definedName>
    <definedName name="OSRRefH22_5x_0" localSheetId="58">'326'!$H$75</definedName>
    <definedName name="OSRRefH22_5x_0" localSheetId="56">'331'!$H$111:$H$112</definedName>
    <definedName name="OSRRefH22_5x_0" localSheetId="59">'332'!$H$56</definedName>
    <definedName name="OSRRefH22_5x_0" localSheetId="54">'333'!$H$113:$H$114</definedName>
    <definedName name="OSRRefH22_5x_0" localSheetId="74">'405'!$H$44:$H$45</definedName>
    <definedName name="OSRRefH22_5x_0" localSheetId="76">'411'!$H$42</definedName>
    <definedName name="OSRRefH22_5x_0" localSheetId="77">'412'!$H$31</definedName>
    <definedName name="OSRRefH22_5x_0" localSheetId="78">'413'!$H$34</definedName>
    <definedName name="OSRRefH22_5x_0" localSheetId="79">'414'!$H$32:$H$33</definedName>
    <definedName name="OSRRefH22_5x_0" localSheetId="80">'415'!$H$46:$H$47</definedName>
    <definedName name="OSRRefH22_5x_0" localSheetId="81">'418'!$H$42</definedName>
    <definedName name="OSRRefH22_5x_0" localSheetId="85">'425'!$H$36:$H$37</definedName>
    <definedName name="OSRRefH22_5x_0" localSheetId="88">'430'!$H$37:$H$39</definedName>
    <definedName name="OSRRefH22_5x_0" localSheetId="89">'433'!$H$48</definedName>
    <definedName name="OSRRefH22_5x_0" localSheetId="90">'435'!$H$34</definedName>
    <definedName name="OSRRefH22_5x_0" localSheetId="91">'444'!$H$48</definedName>
    <definedName name="OSRRefH22_5x_0" localSheetId="92">'450'!$H$47</definedName>
    <definedName name="OSRRefH22_5x_0" localSheetId="73">'491'!$H$51:$H$52</definedName>
    <definedName name="OSRRefH22_5x_0" localSheetId="87">'492'!$H$51</definedName>
    <definedName name="OSRRefH22_5x_0" localSheetId="94">'501'!$H$45</definedName>
    <definedName name="OSRRefH22_5x_0" localSheetId="39">'Div 2'!$H$45</definedName>
    <definedName name="OSRRefH22_5x_0" localSheetId="47">'Div 3'!$H$163:$H$164</definedName>
    <definedName name="OSRRefH22_5x_0" localSheetId="71">'Div 4'!$H$55:$H$56</definedName>
    <definedName name="OSRRefH22_5x_0" localSheetId="93">'Div 5'!$H$45</definedName>
    <definedName name="OSRRefH22_5x_0" localSheetId="61">'Div 6'!$H$78:$H$79</definedName>
    <definedName name="OSRRefH22_5x_0" localSheetId="2">Summary!$H$192:$H$193</definedName>
    <definedName name="OSRRefH22_6x_0" localSheetId="41">'201'!$H$42</definedName>
    <definedName name="OSRRefH22_6x_0" localSheetId="42">'202'!$H$42</definedName>
    <definedName name="OSRRefH22_6x_0" localSheetId="43">'203'!$H$45</definedName>
    <definedName name="OSRRefH22_6x_0" localSheetId="44">'204'!$H$45</definedName>
    <definedName name="OSRRefH22_6x_0" localSheetId="45">'205'!$H$43</definedName>
    <definedName name="OSRRefH22_6x_0" localSheetId="46">'206'!$H$42</definedName>
    <definedName name="OSRRefH22_6x_0" localSheetId="48">'300'!$H$159:$H$160</definedName>
    <definedName name="OSRRefH22_6x_0" localSheetId="49">'300 &amp; 317'!$H$183:$H$184</definedName>
    <definedName name="OSRRefH22_6x_0" localSheetId="50">'301'!$H$51:$H$52</definedName>
    <definedName name="OSRRefH22_6x_0" localSheetId="55">'307'!$H$65</definedName>
    <definedName name="OSRRefH22_6x_0" localSheetId="51">'308'!$H$90:$H$91</definedName>
    <definedName name="OSRRefH22_6x_0" localSheetId="65">'309'!$H$40</definedName>
    <definedName name="OSRRefH22_6x_0" localSheetId="64">'310'!$H$60</definedName>
    <definedName name="OSRRefH22_6x_0" localSheetId="72">'310 &amp; 491'!$H$64</definedName>
    <definedName name="OSRRefH22_6x_0" localSheetId="52">'311'!$H$90:$H$91</definedName>
    <definedName name="OSRRefH22_6x_0" localSheetId="66">'313'!$H$44</definedName>
    <definedName name="OSRRefH22_6x_0" localSheetId="57">'315'!$H$113:$H$114</definedName>
    <definedName name="OSRRefH22_6x_0" localSheetId="60">'316'!$H$56:$H$57</definedName>
    <definedName name="OSRRefH22_6x_0" localSheetId="62">'317'!$H$81</definedName>
    <definedName name="OSRRefH22_6x_0" localSheetId="67">'321'!$H$52</definedName>
    <definedName name="OSRRefH22_6x_0" localSheetId="68">'322'!$H$38</definedName>
    <definedName name="OSRRefH22_6x_0" localSheetId="69">'325'!$H$46</definedName>
    <definedName name="OSRRefH22_6x_0" localSheetId="58">'326'!$H$77</definedName>
    <definedName name="OSRRefH22_6x_0" localSheetId="56">'331'!$H$114</definedName>
    <definedName name="OSRRefH22_6x_0" localSheetId="59">'332'!$H$58:$H$59</definedName>
    <definedName name="OSRRefH22_6x_0" localSheetId="54">'333'!$H$116</definedName>
    <definedName name="OSRRefH22_6x_0" localSheetId="74">'405'!$H$47</definedName>
    <definedName name="OSRRefH22_6x_0" localSheetId="76">'411'!$H$44</definedName>
    <definedName name="OSRRefH22_6x_0" localSheetId="80">'415'!$H$49</definedName>
    <definedName name="OSRRefH22_6x_0" localSheetId="81">'418'!$H$44</definedName>
    <definedName name="OSRRefH22_6x_0" localSheetId="85">'425'!$H$39</definedName>
    <definedName name="OSRRefH22_6x_0" localSheetId="88">'430'!$H$41</definedName>
    <definedName name="OSRRefH22_6x_0" localSheetId="89">'433'!$H$50</definedName>
    <definedName name="OSRRefH22_6x_0" localSheetId="91">'444'!$H$50</definedName>
    <definedName name="OSRRefH22_6x_0" localSheetId="92">'450'!$H$49</definedName>
    <definedName name="OSRRefH22_6x_0" localSheetId="73">'491'!$H$54</definedName>
    <definedName name="OSRRefH22_6x_0" localSheetId="87">'492'!$H$53</definedName>
    <definedName name="OSRRefH22_6x_0" localSheetId="94">'501'!$H$47</definedName>
    <definedName name="OSRRefH22_6x_0" localSheetId="39">'Div 2'!$H$47</definedName>
    <definedName name="OSRRefH22_6x_0" localSheetId="47">'Div 3'!$H$166:$H$167</definedName>
    <definedName name="OSRRefH22_6x_0" localSheetId="71">'Div 4'!$H$58</definedName>
    <definedName name="OSRRefH22_6x_0" localSheetId="93">'Div 5'!$H$47</definedName>
    <definedName name="OSRRefH22_6x_0" localSheetId="61">'Div 6'!$H$81</definedName>
    <definedName name="OSRRefH22_6x_0" localSheetId="2">Summary!$H$195:$H$196</definedName>
    <definedName name="OSRRefH22_7x_0" localSheetId="41">'201'!$H$44</definedName>
    <definedName name="OSRRefH22_7x_0" localSheetId="42">'202'!$H$44:$H$46</definedName>
    <definedName name="OSRRefH22_7x_0" localSheetId="43">'203'!$H$47:$H$48</definedName>
    <definedName name="OSRRefH22_7x_0" localSheetId="44">'204'!$H$47:$H$48</definedName>
    <definedName name="OSRRefH22_7x_0" localSheetId="48">'300'!$H$162</definedName>
    <definedName name="OSRRefH22_7x_0" localSheetId="49">'300 &amp; 317'!$H$186</definedName>
    <definedName name="OSRRefH22_7x_0" localSheetId="50">'301'!$H$54</definedName>
    <definedName name="OSRRefH22_7x_0" localSheetId="55">'307'!$H$67</definedName>
    <definedName name="OSRRefH22_7x_0" localSheetId="51">'308'!$H$93</definedName>
    <definedName name="OSRRefH22_7x_0" localSheetId="65">'309'!$H$42</definedName>
    <definedName name="OSRRefH22_7x_0" localSheetId="64">'310'!$H$62</definedName>
    <definedName name="OSRRefH22_7x_0" localSheetId="72">'310 &amp; 491'!$H$66</definedName>
    <definedName name="OSRRefH22_7x_0" localSheetId="52">'311'!$H$93</definedName>
    <definedName name="OSRRefH22_7x_0" localSheetId="66">'313'!$H$46</definedName>
    <definedName name="OSRRefH22_7x_0" localSheetId="57">'315'!$H$116</definedName>
    <definedName name="OSRRefH22_7x_0" localSheetId="60">'316'!$H$59</definedName>
    <definedName name="OSRRefH22_7x_0" localSheetId="62">'317'!$H$83</definedName>
    <definedName name="OSRRefH22_7x_0" localSheetId="67">'321'!$H$54:$H$55</definedName>
    <definedName name="OSRRefH22_7x_0" localSheetId="68">'322'!$H$40</definedName>
    <definedName name="OSRRefH22_7x_0" localSheetId="69">'325'!$H$48</definedName>
    <definedName name="OSRRefH22_7x_0" localSheetId="58">'326'!$H$79</definedName>
    <definedName name="OSRRefH22_7x_0" localSheetId="56">'331'!$H$116</definedName>
    <definedName name="OSRRefH22_7x_0" localSheetId="59">'332'!$H$61</definedName>
    <definedName name="OSRRefH22_7x_0" localSheetId="54">'333'!$H$118</definedName>
    <definedName name="OSRRefH22_7x_0" localSheetId="74">'405'!$H$49</definedName>
    <definedName name="OSRRefH22_7x_0" localSheetId="76">'411'!$H$46</definedName>
    <definedName name="OSRRefH22_7x_0" localSheetId="80">'415'!$H$51</definedName>
    <definedName name="OSRRefH22_7x_0" localSheetId="81">'418'!$H$46</definedName>
    <definedName name="OSRRefH22_7x_0" localSheetId="85">'425'!$H$41</definedName>
    <definedName name="OSRRefH22_7x_0" localSheetId="88">'430'!$H$43</definedName>
    <definedName name="OSRRefH22_7x_0" localSheetId="89">'433'!$H$52</definedName>
    <definedName name="OSRRefH22_7x_0" localSheetId="91">'444'!$H$52</definedName>
    <definedName name="OSRRefH22_7x_0" localSheetId="92">'450'!$H$51</definedName>
    <definedName name="OSRRefH22_7x_0" localSheetId="73">'491'!$H$56</definedName>
    <definedName name="OSRRefH22_7x_0" localSheetId="87">'492'!$H$55</definedName>
    <definedName name="OSRRefH22_7x_0" localSheetId="94">'501'!$H$49:$H$52</definedName>
    <definedName name="OSRRefH22_7x_0" localSheetId="39">'Div 2'!$H$49</definedName>
    <definedName name="OSRRefH22_7x_0" localSheetId="47">'Div 3'!$H$169</definedName>
    <definedName name="OSRRefH22_7x_0" localSheetId="71">'Div 4'!$H$60</definedName>
    <definedName name="OSRRefH22_7x_0" localSheetId="93">'Div 5'!$H$49:$H$52</definedName>
    <definedName name="OSRRefH22_7x_0" localSheetId="61">'Div 6'!$H$83</definedName>
    <definedName name="OSRRefH22_7x_0" localSheetId="2">Summary!$H$198</definedName>
    <definedName name="OSRRefH22_8x_0" localSheetId="41">'201'!$H$46</definedName>
    <definedName name="OSRRefH22_8x_0" localSheetId="42">'202'!$H$48</definedName>
    <definedName name="OSRRefH22_8x_0" localSheetId="43">'203'!$H$50:$H$51</definedName>
    <definedName name="OSRRefH22_8x_0" localSheetId="44">'204'!$H$50</definedName>
    <definedName name="OSRRefH22_8x_0" localSheetId="48">'300'!$H$164</definedName>
    <definedName name="OSRRefH22_8x_0" localSheetId="49">'300 &amp; 317'!$H$188</definedName>
    <definedName name="OSRRefH22_8x_0" localSheetId="50">'301'!$H$56</definedName>
    <definedName name="OSRRefH22_8x_0" localSheetId="55">'307'!$H$69:$H$70</definedName>
    <definedName name="OSRRefH22_8x_0" localSheetId="51">'308'!$H$95</definedName>
    <definedName name="OSRRefH22_8x_0" localSheetId="65">'309'!$H$44:$H$45</definedName>
    <definedName name="OSRRefH22_8x_0" localSheetId="64">'310'!$H$64</definedName>
    <definedName name="OSRRefH22_8x_0" localSheetId="72">'310 &amp; 491'!$H$68:$H$69</definedName>
    <definedName name="OSRRefH22_8x_0" localSheetId="52">'311'!$H$95</definedName>
    <definedName name="OSRRefH22_8x_0" localSheetId="57">'315'!$H$118:$H$119</definedName>
    <definedName name="OSRRefH22_8x_0" localSheetId="60">'316'!$H$61:$H$63</definedName>
    <definedName name="OSRRefH22_8x_0" localSheetId="62">'317'!$H$85</definedName>
    <definedName name="OSRRefH22_8x_0" localSheetId="67">'321'!$H$57</definedName>
    <definedName name="OSRRefH22_8x_0" localSheetId="69">'325'!$H$50</definedName>
    <definedName name="OSRRefH22_8x_0" localSheetId="58">'326'!$H$81</definedName>
    <definedName name="OSRRefH22_8x_0" localSheetId="56">'331'!$H$118:$H$119</definedName>
    <definedName name="OSRRefH22_8x_0" localSheetId="59">'332'!$H$63:$H$65</definedName>
    <definedName name="OSRRefH22_8x_0" localSheetId="54">'333'!$H$120:$H$121</definedName>
    <definedName name="OSRRefH22_8x_0" localSheetId="74">'405'!$H$51</definedName>
    <definedName name="OSRRefH22_8x_0" localSheetId="76">'411'!$H$48</definedName>
    <definedName name="OSRRefH22_8x_0" localSheetId="80">'415'!$H$53</definedName>
    <definedName name="OSRRefH22_8x_0" localSheetId="81">'418'!$H$48:$H$49</definedName>
    <definedName name="OSRRefH22_8x_0" localSheetId="85">'425'!$H$43</definedName>
    <definedName name="OSRRefH22_8x_0" localSheetId="88">'430'!$H$45</definedName>
    <definedName name="OSRRefH22_8x_0" localSheetId="89">'433'!$H$54</definedName>
    <definedName name="OSRRefH22_8x_0" localSheetId="91">'444'!$H$54</definedName>
    <definedName name="OSRRefH22_8x_0" localSheetId="92">'450'!$H$53</definedName>
    <definedName name="OSRRefH22_8x_0" localSheetId="73">'491'!$H$58</definedName>
    <definedName name="OSRRefH22_8x_0" localSheetId="87">'492'!$H$57</definedName>
    <definedName name="OSRRefH22_8x_0" localSheetId="94">'501'!$H$54</definedName>
    <definedName name="OSRRefH22_8x_0" localSheetId="39">'Div 2'!$H$51</definedName>
    <definedName name="OSRRefH22_8x_0" localSheetId="47">'Div 3'!$H$171</definedName>
    <definedName name="OSRRefH22_8x_0" localSheetId="71">'Div 4'!$H$62</definedName>
    <definedName name="OSRRefH22_8x_0" localSheetId="93">'Div 5'!$H$54</definedName>
    <definedName name="OSRRefH22_8x_0" localSheetId="61">'Div 6'!$H$85</definedName>
    <definedName name="OSRRefH22_8x_0" localSheetId="2">Summary!$H$200</definedName>
    <definedName name="OSRRefH22_9x_0" localSheetId="41">'201'!$H$48:$H$50</definedName>
    <definedName name="OSRRefH22_9x_0" localSheetId="42">'202'!$H$50:$H$52</definedName>
    <definedName name="OSRRefH22_9x_0" localSheetId="43">'203'!$H$53:$H$54</definedName>
    <definedName name="OSRRefH22_9x_0" localSheetId="44">'204'!$H$52</definedName>
    <definedName name="OSRRefH22_9x_0" localSheetId="48">'300'!$H$166</definedName>
    <definedName name="OSRRefH22_9x_0" localSheetId="49">'300 &amp; 317'!$H$190</definedName>
    <definedName name="OSRRefH22_9x_0" localSheetId="50">'301'!$H$58</definedName>
    <definedName name="OSRRefH22_9x_0" localSheetId="55">'307'!$H$72:$H$73</definedName>
    <definedName name="OSRRefH22_9x_0" localSheetId="51">'308'!$H$97:$H$99</definedName>
    <definedName name="OSRRefH22_9x_0" localSheetId="65">'309'!$H$47:$H$48</definedName>
    <definedName name="OSRRefH22_9x_0" localSheetId="64">'310'!$H$66</definedName>
    <definedName name="OSRRefH22_9x_0" localSheetId="72">'310 &amp; 491'!$H$71</definedName>
    <definedName name="OSRRefH22_9x_0" localSheetId="52">'311'!$H$97:$H$99</definedName>
    <definedName name="OSRRefH22_9x_0" localSheetId="57">'315'!$H$121</definedName>
    <definedName name="OSRRefH22_9x_0" localSheetId="60">'316'!$H$65</definedName>
    <definedName name="OSRRefH22_9x_0" localSheetId="62">'317'!$H$87</definedName>
    <definedName name="OSRRefH22_9x_0" localSheetId="67">'321'!$H$59:$H$61</definedName>
    <definedName name="OSRRefH22_9x_0" localSheetId="69">'325'!$H$52</definedName>
    <definedName name="OSRRefH22_9x_0" localSheetId="58">'326'!$H$83</definedName>
    <definedName name="OSRRefH22_9x_0" localSheetId="56">'331'!$H$121</definedName>
    <definedName name="OSRRefH22_9x_0" localSheetId="59">'332'!$H$67</definedName>
    <definedName name="OSRRefH22_9x_0" localSheetId="54">'333'!$H$123</definedName>
    <definedName name="OSRRefH22_9x_0" localSheetId="74">'405'!$H$53</definedName>
    <definedName name="OSRRefH22_9x_0" localSheetId="76">'411'!$H$50</definedName>
    <definedName name="OSRRefH22_9x_0" localSheetId="80">'415'!$H$55</definedName>
    <definedName name="OSRRefH22_9x_0" localSheetId="81">'418'!$H$51</definedName>
    <definedName name="OSRRefH22_9x_0" localSheetId="89">'433'!$H$56</definedName>
    <definedName name="OSRRefH22_9x_0" localSheetId="91">'444'!$H$56</definedName>
    <definedName name="OSRRefH22_9x_0" localSheetId="92">'450'!$H$55</definedName>
    <definedName name="OSRRefH22_9x_0" localSheetId="73">'491'!$H$60</definedName>
    <definedName name="OSRRefH22_9x_0" localSheetId="87">'492'!$H$59</definedName>
    <definedName name="OSRRefH22_9x_0" localSheetId="94">'501'!$H$56:$H$57</definedName>
    <definedName name="OSRRefH22_9x_0" localSheetId="39">'Div 2'!$H$53:$H$54</definedName>
    <definedName name="OSRRefH22_9x_0" localSheetId="47">'Div 3'!$H$173</definedName>
    <definedName name="OSRRefH22_9x_0" localSheetId="71">'Div 4'!$H$64</definedName>
    <definedName name="OSRRefH22_9x_0" localSheetId="93">'Div 5'!$H$56:$H$57</definedName>
    <definedName name="OSRRefH22_9x_0" localSheetId="61">'Div 6'!$H$87</definedName>
    <definedName name="OSRRefH22_9x_0" localSheetId="2">Summary!$H$202</definedName>
    <definedName name="OSRRefH22x_0" localSheetId="40">'200'!$H$20,'200'!$H$22,'200'!$H$24,'200'!$H$26</definedName>
    <definedName name="OSRRefH22x_0" localSheetId="41">'201'!$H$20:$H$27,'201'!$H$29:$H$32,'201'!$H$34,'201'!$H$36,'201'!$H$38,'201'!$H$40,'201'!$H$42,'201'!$H$44,'201'!$H$46,'201'!$H$48:$H$50,'201'!$H$52:$H$54,'201'!$H$56,'201'!$H$58:$H$59,'201'!$H$61,'201'!$H$63</definedName>
    <definedName name="OSRRefH22x_0" localSheetId="42">'202'!$H$20:$H$27,'202'!$H$29:$H$31,'202'!$H$33,'202'!$H$35,'202'!$H$37,'202'!$H$39:$H$40,'202'!$H$42,'202'!$H$44:$H$46,'202'!$H$48,'202'!$H$50:$H$52,'202'!$H$54,'202'!$H$56,'202'!$H$58</definedName>
    <definedName name="OSRRefH22x_0" localSheetId="43">'203'!$H$20:$H$29,'203'!$H$31:$H$35,'203'!$H$37,'203'!$H$39,'203'!$H$41,'203'!$H$43,'203'!$H$45,'203'!$H$47:$H$48,'203'!$H$50:$H$51,'203'!$H$53:$H$54,'203'!$H$56:$H$59,'203'!$H$61,'203'!$H$63,'203'!$H$65</definedName>
    <definedName name="OSRRefH22x_0" localSheetId="44">'204'!$H$20:$H$28,'204'!$H$30:$H$32,'204'!$H$34,'204'!$H$36,'204'!$H$38,'204'!$H$40:$H$43,'204'!$H$45,'204'!$H$47:$H$48,'204'!$H$50,'204'!$H$52</definedName>
    <definedName name="OSRRefH22x_0" localSheetId="45">'205'!$H$20:$H$27,'205'!$H$29,'205'!$H$31,'205'!$H$33,'205'!$H$35:$H$37,'205'!$H$39:$H$41,'205'!$H$43</definedName>
    <definedName name="OSRRefH22x_0" localSheetId="46">'206'!$H$20:$H$27,'206'!$H$29:$H$32,'206'!$H$34,'206'!$H$36,'206'!$H$38,'206'!$H$40,'206'!$H$42</definedName>
    <definedName name="OSRRefH22x_0" localSheetId="48">'300'!$H$130:$H$139,'300'!$H$141:$H$147,'300'!$H$149,'300'!$H$151:$H$152,'300'!$H$154,'300'!$H$156:$H$157,'300'!$H$159:$H$160,'300'!$H$162,'300'!$H$164,'300'!$H$166,'300'!$H$168:$H$169,'300'!$H$171,'300'!$H$173,'300'!$H$175:$H$176,'300'!$H$178,'300'!$H$180,'300'!$H$182:$H$185,'300'!$H$187:$H$189,'300'!$H$191:$H$194,'300'!$H$196:$H$197,'300'!$H$199:$H$205,'300'!$H$207:$H$208,'300'!$H$210,'300'!$H$212:$H$214,'300'!$H$216</definedName>
    <definedName name="OSRRefH22x_0" localSheetId="49">'300 &amp; 317'!$H$154:$H$163,'300 &amp; 317'!$H$165:$H$171,'300 &amp; 317'!$H$173,'300 &amp; 317'!$H$175:$H$176,'300 &amp; 317'!$H$178,'300 &amp; 317'!$H$180:$H$181,'300 &amp; 317'!$H$183:$H$184,'300 &amp; 317'!$H$186,'300 &amp; 317'!$H$188,'300 &amp; 317'!$H$190,'300 &amp; 317'!$H$192:$H$193,'300 &amp; 317'!$H$195,'300 &amp; 317'!$H$197,'300 &amp; 317'!$H$199:$H$200,'300 &amp; 317'!$H$202,'300 &amp; 317'!$H$204,'300 &amp; 317'!$H$206:$H$209,'300 &amp; 317'!$H$211:$H$213,'300 &amp; 317'!$H$215:$H$218,'300 &amp; 317'!$H$220:$H$221,'300 &amp; 317'!$H$223:$H$229,'300 &amp; 317'!$H$231:$H$232,'300 &amp; 317'!$H$234,'300 &amp; 317'!$H$236:$H$238,'300 &amp; 317'!$H$240</definedName>
    <definedName name="OSRRefH22x_0" localSheetId="50">'301'!$H$22:$H$31,'301'!$H$33:$H$39,'301'!$H$41,'301'!$H$43:$H$44,'301'!$H$46,'301'!$H$48:$H$49,'301'!$H$51:$H$52,'301'!$H$54,'301'!$H$56,'301'!$H$58,'301'!$H$60,'301'!$H$62,'301'!$H$64,'301'!$H$66,'301'!$H$68,'301'!$H$70:$H$73,'301'!$H$75:$H$77,'301'!$H$79,'301'!$H$81:$H$86,'301'!$H$88,'301'!$H$90,'301'!$H$92:$H$94,'301'!$H$96</definedName>
    <definedName name="OSRRefH22x_0" localSheetId="55">'307'!$H$43:$H$49,'307'!$H$51:$H$54,'307'!$H$56,'307'!$H$58,'307'!$H$60:$H$61,'307'!$H$63,'307'!$H$65,'307'!$H$67,'307'!$H$69:$H$70,'307'!$H$72:$H$73,'307'!$H$75,'307'!$H$77:$H$80,'307'!$H$82,'307'!$H$84</definedName>
    <definedName name="OSRRefH22x_0" localSheetId="51">'308'!$H$63:$H$71,'308'!$H$73:$H$79,'308'!$H$81,'308'!$H$83:$H$84,'308'!$H$86,'308'!$H$88,'308'!$H$90:$H$91,'308'!$H$93,'308'!$H$95,'308'!$H$97:$H$99,'308'!$H$101:$H$102,'308'!$H$104:$H$105,'308'!$H$107:$H$108,'308'!$H$110,'308'!$H$112</definedName>
    <definedName name="OSRRefH22x_0" localSheetId="65">'309'!$H$26:$H$27,'309'!$H$29:$H$30,'309'!$H$32,'309'!$H$34,'309'!$H$36,'309'!$H$38,'309'!$H$40,'309'!$H$42,'309'!$H$44:$H$45,'309'!$H$47:$H$48,'309'!$H$50:$H$51,'309'!$H$53,'309'!$H$55</definedName>
    <definedName name="OSRRefH22x_0" localSheetId="64">'310'!$H$34:$H$42,'310'!$H$44:$H$49,'310'!$H$51,'310'!$H$53,'310'!$H$55,'310'!$H$57:$H$58,'310'!$H$60,'310'!$H$62,'310'!$H$64,'310'!$H$66,'310'!$H$68,'310'!$H$70,'310'!$H$72:$H$73,'310'!$H$75,'310'!$H$77:$H$80,'310'!$H$82:$H$87,'310'!$H$89,'310'!$H$91,'310'!$H$93</definedName>
    <definedName name="OSRRefH22x_0" localSheetId="72">'310 &amp; 491'!$H$37:$H$45,'310 &amp; 491'!$H$47:$H$53,'310 &amp; 491'!$H$55,'310 &amp; 491'!$H$57,'310 &amp; 491'!$H$59,'310 &amp; 491'!$H$61:$H$62,'310 &amp; 491'!$H$64,'310 &amp; 491'!$H$66,'310 &amp; 491'!$H$68:$H$69,'310 &amp; 491'!$H$71,'310 &amp; 491'!$H$73,'310 &amp; 491'!$H$75,'310 &amp; 491'!$H$77,'310 &amp; 491'!$H$79,'310 &amp; 491'!$H$81:$H$84,'310 &amp; 491'!$H$86,'310 &amp; 491'!$H$88:$H$91,'310 &amp; 491'!$H$93,'310 &amp; 491'!$H$95:$H$103,'310 &amp; 491'!$H$105,'310 &amp; 491'!$H$107,'310 &amp; 491'!$H$109:$H$110,'310 &amp; 491'!$H$112</definedName>
    <definedName name="OSRRefH22x_0" localSheetId="52">'311'!$H$63:$H$71,'311'!$H$73:$H$79,'311'!$H$81,'311'!$H$83:$H$84,'311'!$H$86,'311'!$H$88,'311'!$H$90:$H$91,'311'!$H$93,'311'!$H$95,'311'!$H$97:$H$99,'311'!$H$101:$H$102,'311'!$H$104:$H$105,'311'!$H$107:$H$108,'311'!$H$110,'311'!$H$112</definedName>
    <definedName name="OSRRefH22x_0" localSheetId="66">'313'!$H$25:$H$32,'313'!$H$34,'313'!$H$36,'313'!$H$38,'313'!$H$40,'313'!$H$42,'313'!$H$44,'313'!$H$46</definedName>
    <definedName name="OSRRefH22x_0" localSheetId="57">'315'!$H$88:$H$95,'315'!$H$97:$H$102,'315'!$H$104,'315'!$H$106:$H$107,'315'!$H$109,'315'!$H$111,'315'!$H$113:$H$114,'315'!$H$116,'315'!$H$118:$H$119,'315'!$H$121,'315'!$H$123:$H$124,'315'!$H$126:$H$127,'315'!$H$129:$H$130,'315'!$H$132:$H$136,'315'!$H$138,'315'!$H$140,'315'!$H$142</definedName>
    <definedName name="OSRRefH22x_0" localSheetId="60">'316'!$H$34:$H$41,'316'!$H$43:$H$46,'316'!$H$48,'316'!$H$50,'316'!$H$52,'316'!$H$54,'316'!$H$56:$H$57,'316'!$H$59,'316'!$H$61:$H$63,'316'!$H$65,'316'!$H$67,'316'!$H$69:$H$74,'316'!$H$76,'316'!$H$78</definedName>
    <definedName name="OSRRefH22x_0" localSheetId="62">'317'!$H$56:$H$64,'317'!$H$66:$H$70,'317'!$H$72,'317'!$H$74,'317'!$H$76,'317'!$H$78:$H$79,'317'!$H$81,'317'!$H$83,'317'!$H$85,'317'!$H$87,'317'!$H$89:$H$92,'317'!$H$94,'317'!$H$96</definedName>
    <definedName name="OSRRefH22x_0" localSheetId="63">'320'!$H$22:$H$23,'320'!$H$25,'320'!$H$27</definedName>
    <definedName name="OSRRefH22x_0" localSheetId="67">'321'!$H$27:$H$35,'321'!$H$37:$H$42,'321'!$H$44,'321'!$H$46,'321'!$H$48,'321'!$H$50,'321'!$H$52,'321'!$H$54:$H$55,'321'!$H$57,'321'!$H$59:$H$61,'321'!$H$63:$H$67,'321'!$H$69,'321'!$H$71,'321'!$H$73</definedName>
    <definedName name="OSRRefH22x_0" localSheetId="68">'322'!$H$21:$H$25,'322'!$H$27,'322'!$H$29,'322'!$H$31,'322'!$H$33:$H$34,'322'!$H$36,'322'!$H$38,'322'!$H$40</definedName>
    <definedName name="OSRRefH22x_0" localSheetId="69">'325'!$H$24:$H$31,'325'!$H$33:$H$35,'325'!$H$37,'325'!$H$39,'325'!$H$41,'325'!$H$43:$H$44,'325'!$H$46,'325'!$H$48,'325'!$H$50,'325'!$H$52,'325'!$H$54,'325'!$H$56:$H$57,'325'!$H$59:$H$62,'325'!$H$64:$H$69,'325'!$H$71,'325'!$H$73,'325'!$H$75</definedName>
    <definedName name="OSRRefH22x_0" localSheetId="58">'326'!$H$53:$H$60,'326'!$H$62:$H$67,'326'!$H$69,'326'!$H$71,'326'!$H$73,'326'!$H$75,'326'!$H$77,'326'!$H$79,'326'!$H$81,'326'!$H$83,'326'!$H$85,'326'!$H$87:$H$89,'326'!$H$91:$H$93,'326'!$H$95:$H$96,'326'!$H$98:$H$101,'326'!$H$103,'326'!$H$105,'326'!$H$107</definedName>
    <definedName name="OSRRefH22x_0" localSheetId="70">'327'!$H$24,'327'!$H$26</definedName>
    <definedName name="OSRRefH22x_0" localSheetId="56">'331'!$H$89:$H$96,'331'!$H$98:$H$103,'331'!$H$105,'331'!$H$107,'331'!$H$109,'331'!$H$111:$H$112,'331'!$H$114,'331'!$H$116,'331'!$H$118:$H$119,'331'!$H$121,'331'!$H$123,'331'!$H$125:$H$126,'331'!$H$128,'331'!$H$130,'331'!$H$132:$H$134,'331'!$H$136:$H$137,'331'!$H$139:$H$141,'331'!$H$143:$H$144,'331'!$H$146:$H$151,'331'!$H$153,'331'!$H$155,'331'!$H$157,'331'!$H$159</definedName>
    <definedName name="OSRRefH22x_0" localSheetId="59">'332'!$H$36:$H$43,'332'!$H$45:$H$48,'332'!$H$50,'332'!$H$52,'332'!$H$54,'332'!$H$56,'332'!$H$58:$H$59,'332'!$H$61,'332'!$H$63:$H$65,'332'!$H$67,'332'!$H$69,'332'!$H$71:$H$76,'332'!$H$78,'332'!$H$80</definedName>
    <definedName name="OSRRefH22x_0" localSheetId="54">'333'!$H$91:$H$98,'333'!$H$100:$H$105,'333'!$H$107,'333'!$H$109,'333'!$H$111,'333'!$H$113:$H$114,'333'!$H$116,'333'!$H$118,'333'!$H$120:$H$121,'333'!$H$123,'333'!$H$125,'333'!$H$127:$H$128,'333'!$H$130,'333'!$H$132,'333'!$H$134:$H$136,'333'!$H$138:$H$139,'333'!$H$141:$H$144,'333'!$H$146:$H$147,'333'!$H$149:$H$154,'333'!$H$156,'333'!$H$158,'333'!$H$160,'333'!$H$162</definedName>
    <definedName name="OSRRefH22x_0" localSheetId="74">'405'!$H$24:$H$31,'405'!$H$33:$H$36,'405'!$H$38,'405'!$H$40,'405'!$H$42,'405'!$H$44:$H$45,'405'!$H$47,'405'!$H$49,'405'!$H$51,'405'!$H$53,'405'!$H$55:$H$56,'405'!$H$58:$H$61,'405'!$H$63,'405'!$H$65:$H$73,'405'!$H$75,'405'!$H$77,'405'!$H$79</definedName>
    <definedName name="OSRRefH22x_0" localSheetId="75">'406'!$H$20,'406'!$H$22,'406'!$H$24,'406'!$H$26,'406'!$H$28</definedName>
    <definedName name="OSRRefH22x_0" localSheetId="76">'411'!$H$20:$H$27,'411'!$H$29:$H$33,'411'!$H$35,'411'!$H$37,'411'!$H$39:$H$40,'411'!$H$42,'411'!$H$44,'411'!$H$46,'411'!$H$48,'411'!$H$50,'411'!$H$52,'411'!$H$54:$H$57,'411'!$H$59:$H$61,'411'!$H$63,'411'!$H$65:$H$67,'411'!$H$69,'411'!$H$71:$H$72,'411'!$H$74</definedName>
    <definedName name="OSRRefH22x_0" localSheetId="77">'412'!$H$20,'412'!$H$22,'412'!$H$24,'412'!$H$26:$H$27,'412'!$H$29,'412'!$H$31</definedName>
    <definedName name="OSRRefH22x_0" localSheetId="78">'413'!$H$20:$H$24,'413'!$H$26,'413'!$H$28,'413'!$H$30,'413'!$H$32,'413'!$H$34</definedName>
    <definedName name="OSRRefH22x_0" localSheetId="79">'414'!$H$22,'414'!$H$24,'414'!$H$26,'414'!$H$28,'414'!$H$30,'414'!$H$32:$H$33</definedName>
    <definedName name="OSRRefH22x_0" localSheetId="80">'415'!$H$24:$H$32,'415'!$H$34:$H$38,'415'!$H$40,'415'!$H$42,'415'!$H$44,'415'!$H$46:$H$47,'415'!$H$49,'415'!$H$51,'415'!$H$53,'415'!$H$55,'415'!$H$57,'415'!$H$59:$H$60,'415'!$H$62:$H$65,'415'!$H$67,'415'!$H$69:$H$75,'415'!$H$77,'415'!$H$79,'415'!$H$81</definedName>
    <definedName name="OSRRefH22x_0" localSheetId="81">'418'!$H$21:$H$28,'418'!$H$30:$H$33,'418'!$H$35,'418'!$H$37,'418'!$H$39:$H$40,'418'!$H$42,'418'!$H$44,'418'!$H$46,'418'!$H$48:$H$49,'418'!$H$51,'418'!$H$53,'418'!$H$55:$H$61,'418'!$H$63,'418'!$H$65</definedName>
    <definedName name="OSRRefH22x_0" localSheetId="82">'420'!$H$22,'420'!$H$24</definedName>
    <definedName name="OSRRefH22x_0" localSheetId="83">'423'!$H$20:$H$21,'423'!$H$23,'423'!$H$25,'423'!$H$27</definedName>
    <definedName name="OSRRefH22x_0" localSheetId="84">'424'!$H$20,'424'!$H$22,'424'!$H$24,'424'!$H$26</definedName>
    <definedName name="OSRRefH22x_0" localSheetId="85">'425'!$H$22:$H$26,'425'!$H$28,'425'!$H$30,'425'!$H$32,'425'!$H$34,'425'!$H$36:$H$37,'425'!$H$39,'425'!$H$41,'425'!$H$43</definedName>
    <definedName name="OSRRefH22x_0" localSheetId="88">'430'!$H$20:$H$27,'430'!$H$29,'430'!$H$31,'430'!$H$33,'430'!$H$35,'430'!$H$37:$H$39,'430'!$H$41,'430'!$H$43,'430'!$H$45</definedName>
    <definedName name="OSRRefH22x_0" localSheetId="89">'433'!$H$25:$H$33,'433'!$H$35:$H$40,'433'!$H$42,'433'!$H$44,'433'!$H$46,'433'!$H$48,'433'!$H$50,'433'!$H$52,'433'!$H$54,'433'!$H$56,'433'!$H$58,'433'!$H$60:$H$61,'433'!$H$63:$H$65,'433'!$H$67:$H$74,'433'!$H$76,'433'!$H$78</definedName>
    <definedName name="OSRRefH22x_0" localSheetId="90">'435'!$H$23:$H$24,'435'!$H$26,'435'!$H$28,'435'!$H$30,'435'!$H$32,'435'!$H$34</definedName>
    <definedName name="OSRRefH22x_0" localSheetId="91">'444'!$H$25:$H$33,'444'!$H$35:$H$40,'444'!$H$42,'444'!$H$44,'444'!$H$46,'444'!$H$48,'444'!$H$50,'444'!$H$52,'444'!$H$54,'444'!$H$56,'444'!$H$58,'444'!$H$60:$H$61,'444'!$H$63:$H$66,'444'!$H$68,'444'!$H$70:$H$77,'444'!$H$79,'444'!$H$81,'444'!$H$83</definedName>
    <definedName name="OSRRefH22x_0" localSheetId="92">'450'!$H$25:$H$33,'450'!$H$35:$H$39,'450'!$H$41,'450'!$H$43,'450'!$H$45,'450'!$H$47,'450'!$H$49,'450'!$H$51,'450'!$H$53,'450'!$H$55,'450'!$H$57,'450'!$H$59,'450'!$H$61:$H$62,'450'!$H$64:$H$66,'450'!$H$68:$H$73,'450'!$H$75,'450'!$H$77,'450'!$H$79</definedName>
    <definedName name="OSRRefH22x_0" localSheetId="73">'491'!$H$28:$H$36,'491'!$H$38:$H$43,'491'!$H$45,'491'!$H$47,'491'!$H$49,'491'!$H$51:$H$52,'491'!$H$54,'491'!$H$56,'491'!$H$58,'491'!$H$60,'491'!$H$62,'491'!$H$64,'491'!$H$66,'491'!$H$68,'491'!$H$70:$H$73,'491'!$H$75,'491'!$H$77:$H$80,'491'!$H$82,'491'!$H$84:$H$92,'491'!$H$94,'491'!$H$96,'491'!$H$98:$H$99,'491'!$H$101</definedName>
    <definedName name="OSRRefH22x_0" localSheetId="87">'492'!$H$27:$H$35,'492'!$H$37:$H$43,'492'!$H$45,'492'!$H$47,'492'!$H$49,'492'!$H$51,'492'!$H$53,'492'!$H$55,'492'!$H$57,'492'!$H$59,'492'!$H$61,'492'!$H$63,'492'!$H$65:$H$67,'492'!$H$69:$H$72,'492'!$H$74,'492'!$H$76:$H$83,'492'!$H$85,'492'!$H$87,'492'!$H$89:$H$91</definedName>
    <definedName name="OSRRefH22x_0" localSheetId="94">'501'!$H$21:$H$29,'501'!$H$31:$H$36,'501'!$H$38,'501'!$H$40,'501'!$H$42:$H$43,'501'!$H$45,'501'!$H$47,'501'!$H$49:$H$52,'501'!$H$54,'501'!$H$56:$H$57,'501'!$H$59,'501'!$H$61</definedName>
    <definedName name="OSRRefH22x_0" localSheetId="39">'Div 2'!$H$20:$H$30,'Div 2'!$H$32:$H$37,'Div 2'!$H$39,'Div 2'!$H$41,'Div 2'!$H$43,'Div 2'!$H$45,'Div 2'!$H$47,'Div 2'!$H$49,'Div 2'!$H$51,'Div 2'!$H$53:$H$54,'Div 2'!$H$56,'Div 2'!$H$58,'Div 2'!$H$60:$H$62,'Div 2'!$H$64:$H$67,'Div 2'!$H$69,'Div 2'!$H$71:$H$72,'Div 2'!$H$74:$H$78,'Div 2'!$H$80:$H$81,'Div 2'!$H$83,'Div 2'!$H$85:$H$86</definedName>
    <definedName name="OSRRefH22x_0" localSheetId="47">'Div 3'!$H$137:$H$146,'Div 3'!$H$148:$H$154,'Div 3'!$H$156,'Div 3'!$H$158:$H$159,'Div 3'!$H$161,'Div 3'!$H$163:$H$164,'Div 3'!$H$166:$H$167,'Div 3'!$H$169,'Div 3'!$H$171,'Div 3'!$H$173,'Div 3'!$H$175:$H$176,'Div 3'!$H$178,'Div 3'!$H$180,'Div 3'!$H$182,'Div 3'!$H$184:$H$185,'Div 3'!$H$187,'Div 3'!$H$189,'Div 3'!$H$191:$H$194,'Div 3'!$H$196:$H$198,'Div 3'!$H$200:$H$204,'Div 3'!$H$206:$H$207,'Div 3'!$H$209:$H$215,'Div 3'!$H$217:$H$218,'Div 3'!$H$220,'Div 3'!$H$222:$H$224,'Div 3'!$H$226</definedName>
    <definedName name="OSRRefH22x_0" localSheetId="71">'Div 4'!$H$31:$H$39,'Div 4'!$H$41:$H$47,'Div 4'!$H$49,'Div 4'!$H$51,'Div 4'!$H$53,'Div 4'!$H$55:$H$56,'Div 4'!$H$58,'Div 4'!$H$60,'Div 4'!$H$62,'Div 4'!$H$64,'Div 4'!$H$66,'Div 4'!$H$68,'Div 4'!$H$70,'Div 4'!$H$72,'Div 4'!$H$74,'Div 4'!$H$76,'Div 4'!$H$78:$H$81,'Div 4'!$H$83,'Div 4'!$H$85:$H$88,'Div 4'!$H$90:$H$91,'Div 4'!$H$93:$H$101,'Div 4'!$H$103,'Div 4'!$H$105,'Div 4'!$H$107:$H$109,'Div 4'!$H$111</definedName>
    <definedName name="OSRRefH22x_0" localSheetId="93">'Div 5'!$H$21:$H$29,'Div 5'!$H$31:$H$36,'Div 5'!$H$38,'Div 5'!$H$40,'Div 5'!$H$42:$H$43,'Div 5'!$H$45,'Div 5'!$H$47,'Div 5'!$H$49:$H$52,'Div 5'!$H$54,'Div 5'!$H$56:$H$57,'Div 5'!$H$59,'Div 5'!$H$61</definedName>
    <definedName name="OSRRefH22x_0" localSheetId="61">'Div 6'!$H$56:$H$64,'Div 6'!$H$66:$H$70,'Div 6'!$H$72,'Div 6'!$H$74,'Div 6'!$H$76,'Div 6'!$H$78:$H$79,'Div 6'!$H$81,'Div 6'!$H$83,'Div 6'!$H$85,'Div 6'!$H$87,'Div 6'!$H$89:$H$92,'Div 6'!$H$94,'Div 6'!$H$96</definedName>
    <definedName name="OSRRefH22x_0" localSheetId="2">Summary!$H$166:$H$175,Summary!$H$177:$H$183,Summary!$H$185,Summary!$H$187:$H$188,Summary!$H$190,Summary!$H$192:$H$193,Summary!$H$195:$H$196,Summary!$H$198,Summary!$H$200,Summary!$H$202,Summary!$H$204:$H$205,Summary!$H$207,Summary!$H$209,Summary!$H$211,Summary!$H$213:$H$214,Summary!$H$216,Summary!$H$218,Summary!$H$220,Summary!$H$222:$H$225,Summary!$H$227:$H$229,Summary!$H$231:$H$235,Summary!$H$237:$H$238,Summary!$H$240:$H$248,Summary!$H$250:$H$251,Summary!$H$253,Summary!$H$255:$H$257,Summary!$H$259</definedName>
    <definedName name="OSRRefH25x_0" localSheetId="48">'300'!$H$219:$H$223</definedName>
    <definedName name="OSRRefH25x_0" localSheetId="49">'300 &amp; 317'!$H$243:$H$249</definedName>
    <definedName name="OSRRefH25x_0" localSheetId="50">'301'!$H$99</definedName>
    <definedName name="OSRRefH25x_0" localSheetId="51">'308'!$H$115:$H$117</definedName>
    <definedName name="OSRRefH25x_0" localSheetId="72">'310 &amp; 491'!$H$115:$H$117</definedName>
    <definedName name="OSRRefH25x_0" localSheetId="52">'311'!$H$115:$H$117</definedName>
    <definedName name="OSRRefH25x_0" localSheetId="57">'315'!$H$145:$H$147</definedName>
    <definedName name="OSRRefH25x_0" localSheetId="60">'316'!$H$81</definedName>
    <definedName name="OSRRefH25x_0" localSheetId="62">'317'!$H$99:$H$101</definedName>
    <definedName name="OSRRefH25x_0" localSheetId="63">'320'!$H$30</definedName>
    <definedName name="OSRRefH25x_0" localSheetId="56">'331'!$H$162:$H$164</definedName>
    <definedName name="OSRRefH25x_0" localSheetId="59">'332'!$H$83:$H$84</definedName>
    <definedName name="OSRRefH25x_0" localSheetId="54">'333'!$H$165:$H$167</definedName>
    <definedName name="OSRRefH25x_0" localSheetId="74">'405'!$H$82</definedName>
    <definedName name="OSRRefH25x_0" localSheetId="76">'411'!$H$77:$H$78</definedName>
    <definedName name="OSRRefH25x_0" localSheetId="80">'415'!$H$84</definedName>
    <definedName name="OSRRefH25x_0" localSheetId="81">'418'!$H$68</definedName>
    <definedName name="OSRRefH25x_0" localSheetId="83">'423'!$H$30</definedName>
    <definedName name="OSRRefH25x_0" localSheetId="86">'455'!$H$21:$H$22</definedName>
    <definedName name="OSRRefH25x_0" localSheetId="73">'491'!$H$104:$H$106</definedName>
    <definedName name="OSRRefH25x_0" localSheetId="94">'501'!$H$64</definedName>
    <definedName name="OSRRefH25x_0" localSheetId="47">'Div 3'!$H$229:$H$233</definedName>
    <definedName name="OSRRefH25x_0" localSheetId="71">'Div 4'!$H$114:$H$116</definedName>
    <definedName name="OSRRefH25x_0" localSheetId="93">'Div 5'!$H$64</definedName>
    <definedName name="OSRRefH25x_0" localSheetId="61">'Div 6'!$H$99:$H$101</definedName>
    <definedName name="OSRRefH25x_0" localSheetId="2">Summary!$H$262:$H$270</definedName>
    <definedName name="OSRRefP13x_0" localSheetId="48">'300'!$P$13:$P$81</definedName>
    <definedName name="OSRRefP13x_0" localSheetId="49">'300 &amp; 317'!$P$13:$P$96</definedName>
    <definedName name="OSRRefP13x_0" localSheetId="55">'307'!$P$13:$P$25</definedName>
    <definedName name="OSRRefP13x_0" localSheetId="51">'308'!$P$13:$P$38</definedName>
    <definedName name="OSRRefP13x_0" localSheetId="65">'309'!$P$13:$P$16</definedName>
    <definedName name="OSRRefP13x_0" localSheetId="64">'310'!$P$13:$P$23</definedName>
    <definedName name="OSRRefP13x_0" localSheetId="72">'310 &amp; 491'!$P$13:$P$26</definedName>
    <definedName name="OSRRefP13x_0" localSheetId="52">'311'!$P$13:$P$38</definedName>
    <definedName name="OSRRefP13x_0" localSheetId="66">'313'!$P$13:$P$16</definedName>
    <definedName name="OSRRefP13x_0" localSheetId="57">'315'!$P$13:$P$55</definedName>
    <definedName name="OSRRefP13x_0" localSheetId="60">'316'!$P$13:$P$25</definedName>
    <definedName name="OSRRefP13x_0" localSheetId="62">'317'!$P$13:$P$34</definedName>
    <definedName name="OSRRefP13x_0" localSheetId="67">'321'!$P$13:$P$16</definedName>
    <definedName name="OSRRefP13x_0" localSheetId="53">'324'!$P$13:$P$16</definedName>
    <definedName name="OSRRefP13x_0" localSheetId="69">'325'!$P$13:$P$14</definedName>
    <definedName name="OSRRefP13x_0" localSheetId="58">'326'!$P$13:$P$36</definedName>
    <definedName name="OSRRefP13x_0" localSheetId="70">'327'!$P$13:$P$14</definedName>
    <definedName name="OSRRefP13x_0" localSheetId="56">'331'!$P$13:$P$55</definedName>
    <definedName name="OSRRefP13x_0" localSheetId="59">'332'!$P$13:$P$25</definedName>
    <definedName name="OSRRefP13x_0" localSheetId="54">'333'!$P$13:$P$57</definedName>
    <definedName name="OSRRefP13x_0" localSheetId="74">'405'!$P$13:$P$14</definedName>
    <definedName name="OSRRefP13x_0" localSheetId="79">'414'!$P$13</definedName>
    <definedName name="OSRRefP13x_0" localSheetId="80">'415'!$P$13:$P$14</definedName>
    <definedName name="OSRRefP13x_0" localSheetId="82">'420'!$P$13:$P$14</definedName>
    <definedName name="OSRRefP13x_0" localSheetId="85">'425'!$P$13</definedName>
    <definedName name="OSRRefP13x_0" localSheetId="89">'433'!$P$13:$P$15</definedName>
    <definedName name="OSRRefP13x_0" localSheetId="90">'435'!$P$13:$P$14</definedName>
    <definedName name="OSRRefP13x_0" localSheetId="91">'444'!$P$13:$P$15</definedName>
    <definedName name="OSRRefP13x_0" localSheetId="92">'450'!$P$13:$P$15</definedName>
    <definedName name="OSRRefP13x_0" localSheetId="73">'491'!$P$13:$P$18</definedName>
    <definedName name="OSRRefP13x_0" localSheetId="87">'492'!$P$13:$P$17</definedName>
    <definedName name="OSRRefP13x_0" localSheetId="94">'501'!$P$13</definedName>
    <definedName name="OSRRefP13x_0" localSheetId="47">'Div 3'!$P$13:$P$86</definedName>
    <definedName name="OSRRefP13x_0" localSheetId="71">'Div 4'!$P$13:$P$21</definedName>
    <definedName name="OSRRefP13x_0" localSheetId="93">'Div 5'!$P$13</definedName>
    <definedName name="OSRRefP13x_0" localSheetId="61">'Div 6'!$P$13:$P$34</definedName>
    <definedName name="OSRRefP13x_0" localSheetId="2">Summary!$P$13:$P$106</definedName>
    <definedName name="OSRRefP16x_0" localSheetId="48">'300'!$P$84:$P$124</definedName>
    <definedName name="OSRRefP16x_0" localSheetId="49">'300 &amp; 317'!$P$99:$P$148</definedName>
    <definedName name="OSRRefP16x_0" localSheetId="50">'301'!$P$15:$P$16</definedName>
    <definedName name="OSRRefP16x_0" localSheetId="55">'307'!$P$28:$P$37</definedName>
    <definedName name="OSRRefP16x_0" localSheetId="51">'308'!$P$41:$P$57</definedName>
    <definedName name="OSRRefP16x_0" localSheetId="65">'309'!$P$19:$P$20</definedName>
    <definedName name="OSRRefP16x_0" localSheetId="64">'310'!$P$26:$P$28</definedName>
    <definedName name="OSRRefP16x_0" localSheetId="72">'310 &amp; 491'!$P$29:$P$31</definedName>
    <definedName name="OSRRefP16x_0" localSheetId="52">'311'!$P$41:$P$57</definedName>
    <definedName name="OSRRefP16x_0" localSheetId="66">'313'!$P$19</definedName>
    <definedName name="OSRRefP16x_0" localSheetId="57">'315'!$P$58:$P$82</definedName>
    <definedName name="OSRRefP16x_0" localSheetId="60">'316'!$P$28</definedName>
    <definedName name="OSRRefP16x_0" localSheetId="62">'317'!$P$37:$P$50</definedName>
    <definedName name="OSRRefP16x_0" localSheetId="63">'320'!$P$15:$P$16</definedName>
    <definedName name="OSRRefP16x_0" localSheetId="67">'321'!$P$19:$P$21</definedName>
    <definedName name="OSRRefP16x_0" localSheetId="68">'322'!$P$15</definedName>
    <definedName name="OSRRefP16x_0" localSheetId="53">'324'!$P$19:$P$21</definedName>
    <definedName name="OSRRefP16x_0" localSheetId="69">'325'!$P$17:$P$18</definedName>
    <definedName name="OSRRefP16x_0" localSheetId="58">'326'!$P$39:$P$47</definedName>
    <definedName name="OSRRefP16x_0" localSheetId="70">'327'!$P$17:$P$18</definedName>
    <definedName name="OSRRefP16x_0" localSheetId="56">'331'!$P$58:$P$83</definedName>
    <definedName name="OSRRefP16x_0" localSheetId="59">'332'!$P$28:$P$30</definedName>
    <definedName name="OSRRefP16x_0" localSheetId="54">'333'!$P$60:$P$85</definedName>
    <definedName name="OSRRefP16x_0" localSheetId="74">'405'!$P$17:$P$18</definedName>
    <definedName name="OSRRefP16x_0" localSheetId="79">'414'!$P$16</definedName>
    <definedName name="OSRRefP16x_0" localSheetId="80">'415'!$P$17:$P$18</definedName>
    <definedName name="OSRRefP16x_0" localSheetId="81">'418'!$P$15</definedName>
    <definedName name="OSRRefP16x_0" localSheetId="85">'425'!$P$16</definedName>
    <definedName name="OSRRefP16x_0" localSheetId="89">'433'!$P$18:$P$19</definedName>
    <definedName name="OSRRefP16x_0" localSheetId="90">'435'!$P$17</definedName>
    <definedName name="OSRRefP16x_0" localSheetId="91">'444'!$P$18:$P$19</definedName>
    <definedName name="OSRRefP16x_0" localSheetId="92">'450'!$P$18:$P$19</definedName>
    <definedName name="OSRRefP16x_0" localSheetId="73">'491'!$P$21:$P$22</definedName>
    <definedName name="OSRRefP16x_0" localSheetId="87">'492'!$P$20:$P$21</definedName>
    <definedName name="OSRRefP16x_0" localSheetId="47">'Div 3'!$P$89:$P$131</definedName>
    <definedName name="OSRRefP16x_0" localSheetId="71">'Div 4'!$P$24:$P$25</definedName>
    <definedName name="OSRRefP16x_0" localSheetId="61">'Div 6'!$P$37:$P$50</definedName>
    <definedName name="OSRRefP16x_0" localSheetId="2">Summary!$P$109:$P$160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'300'!$P$130:$P$139</definedName>
    <definedName name="OSRRefP22_0x_0" localSheetId="49">'300 &amp; 317'!$P$154:$P$163</definedName>
    <definedName name="OSRRefP22_0x_0" localSheetId="50">'301'!$P$22:$P$31</definedName>
    <definedName name="OSRRefP22_0x_0" localSheetId="55">'307'!$P$43:$P$49</definedName>
    <definedName name="OSRRefP22_0x_0" localSheetId="51">'308'!$P$63:$P$71</definedName>
    <definedName name="OSRRefP22_0x_0" localSheetId="65">'309'!$P$26:$P$27</definedName>
    <definedName name="OSRRefP22_0x_0" localSheetId="64">'310'!$P$34:$P$42</definedName>
    <definedName name="OSRRefP22_0x_0" localSheetId="72">'310 &amp; 491'!$P$37:$P$45</definedName>
    <definedName name="OSRRefP22_0x_0" localSheetId="52">'311'!$P$63:$P$71</definedName>
    <definedName name="OSRRefP22_0x_0" localSheetId="66">'313'!$P$25:$P$32</definedName>
    <definedName name="OSRRefP22_0x_0" localSheetId="57">'315'!$P$88:$P$95</definedName>
    <definedName name="OSRRefP22_0x_0" localSheetId="60">'316'!$P$34:$P$41</definedName>
    <definedName name="OSRRefP22_0x_0" localSheetId="62">'317'!$P$56:$P$64</definedName>
    <definedName name="OSRRefP22_0x_0" localSheetId="63">'320'!$P$22:$P$23</definedName>
    <definedName name="OSRRefP22_0x_0" localSheetId="67">'321'!$P$27:$P$35</definedName>
    <definedName name="OSRRefP22_0x_0" localSheetId="68">'322'!$P$21:$P$25</definedName>
    <definedName name="OSRRefP22_0x_0" localSheetId="69">'325'!$P$24:$P$31</definedName>
    <definedName name="OSRRefP22_0x_0" localSheetId="58">'326'!$P$53:$P$60</definedName>
    <definedName name="OSRRefP22_0x_0" localSheetId="70">'327'!$P$24</definedName>
    <definedName name="OSRRefP22_0x_0" localSheetId="56">'331'!$P$89:$P$96</definedName>
    <definedName name="OSRRefP22_0x_0" localSheetId="59">'332'!$P$36:$P$43</definedName>
    <definedName name="OSRRefP22_0x_0" localSheetId="54">'333'!$P$91:$P$98</definedName>
    <definedName name="OSRRefP22_0x_0" localSheetId="74">'405'!$P$24:$P$31</definedName>
    <definedName name="OSRRefP22_0x_0" localSheetId="75">'406'!$P$20</definedName>
    <definedName name="OSRRefP22_0x_0" localSheetId="76">'411'!$P$20:$P$27</definedName>
    <definedName name="OSRRefP22_0x_0" localSheetId="77">'412'!$P$20</definedName>
    <definedName name="OSRRefP22_0x_0" localSheetId="78">'413'!$P$20:$P$24</definedName>
    <definedName name="OSRRefP22_0x_0" localSheetId="79">'414'!$P$22</definedName>
    <definedName name="OSRRefP22_0x_0" localSheetId="80">'415'!$P$24:$P$32</definedName>
    <definedName name="OSRRefP22_0x_0" localSheetId="81">'418'!$P$21:$P$28</definedName>
    <definedName name="OSRRefP22_0x_0" localSheetId="82">'420'!$P$22</definedName>
    <definedName name="OSRRefP22_0x_0" localSheetId="83">'423'!$P$20:$P$21</definedName>
    <definedName name="OSRRefP22_0x_0" localSheetId="84">'424'!$P$20</definedName>
    <definedName name="OSRRefP22_0x_0" localSheetId="85">'425'!$P$22:$P$26</definedName>
    <definedName name="OSRRefP22_0x_0" localSheetId="88">'430'!$P$20:$P$27</definedName>
    <definedName name="OSRRefP22_0x_0" localSheetId="89">'433'!$P$25:$P$33</definedName>
    <definedName name="OSRRefP22_0x_0" localSheetId="90">'435'!$P$23:$P$24</definedName>
    <definedName name="OSRRefP22_0x_0" localSheetId="91">'444'!$P$25:$P$33</definedName>
    <definedName name="OSRRefP22_0x_0" localSheetId="92">'450'!$P$25:$P$33</definedName>
    <definedName name="OSRRefP22_0x_0" localSheetId="73">'491'!$P$28:$P$36</definedName>
    <definedName name="OSRRefP22_0x_0" localSheetId="87">'492'!$P$27:$P$35</definedName>
    <definedName name="OSRRefP22_0x_0" localSheetId="94">'501'!$P$21:$P$29</definedName>
    <definedName name="OSRRefP22_0x_0" localSheetId="39">'Div 2'!$P$20:$P$30</definedName>
    <definedName name="OSRRefP22_0x_0" localSheetId="47">'Div 3'!$P$137:$P$146</definedName>
    <definedName name="OSRRefP22_0x_0" localSheetId="71">'Div 4'!$P$31:$P$39</definedName>
    <definedName name="OSRRefP22_0x_0" localSheetId="93">'Div 5'!$P$21:$P$29</definedName>
    <definedName name="OSRRefP22_0x_0" localSheetId="61">'Div 6'!$P$56:$P$64</definedName>
    <definedName name="OSRRefP22_0x_0" localSheetId="2">Summary!$P$166:$P$175</definedName>
    <definedName name="OSRRefP22_10x_0" localSheetId="41">'201'!$P$52:$P$54</definedName>
    <definedName name="OSRRefP22_10x_0" localSheetId="42">'202'!$P$54</definedName>
    <definedName name="OSRRefP22_10x_0" localSheetId="43">'203'!$P$56:$P$59</definedName>
    <definedName name="OSRRefP22_10x_0" localSheetId="48">'300'!$P$168:$P$169</definedName>
    <definedName name="OSRRefP22_10x_0" localSheetId="49">'300 &amp; 317'!$P$192:$P$193</definedName>
    <definedName name="OSRRefP22_10x_0" localSheetId="50">'301'!$P$60</definedName>
    <definedName name="OSRRefP22_10x_0" localSheetId="55">'307'!$P$75</definedName>
    <definedName name="OSRRefP22_10x_0" localSheetId="51">'308'!$P$101:$P$102</definedName>
    <definedName name="OSRRefP22_10x_0" localSheetId="65">'309'!$P$50:$P$51</definedName>
    <definedName name="OSRRefP22_10x_0" localSheetId="64">'310'!$P$68</definedName>
    <definedName name="OSRRefP22_10x_0" localSheetId="72">'310 &amp; 491'!$P$73</definedName>
    <definedName name="OSRRefP22_10x_0" localSheetId="52">'311'!$P$101:$P$102</definedName>
    <definedName name="OSRRefP22_10x_0" localSheetId="57">'315'!$P$123:$P$124</definedName>
    <definedName name="OSRRefP22_10x_0" localSheetId="60">'316'!$P$67</definedName>
    <definedName name="OSRRefP22_10x_0" localSheetId="62">'317'!$P$89:$P$92</definedName>
    <definedName name="OSRRefP22_10x_0" localSheetId="67">'321'!$P$63:$P$67</definedName>
    <definedName name="OSRRefP22_10x_0" localSheetId="69">'325'!$P$54</definedName>
    <definedName name="OSRRefP22_10x_0" localSheetId="58">'326'!$P$85</definedName>
    <definedName name="OSRRefP22_10x_0" localSheetId="56">'331'!$P$123</definedName>
    <definedName name="OSRRefP22_10x_0" localSheetId="59">'332'!$P$69</definedName>
    <definedName name="OSRRefP22_10x_0" localSheetId="54">'333'!$P$125</definedName>
    <definedName name="OSRRefP22_10x_0" localSheetId="74">'405'!$P$55:$P$56</definedName>
    <definedName name="OSRRefP22_10x_0" localSheetId="76">'411'!$P$52</definedName>
    <definedName name="OSRRefP22_10x_0" localSheetId="80">'415'!$P$57</definedName>
    <definedName name="OSRRefP22_10x_0" localSheetId="81">'418'!$P$53</definedName>
    <definedName name="OSRRefP22_10x_0" localSheetId="89">'433'!$P$58</definedName>
    <definedName name="OSRRefP22_10x_0" localSheetId="91">'444'!$P$58</definedName>
    <definedName name="OSRRefP22_10x_0" localSheetId="92">'450'!$P$57</definedName>
    <definedName name="OSRRefP22_10x_0" localSheetId="73">'491'!$P$62</definedName>
    <definedName name="OSRRefP22_10x_0" localSheetId="87">'492'!$P$61</definedName>
    <definedName name="OSRRefP22_10x_0" localSheetId="94">'501'!$P$59</definedName>
    <definedName name="OSRRefP22_10x_0" localSheetId="39">'Div 2'!$P$56</definedName>
    <definedName name="OSRRefP22_10x_0" localSheetId="47">'Div 3'!$P$175:$P$176</definedName>
    <definedName name="OSRRefP22_10x_0" localSheetId="71">'Div 4'!$P$66</definedName>
    <definedName name="OSRRefP22_10x_0" localSheetId="93">'Div 5'!$P$59</definedName>
    <definedName name="OSRRefP22_10x_0" localSheetId="61">'Div 6'!$P$89:$P$92</definedName>
    <definedName name="OSRRefP22_10x_0" localSheetId="2">Summary!$P$204:$P$205</definedName>
    <definedName name="OSRRefP22_11x_0" localSheetId="41">'201'!$P$56</definedName>
    <definedName name="OSRRefP22_11x_0" localSheetId="42">'202'!$P$56</definedName>
    <definedName name="OSRRefP22_11x_0" localSheetId="43">'203'!$P$61</definedName>
    <definedName name="OSRRefP22_11x_0" localSheetId="48">'300'!$P$171</definedName>
    <definedName name="OSRRefP22_11x_0" localSheetId="49">'300 &amp; 317'!$P$195</definedName>
    <definedName name="OSRRefP22_11x_0" localSheetId="50">'301'!$P$62</definedName>
    <definedName name="OSRRefP22_11x_0" localSheetId="55">'307'!$P$77:$P$80</definedName>
    <definedName name="OSRRefP22_11x_0" localSheetId="51">'308'!$P$104:$P$105</definedName>
    <definedName name="OSRRefP22_11x_0" localSheetId="65">'309'!$P$53</definedName>
    <definedName name="OSRRefP22_11x_0" localSheetId="64">'310'!$P$70</definedName>
    <definedName name="OSRRefP22_11x_0" localSheetId="72">'310 &amp; 491'!$P$75</definedName>
    <definedName name="OSRRefP22_11x_0" localSheetId="52">'311'!$P$104:$P$105</definedName>
    <definedName name="OSRRefP22_11x_0" localSheetId="57">'315'!$P$126:$P$127</definedName>
    <definedName name="OSRRefP22_11x_0" localSheetId="60">'316'!$P$69:$P$74</definedName>
    <definedName name="OSRRefP22_11x_0" localSheetId="62">'317'!$P$94</definedName>
    <definedName name="OSRRefP22_11x_0" localSheetId="67">'321'!$P$69</definedName>
    <definedName name="OSRRefP22_11x_0" localSheetId="69">'325'!$P$56:$P$57</definedName>
    <definedName name="OSRRefP22_11x_0" localSheetId="58">'326'!$P$87:$P$89</definedName>
    <definedName name="OSRRefP22_11x_0" localSheetId="56">'331'!$P$125:$P$126</definedName>
    <definedName name="OSRRefP22_11x_0" localSheetId="59">'332'!$P$71:$P$76</definedName>
    <definedName name="OSRRefP22_11x_0" localSheetId="54">'333'!$P$127:$P$128</definedName>
    <definedName name="OSRRefP22_11x_0" localSheetId="74">'405'!$P$58:$P$61</definedName>
    <definedName name="OSRRefP22_11x_0" localSheetId="76">'411'!$P$54:$P$57</definedName>
    <definedName name="OSRRefP22_11x_0" localSheetId="80">'415'!$P$59:$P$60</definedName>
    <definedName name="OSRRefP22_11x_0" localSheetId="81">'418'!$P$55:$P$61</definedName>
    <definedName name="OSRRefP22_11x_0" localSheetId="89">'433'!$P$60:$P$61</definedName>
    <definedName name="OSRRefP22_11x_0" localSheetId="91">'444'!$P$60:$P$61</definedName>
    <definedName name="OSRRefP22_11x_0" localSheetId="92">'450'!$P$59</definedName>
    <definedName name="OSRRefP22_11x_0" localSheetId="73">'491'!$P$64</definedName>
    <definedName name="OSRRefP22_11x_0" localSheetId="87">'492'!$P$63</definedName>
    <definedName name="OSRRefP22_11x_0" localSheetId="94">'501'!$P$61</definedName>
    <definedName name="OSRRefP22_11x_0" localSheetId="39">'Div 2'!$P$58</definedName>
    <definedName name="OSRRefP22_11x_0" localSheetId="47">'Div 3'!$P$178</definedName>
    <definedName name="OSRRefP22_11x_0" localSheetId="71">'Div 4'!$P$68</definedName>
    <definedName name="OSRRefP22_11x_0" localSheetId="93">'Div 5'!$P$61</definedName>
    <definedName name="OSRRefP22_11x_0" localSheetId="61">'Div 6'!$P$94</definedName>
    <definedName name="OSRRefP22_11x_0" localSheetId="2">Summary!$P$207</definedName>
    <definedName name="OSRRefP22_12x_0" localSheetId="41">'201'!$P$58:$P$59</definedName>
    <definedName name="OSRRefP22_12x_0" localSheetId="42">'202'!$P$58</definedName>
    <definedName name="OSRRefP22_12x_0" localSheetId="43">'203'!$P$63</definedName>
    <definedName name="OSRRefP22_12x_0" localSheetId="48">'300'!$P$173</definedName>
    <definedName name="OSRRefP22_12x_0" localSheetId="49">'300 &amp; 317'!$P$197</definedName>
    <definedName name="OSRRefP22_12x_0" localSheetId="50">'301'!$P$64</definedName>
    <definedName name="OSRRefP22_12x_0" localSheetId="55">'307'!$P$82</definedName>
    <definedName name="OSRRefP22_12x_0" localSheetId="51">'308'!$P$107:$P$108</definedName>
    <definedName name="OSRRefP22_12x_0" localSheetId="65">'309'!$P$55</definedName>
    <definedName name="OSRRefP22_12x_0" localSheetId="64">'310'!$P$72:$P$73</definedName>
    <definedName name="OSRRefP22_12x_0" localSheetId="72">'310 &amp; 491'!$P$77</definedName>
    <definedName name="OSRRefP22_12x_0" localSheetId="52">'311'!$P$107:$P$108</definedName>
    <definedName name="OSRRefP22_12x_0" localSheetId="57">'315'!$P$129:$P$130</definedName>
    <definedName name="OSRRefP22_12x_0" localSheetId="60">'316'!$P$76</definedName>
    <definedName name="OSRRefP22_12x_0" localSheetId="62">'317'!$P$96</definedName>
    <definedName name="OSRRefP22_12x_0" localSheetId="67">'321'!$P$71</definedName>
    <definedName name="OSRRefP22_12x_0" localSheetId="69">'325'!$P$59:$P$62</definedName>
    <definedName name="OSRRefP22_12x_0" localSheetId="58">'326'!$P$91:$P$93</definedName>
    <definedName name="OSRRefP22_12x_0" localSheetId="56">'331'!$P$128</definedName>
    <definedName name="OSRRefP22_12x_0" localSheetId="59">'332'!$P$78</definedName>
    <definedName name="OSRRefP22_12x_0" localSheetId="54">'333'!$P$130</definedName>
    <definedName name="OSRRefP22_12x_0" localSheetId="74">'405'!$P$63</definedName>
    <definedName name="OSRRefP22_12x_0" localSheetId="76">'411'!$P$59:$P$61</definedName>
    <definedName name="OSRRefP22_12x_0" localSheetId="80">'415'!$P$62:$P$65</definedName>
    <definedName name="OSRRefP22_12x_0" localSheetId="81">'418'!$P$63</definedName>
    <definedName name="OSRRefP22_12x_0" localSheetId="89">'433'!$P$63:$P$65</definedName>
    <definedName name="OSRRefP22_12x_0" localSheetId="91">'444'!$P$63:$P$66</definedName>
    <definedName name="OSRRefP22_12x_0" localSheetId="92">'450'!$P$61:$P$62</definedName>
    <definedName name="OSRRefP22_12x_0" localSheetId="73">'491'!$P$66</definedName>
    <definedName name="OSRRefP22_12x_0" localSheetId="87">'492'!$P$65:$P$67</definedName>
    <definedName name="OSRRefP22_12x_0" localSheetId="39">'Div 2'!$P$60:$P$62</definedName>
    <definedName name="OSRRefP22_12x_0" localSheetId="47">'Div 3'!$P$180</definedName>
    <definedName name="OSRRefP22_12x_0" localSheetId="71">'Div 4'!$P$70</definedName>
    <definedName name="OSRRefP22_12x_0" localSheetId="61">'Div 6'!$P$96</definedName>
    <definedName name="OSRRefP22_12x_0" localSheetId="2">Summary!$P$209</definedName>
    <definedName name="OSRRefP22_13x_0" localSheetId="41">'201'!$P$61</definedName>
    <definedName name="OSRRefP22_13x_0" localSheetId="43">'203'!$P$65</definedName>
    <definedName name="OSRRefP22_13x_0" localSheetId="48">'300'!$P$175:$P$176</definedName>
    <definedName name="OSRRefP22_13x_0" localSheetId="49">'300 &amp; 317'!$P$199:$P$200</definedName>
    <definedName name="OSRRefP22_13x_0" localSheetId="50">'301'!$P$66</definedName>
    <definedName name="OSRRefP22_13x_0" localSheetId="55">'307'!$P$84</definedName>
    <definedName name="OSRRefP22_13x_0" localSheetId="51">'308'!$P$110</definedName>
    <definedName name="OSRRefP22_13x_0" localSheetId="64">'310'!$P$75</definedName>
    <definedName name="OSRRefP22_13x_0" localSheetId="72">'310 &amp; 491'!$P$79</definedName>
    <definedName name="OSRRefP22_13x_0" localSheetId="52">'311'!$P$110</definedName>
    <definedName name="OSRRefP22_13x_0" localSheetId="57">'315'!$P$132:$P$136</definedName>
    <definedName name="OSRRefP22_13x_0" localSheetId="60">'316'!$P$78</definedName>
    <definedName name="OSRRefP22_13x_0" localSheetId="67">'321'!$P$73</definedName>
    <definedName name="OSRRefP22_13x_0" localSheetId="69">'325'!$P$64:$P$69</definedName>
    <definedName name="OSRRefP22_13x_0" localSheetId="58">'326'!$P$95:$P$96</definedName>
    <definedName name="OSRRefP22_13x_0" localSheetId="56">'331'!$P$130</definedName>
    <definedName name="OSRRefP22_13x_0" localSheetId="59">'332'!$P$80</definedName>
    <definedName name="OSRRefP22_13x_0" localSheetId="54">'333'!$P$132</definedName>
    <definedName name="OSRRefP22_13x_0" localSheetId="74">'405'!$P$65:$P$73</definedName>
    <definedName name="OSRRefP22_13x_0" localSheetId="76">'411'!$P$63</definedName>
    <definedName name="OSRRefP22_13x_0" localSheetId="80">'415'!$P$67</definedName>
    <definedName name="OSRRefP22_13x_0" localSheetId="81">'418'!$P$65</definedName>
    <definedName name="OSRRefP22_13x_0" localSheetId="89">'433'!$P$67:$P$74</definedName>
    <definedName name="OSRRefP22_13x_0" localSheetId="91">'444'!$P$68</definedName>
    <definedName name="OSRRefP22_13x_0" localSheetId="92">'450'!$P$64:$P$66</definedName>
    <definedName name="OSRRefP22_13x_0" localSheetId="73">'491'!$P$68</definedName>
    <definedName name="OSRRefP22_13x_0" localSheetId="87">'492'!$P$69:$P$72</definedName>
    <definedName name="OSRRefP22_13x_0" localSheetId="39">'Div 2'!$P$64:$P$67</definedName>
    <definedName name="OSRRefP22_13x_0" localSheetId="47">'Div 3'!$P$182</definedName>
    <definedName name="OSRRefP22_13x_0" localSheetId="71">'Div 4'!$P$72</definedName>
    <definedName name="OSRRefP22_13x_0" localSheetId="2">Summary!$P$211</definedName>
    <definedName name="OSRRefP22_14x_0" localSheetId="41">'201'!$P$63</definedName>
    <definedName name="OSRRefP22_14x_0" localSheetId="48">'300'!$P$178</definedName>
    <definedName name="OSRRefP22_14x_0" localSheetId="49">'300 &amp; 317'!$P$202</definedName>
    <definedName name="OSRRefP22_14x_0" localSheetId="50">'301'!$P$68</definedName>
    <definedName name="OSRRefP22_14x_0" localSheetId="51">'308'!$P$112</definedName>
    <definedName name="OSRRefP22_14x_0" localSheetId="64">'310'!$P$77:$P$80</definedName>
    <definedName name="OSRRefP22_14x_0" localSheetId="72">'310 &amp; 491'!$P$81:$P$84</definedName>
    <definedName name="OSRRefP22_14x_0" localSheetId="52">'311'!$P$112</definedName>
    <definedName name="OSRRefP22_14x_0" localSheetId="57">'315'!$P$138</definedName>
    <definedName name="OSRRefP22_14x_0" localSheetId="69">'325'!$P$71</definedName>
    <definedName name="OSRRefP22_14x_0" localSheetId="58">'326'!$P$98:$P$101</definedName>
    <definedName name="OSRRefP22_14x_0" localSheetId="56">'331'!$P$132:$P$134</definedName>
    <definedName name="OSRRefP22_14x_0" localSheetId="54">'333'!$P$134:$P$136</definedName>
    <definedName name="OSRRefP22_14x_0" localSheetId="74">'405'!$P$75</definedName>
    <definedName name="OSRRefP22_14x_0" localSheetId="76">'411'!$P$65:$P$67</definedName>
    <definedName name="OSRRefP22_14x_0" localSheetId="80">'415'!$P$69:$P$75</definedName>
    <definedName name="OSRRefP22_14x_0" localSheetId="89">'433'!$P$76</definedName>
    <definedName name="OSRRefP22_14x_0" localSheetId="91">'444'!$P$70:$P$77</definedName>
    <definedName name="OSRRefP22_14x_0" localSheetId="92">'450'!$P$68:$P$73</definedName>
    <definedName name="OSRRefP22_14x_0" localSheetId="73">'491'!$P$70:$P$73</definedName>
    <definedName name="OSRRefP22_14x_0" localSheetId="87">'492'!$P$74</definedName>
    <definedName name="OSRRefP22_14x_0" localSheetId="39">'Div 2'!$P$69</definedName>
    <definedName name="OSRRefP22_14x_0" localSheetId="47">'Div 3'!$P$184:$P$185</definedName>
    <definedName name="OSRRefP22_14x_0" localSheetId="71">'Div 4'!$P$74</definedName>
    <definedName name="OSRRefP22_14x_0" localSheetId="2">Summary!$P$213:$P$214</definedName>
    <definedName name="OSRRefP22_15x_0" localSheetId="48">'300'!$P$180</definedName>
    <definedName name="OSRRefP22_15x_0" localSheetId="49">'300 &amp; 317'!$P$204</definedName>
    <definedName name="OSRRefP22_15x_0" localSheetId="50">'301'!$P$70:$P$73</definedName>
    <definedName name="OSRRefP22_15x_0" localSheetId="64">'310'!$P$82:$P$87</definedName>
    <definedName name="OSRRefP22_15x_0" localSheetId="72">'310 &amp; 491'!$P$86</definedName>
    <definedName name="OSRRefP22_15x_0" localSheetId="57">'315'!$P$140</definedName>
    <definedName name="OSRRefP22_15x_0" localSheetId="69">'325'!$P$73</definedName>
    <definedName name="OSRRefP22_15x_0" localSheetId="58">'326'!$P$103</definedName>
    <definedName name="OSRRefP22_15x_0" localSheetId="56">'331'!$P$136:$P$137</definedName>
    <definedName name="OSRRefP22_15x_0" localSheetId="54">'333'!$P$138:$P$139</definedName>
    <definedName name="OSRRefP22_15x_0" localSheetId="74">'405'!$P$77</definedName>
    <definedName name="OSRRefP22_15x_0" localSheetId="76">'411'!$P$69</definedName>
    <definedName name="OSRRefP22_15x_0" localSheetId="80">'415'!$P$77</definedName>
    <definedName name="OSRRefP22_15x_0" localSheetId="89">'433'!$P$78</definedName>
    <definedName name="OSRRefP22_15x_0" localSheetId="91">'444'!$P$79</definedName>
    <definedName name="OSRRefP22_15x_0" localSheetId="92">'450'!$P$75</definedName>
    <definedName name="OSRRefP22_15x_0" localSheetId="73">'491'!$P$75</definedName>
    <definedName name="OSRRefP22_15x_0" localSheetId="87">'492'!$P$76:$P$83</definedName>
    <definedName name="OSRRefP22_15x_0" localSheetId="39">'Div 2'!$P$71:$P$72</definedName>
    <definedName name="OSRRefP22_15x_0" localSheetId="47">'Div 3'!$P$187</definedName>
    <definedName name="OSRRefP22_15x_0" localSheetId="71">'Div 4'!$P$76</definedName>
    <definedName name="OSRRefP22_15x_0" localSheetId="2">Summary!$P$216</definedName>
    <definedName name="OSRRefP22_16x_0" localSheetId="48">'300'!$P$182:$P$185</definedName>
    <definedName name="OSRRefP22_16x_0" localSheetId="49">'300 &amp; 317'!$P$206:$P$209</definedName>
    <definedName name="OSRRefP22_16x_0" localSheetId="50">'301'!$P$75:$P$77</definedName>
    <definedName name="OSRRefP22_16x_0" localSheetId="64">'310'!$P$89</definedName>
    <definedName name="OSRRefP22_16x_0" localSheetId="72">'310 &amp; 491'!$P$88:$P$91</definedName>
    <definedName name="OSRRefP22_16x_0" localSheetId="57">'315'!$P$142</definedName>
    <definedName name="OSRRefP22_16x_0" localSheetId="69">'325'!$P$75</definedName>
    <definedName name="OSRRefP22_16x_0" localSheetId="58">'326'!$P$105</definedName>
    <definedName name="OSRRefP22_16x_0" localSheetId="56">'331'!$P$139:$P$141</definedName>
    <definedName name="OSRRefP22_16x_0" localSheetId="54">'333'!$P$141:$P$144</definedName>
    <definedName name="OSRRefP22_16x_0" localSheetId="74">'405'!$P$79</definedName>
    <definedName name="OSRRefP22_16x_0" localSheetId="76">'411'!$P$71:$P$72</definedName>
    <definedName name="OSRRefP22_16x_0" localSheetId="80">'415'!$P$79</definedName>
    <definedName name="OSRRefP22_16x_0" localSheetId="91">'444'!$P$81</definedName>
    <definedName name="OSRRefP22_16x_0" localSheetId="92">'450'!$P$77</definedName>
    <definedName name="OSRRefP22_16x_0" localSheetId="73">'491'!$P$77:$P$80</definedName>
    <definedName name="OSRRefP22_16x_0" localSheetId="87">'492'!$P$85</definedName>
    <definedName name="OSRRefP22_16x_0" localSheetId="39">'Div 2'!$P$74:$P$78</definedName>
    <definedName name="OSRRefP22_16x_0" localSheetId="47">'Div 3'!$P$189</definedName>
    <definedName name="OSRRefP22_16x_0" localSheetId="71">'Div 4'!$P$78:$P$81</definedName>
    <definedName name="OSRRefP22_16x_0" localSheetId="2">Summary!$P$218</definedName>
    <definedName name="OSRRefP22_17x_0" localSheetId="48">'300'!$P$187:$P$189</definedName>
    <definedName name="OSRRefP22_17x_0" localSheetId="49">'300 &amp; 317'!$P$211:$P$213</definedName>
    <definedName name="OSRRefP22_17x_0" localSheetId="50">'301'!$P$79</definedName>
    <definedName name="OSRRefP22_17x_0" localSheetId="64">'310'!$P$91</definedName>
    <definedName name="OSRRefP22_17x_0" localSheetId="72">'310 &amp; 491'!$P$93</definedName>
    <definedName name="OSRRefP22_17x_0" localSheetId="58">'326'!$P$107</definedName>
    <definedName name="OSRRefP22_17x_0" localSheetId="56">'331'!$P$143:$P$144</definedName>
    <definedName name="OSRRefP22_17x_0" localSheetId="54">'333'!$P$146:$P$147</definedName>
    <definedName name="OSRRefP22_17x_0" localSheetId="76">'411'!$P$74</definedName>
    <definedName name="OSRRefP22_17x_0" localSheetId="80">'415'!$P$81</definedName>
    <definedName name="OSRRefP22_17x_0" localSheetId="91">'444'!$P$83</definedName>
    <definedName name="OSRRefP22_17x_0" localSheetId="92">'450'!$P$79</definedName>
    <definedName name="OSRRefP22_17x_0" localSheetId="73">'491'!$P$82</definedName>
    <definedName name="OSRRefP22_17x_0" localSheetId="87">'492'!$P$87</definedName>
    <definedName name="OSRRefP22_17x_0" localSheetId="39">'Div 2'!$P$80:$P$81</definedName>
    <definedName name="OSRRefP22_17x_0" localSheetId="47">'Div 3'!$P$191:$P$194</definedName>
    <definedName name="OSRRefP22_17x_0" localSheetId="71">'Div 4'!$P$83</definedName>
    <definedName name="OSRRefP22_17x_0" localSheetId="2">Summary!$P$220</definedName>
    <definedName name="OSRRefP22_18x_0" localSheetId="48">'300'!$P$191:$P$194</definedName>
    <definedName name="OSRRefP22_18x_0" localSheetId="49">'300 &amp; 317'!$P$215:$P$218</definedName>
    <definedName name="OSRRefP22_18x_0" localSheetId="50">'301'!$P$81:$P$86</definedName>
    <definedName name="OSRRefP22_18x_0" localSheetId="64">'310'!$P$93</definedName>
    <definedName name="OSRRefP22_18x_0" localSheetId="72">'310 &amp; 491'!$P$95:$P$103</definedName>
    <definedName name="OSRRefP22_18x_0" localSheetId="56">'331'!$P$146:$P$151</definedName>
    <definedName name="OSRRefP22_18x_0" localSheetId="54">'333'!$P$149:$P$154</definedName>
    <definedName name="OSRRefP22_18x_0" localSheetId="73">'491'!$P$84:$P$92</definedName>
    <definedName name="OSRRefP22_18x_0" localSheetId="87">'492'!$P$89:$P$91</definedName>
    <definedName name="OSRRefP22_18x_0" localSheetId="39">'Div 2'!$P$83</definedName>
    <definedName name="OSRRefP22_18x_0" localSheetId="47">'Div 3'!$P$196:$P$198</definedName>
    <definedName name="OSRRefP22_18x_0" localSheetId="71">'Div 4'!$P$85:$P$88</definedName>
    <definedName name="OSRRefP22_18x_0" localSheetId="2">Summary!$P$222:$P$225</definedName>
    <definedName name="OSRRefP22_19x_0" localSheetId="48">'300'!$P$196:$P$197</definedName>
    <definedName name="OSRRefP22_19x_0" localSheetId="49">'300 &amp; 317'!$P$220:$P$221</definedName>
    <definedName name="OSRRefP22_19x_0" localSheetId="50">'301'!$P$88</definedName>
    <definedName name="OSRRefP22_19x_0" localSheetId="72">'310 &amp; 491'!$P$105</definedName>
    <definedName name="OSRRefP22_19x_0" localSheetId="56">'331'!$P$153</definedName>
    <definedName name="OSRRefP22_19x_0" localSheetId="54">'333'!$P$156</definedName>
    <definedName name="OSRRefP22_19x_0" localSheetId="73">'491'!$P$94</definedName>
    <definedName name="OSRRefP22_19x_0" localSheetId="39">'Div 2'!$P$85:$P$86</definedName>
    <definedName name="OSRRefP22_19x_0" localSheetId="47">'Div 3'!$P$200:$P$204</definedName>
    <definedName name="OSRRefP22_19x_0" localSheetId="71">'Div 4'!$P$90:$P$91</definedName>
    <definedName name="OSRRefP22_19x_0" localSheetId="2">Summary!$P$227:$P$229</definedName>
    <definedName name="OSRRefP22_1x_0" localSheetId="40">'200'!$P$22</definedName>
    <definedName name="OSRRefP22_1x_0" localSheetId="41">'201'!$P$29:$P$32</definedName>
    <definedName name="OSRRefP22_1x_0" localSheetId="42">'202'!$P$29:$P$31</definedName>
    <definedName name="OSRRefP22_1x_0" localSheetId="43">'203'!$P$31:$P$35</definedName>
    <definedName name="OSRRefP22_1x_0" localSheetId="44">'204'!$P$30:$P$32</definedName>
    <definedName name="OSRRefP22_1x_0" localSheetId="45">'205'!$P$29</definedName>
    <definedName name="OSRRefP22_1x_0" localSheetId="46">'206'!$P$29:$P$32</definedName>
    <definedName name="OSRRefP22_1x_0" localSheetId="48">'300'!$P$141:$P$147</definedName>
    <definedName name="OSRRefP22_1x_0" localSheetId="49">'300 &amp; 317'!$P$165:$P$171</definedName>
    <definedName name="OSRRefP22_1x_0" localSheetId="50">'301'!$P$33:$P$39</definedName>
    <definedName name="OSRRefP22_1x_0" localSheetId="55">'307'!$P$51:$P$54</definedName>
    <definedName name="OSRRefP22_1x_0" localSheetId="51">'308'!$P$73:$P$79</definedName>
    <definedName name="OSRRefP22_1x_0" localSheetId="65">'309'!$P$29:$P$30</definedName>
    <definedName name="OSRRefP22_1x_0" localSheetId="64">'310'!$P$44:$P$49</definedName>
    <definedName name="OSRRefP22_1x_0" localSheetId="72">'310 &amp; 491'!$P$47:$P$53</definedName>
    <definedName name="OSRRefP22_1x_0" localSheetId="52">'311'!$P$73:$P$79</definedName>
    <definedName name="OSRRefP22_1x_0" localSheetId="66">'313'!$P$34</definedName>
    <definedName name="OSRRefP22_1x_0" localSheetId="57">'315'!$P$97:$P$102</definedName>
    <definedName name="OSRRefP22_1x_0" localSheetId="60">'316'!$P$43:$P$46</definedName>
    <definedName name="OSRRefP22_1x_0" localSheetId="62">'317'!$P$66:$P$70</definedName>
    <definedName name="OSRRefP22_1x_0" localSheetId="63">'320'!$P$25</definedName>
    <definedName name="OSRRefP22_1x_0" localSheetId="67">'321'!$P$37:$P$42</definedName>
    <definedName name="OSRRefP22_1x_0" localSheetId="68">'322'!$P$27</definedName>
    <definedName name="OSRRefP22_1x_0" localSheetId="69">'325'!$P$33:$P$35</definedName>
    <definedName name="OSRRefP22_1x_0" localSheetId="58">'326'!$P$62:$P$67</definedName>
    <definedName name="OSRRefP22_1x_0" localSheetId="70">'327'!$P$26</definedName>
    <definedName name="OSRRefP22_1x_0" localSheetId="56">'331'!$P$98:$P$103</definedName>
    <definedName name="OSRRefP22_1x_0" localSheetId="59">'332'!$P$45:$P$48</definedName>
    <definedName name="OSRRefP22_1x_0" localSheetId="54">'333'!$P$100:$P$105</definedName>
    <definedName name="OSRRefP22_1x_0" localSheetId="74">'405'!$P$33:$P$36</definedName>
    <definedName name="OSRRefP22_1x_0" localSheetId="75">'406'!$P$22</definedName>
    <definedName name="OSRRefP22_1x_0" localSheetId="76">'411'!$P$29:$P$33</definedName>
    <definedName name="OSRRefP22_1x_0" localSheetId="77">'412'!$P$22</definedName>
    <definedName name="OSRRefP22_1x_0" localSheetId="78">'413'!$P$26</definedName>
    <definedName name="OSRRefP22_1x_0" localSheetId="79">'414'!$P$24</definedName>
    <definedName name="OSRRefP22_1x_0" localSheetId="80">'415'!$P$34:$P$38</definedName>
    <definedName name="OSRRefP22_1x_0" localSheetId="81">'418'!$P$30:$P$33</definedName>
    <definedName name="OSRRefP22_1x_0" localSheetId="82">'420'!$P$24</definedName>
    <definedName name="OSRRefP22_1x_0" localSheetId="83">'423'!$P$23</definedName>
    <definedName name="OSRRefP22_1x_0" localSheetId="84">'424'!$P$22</definedName>
    <definedName name="OSRRefP22_1x_0" localSheetId="85">'425'!$P$28</definedName>
    <definedName name="OSRRefP22_1x_0" localSheetId="88">'430'!$P$29</definedName>
    <definedName name="OSRRefP22_1x_0" localSheetId="89">'433'!$P$35:$P$40</definedName>
    <definedName name="OSRRefP22_1x_0" localSheetId="90">'435'!$P$26</definedName>
    <definedName name="OSRRefP22_1x_0" localSheetId="91">'444'!$P$35:$P$40</definedName>
    <definedName name="OSRRefP22_1x_0" localSheetId="92">'450'!$P$35:$P$39</definedName>
    <definedName name="OSRRefP22_1x_0" localSheetId="73">'491'!$P$38:$P$43</definedName>
    <definedName name="OSRRefP22_1x_0" localSheetId="87">'492'!$P$37:$P$43</definedName>
    <definedName name="OSRRefP22_1x_0" localSheetId="94">'501'!$P$31:$P$36</definedName>
    <definedName name="OSRRefP22_1x_0" localSheetId="39">'Div 2'!$P$32:$P$37</definedName>
    <definedName name="OSRRefP22_1x_0" localSheetId="47">'Div 3'!$P$148:$P$154</definedName>
    <definedName name="OSRRefP22_1x_0" localSheetId="71">'Div 4'!$P$41:$P$47</definedName>
    <definedName name="OSRRefP22_1x_0" localSheetId="93">'Div 5'!$P$31:$P$36</definedName>
    <definedName name="OSRRefP22_1x_0" localSheetId="61">'Div 6'!$P$66:$P$70</definedName>
    <definedName name="OSRRefP22_1x_0" localSheetId="2">Summary!$P$177:$P$183</definedName>
    <definedName name="OSRRefP22_20x_0" localSheetId="48">'300'!$P$199:$P$205</definedName>
    <definedName name="OSRRefP22_20x_0" localSheetId="49">'300 &amp; 317'!$P$223:$P$229</definedName>
    <definedName name="OSRRefP22_20x_0" localSheetId="50">'301'!$P$90</definedName>
    <definedName name="OSRRefP22_20x_0" localSheetId="72">'310 &amp; 491'!$P$107</definedName>
    <definedName name="OSRRefP22_20x_0" localSheetId="56">'331'!$P$155</definedName>
    <definedName name="OSRRefP22_20x_0" localSheetId="54">'333'!$P$158</definedName>
    <definedName name="OSRRefP22_20x_0" localSheetId="73">'491'!$P$96</definedName>
    <definedName name="OSRRefP22_20x_0" localSheetId="47">'Div 3'!$P$206:$P$207</definedName>
    <definedName name="OSRRefP22_20x_0" localSheetId="71">'Div 4'!$P$93:$P$101</definedName>
    <definedName name="OSRRefP22_20x_0" localSheetId="2">Summary!$P$231:$P$235</definedName>
    <definedName name="OSRRefP22_21x_0" localSheetId="48">'300'!$P$207:$P$208</definedName>
    <definedName name="OSRRefP22_21x_0" localSheetId="49">'300 &amp; 317'!$P$231:$P$232</definedName>
    <definedName name="OSRRefP22_21x_0" localSheetId="50">'301'!$P$92:$P$94</definedName>
    <definedName name="OSRRefP22_21x_0" localSheetId="72">'310 &amp; 491'!$P$109:$P$110</definedName>
    <definedName name="OSRRefP22_21x_0" localSheetId="56">'331'!$P$157</definedName>
    <definedName name="OSRRefP22_21x_0" localSheetId="54">'333'!$P$160</definedName>
    <definedName name="OSRRefP22_21x_0" localSheetId="73">'491'!$P$98:$P$99</definedName>
    <definedName name="OSRRefP22_21x_0" localSheetId="47">'Div 3'!$P$209:$P$215</definedName>
    <definedName name="OSRRefP22_21x_0" localSheetId="71">'Div 4'!$P$103</definedName>
    <definedName name="OSRRefP22_21x_0" localSheetId="2">Summary!$P$237:$P$238</definedName>
    <definedName name="OSRRefP22_22x_0" localSheetId="48">'300'!$P$210</definedName>
    <definedName name="OSRRefP22_22x_0" localSheetId="49">'300 &amp; 317'!$P$234</definedName>
    <definedName name="OSRRefP22_22x_0" localSheetId="50">'301'!$P$96</definedName>
    <definedName name="OSRRefP22_22x_0" localSheetId="72">'310 &amp; 491'!$P$112</definedName>
    <definedName name="OSRRefP22_22x_0" localSheetId="56">'331'!$P$159</definedName>
    <definedName name="OSRRefP22_22x_0" localSheetId="54">'333'!$P$162</definedName>
    <definedName name="OSRRefP22_22x_0" localSheetId="73">'491'!$P$101</definedName>
    <definedName name="OSRRefP22_22x_0" localSheetId="47">'Div 3'!$P$217:$P$218</definedName>
    <definedName name="OSRRefP22_22x_0" localSheetId="71">'Div 4'!$P$105</definedName>
    <definedName name="OSRRefP22_22x_0" localSheetId="2">Summary!$P$240:$P$248</definedName>
    <definedName name="OSRRefP22_23x_0" localSheetId="48">'300'!$P$212:$P$214</definedName>
    <definedName name="OSRRefP22_23x_0" localSheetId="49">'300 &amp; 317'!$P$236:$P$238</definedName>
    <definedName name="OSRRefP22_23x_0" localSheetId="47">'Div 3'!$P$220</definedName>
    <definedName name="OSRRefP22_23x_0" localSheetId="71">'Div 4'!$P$107:$P$109</definedName>
    <definedName name="OSRRefP22_23x_0" localSheetId="2">Summary!$P$250:$P$251</definedName>
    <definedName name="OSRRefP22_24x_0" localSheetId="48">'300'!$P$216</definedName>
    <definedName name="OSRRefP22_24x_0" localSheetId="49">'300 &amp; 317'!$P$240</definedName>
    <definedName name="OSRRefP22_24x_0" localSheetId="47">'Div 3'!$P$222:$P$224</definedName>
    <definedName name="OSRRefP22_24x_0" localSheetId="71">'Div 4'!$P$111</definedName>
    <definedName name="OSRRefP22_24x_0" localSheetId="2">Summary!$P$253</definedName>
    <definedName name="OSRRefP22_25x_0" localSheetId="47">'Div 3'!$P$226</definedName>
    <definedName name="OSRRefP22_25x_0" localSheetId="2">Summary!$P$255:$P$257</definedName>
    <definedName name="OSRRefP22_26x_0" localSheetId="2">Summary!$P$259</definedName>
    <definedName name="OSRRefP22_2x_0" localSheetId="40">'200'!$P$24</definedName>
    <definedName name="OSRRefP22_2x_0" localSheetId="41">'201'!$P$34</definedName>
    <definedName name="OSRRefP22_2x_0" localSheetId="42">'202'!$P$33</definedName>
    <definedName name="OSRRefP22_2x_0" localSheetId="43">'203'!$P$37</definedName>
    <definedName name="OSRRefP22_2x_0" localSheetId="44">'204'!$P$34</definedName>
    <definedName name="OSRRefP22_2x_0" localSheetId="45">'205'!$P$31</definedName>
    <definedName name="OSRRefP22_2x_0" localSheetId="46">'206'!$P$34</definedName>
    <definedName name="OSRRefP22_2x_0" localSheetId="48">'300'!$P$149</definedName>
    <definedName name="OSRRefP22_2x_0" localSheetId="49">'300 &amp; 317'!$P$173</definedName>
    <definedName name="OSRRefP22_2x_0" localSheetId="50">'301'!$P$41</definedName>
    <definedName name="OSRRefP22_2x_0" localSheetId="55">'307'!$P$56</definedName>
    <definedName name="OSRRefP22_2x_0" localSheetId="51">'308'!$P$81</definedName>
    <definedName name="OSRRefP22_2x_0" localSheetId="65">'309'!$P$32</definedName>
    <definedName name="OSRRefP22_2x_0" localSheetId="64">'310'!$P$51</definedName>
    <definedName name="OSRRefP22_2x_0" localSheetId="72">'310 &amp; 491'!$P$55</definedName>
    <definedName name="OSRRefP22_2x_0" localSheetId="52">'311'!$P$81</definedName>
    <definedName name="OSRRefP22_2x_0" localSheetId="66">'313'!$P$36</definedName>
    <definedName name="OSRRefP22_2x_0" localSheetId="57">'315'!$P$104</definedName>
    <definedName name="OSRRefP22_2x_0" localSheetId="60">'316'!$P$48</definedName>
    <definedName name="OSRRefP22_2x_0" localSheetId="62">'317'!$P$72</definedName>
    <definedName name="OSRRefP22_2x_0" localSheetId="63">'320'!$P$27</definedName>
    <definedName name="OSRRefP22_2x_0" localSheetId="67">'321'!$P$44</definedName>
    <definedName name="OSRRefP22_2x_0" localSheetId="68">'322'!$P$29</definedName>
    <definedName name="OSRRefP22_2x_0" localSheetId="69">'325'!$P$37</definedName>
    <definedName name="OSRRefP22_2x_0" localSheetId="58">'326'!$P$69</definedName>
    <definedName name="OSRRefP22_2x_0" localSheetId="56">'331'!$P$105</definedName>
    <definedName name="OSRRefP22_2x_0" localSheetId="59">'332'!$P$50</definedName>
    <definedName name="OSRRefP22_2x_0" localSheetId="54">'333'!$P$107</definedName>
    <definedName name="OSRRefP22_2x_0" localSheetId="74">'405'!$P$38</definedName>
    <definedName name="OSRRefP22_2x_0" localSheetId="75">'406'!$P$24</definedName>
    <definedName name="OSRRefP22_2x_0" localSheetId="76">'411'!$P$35</definedName>
    <definedName name="OSRRefP22_2x_0" localSheetId="77">'412'!$P$24</definedName>
    <definedName name="OSRRefP22_2x_0" localSheetId="78">'413'!$P$28</definedName>
    <definedName name="OSRRefP22_2x_0" localSheetId="79">'414'!$P$26</definedName>
    <definedName name="OSRRefP22_2x_0" localSheetId="80">'415'!$P$40</definedName>
    <definedName name="OSRRefP22_2x_0" localSheetId="81">'418'!$P$35</definedName>
    <definedName name="OSRRefP22_2x_0" localSheetId="83">'423'!$P$25</definedName>
    <definedName name="OSRRefP22_2x_0" localSheetId="84">'424'!$P$24</definedName>
    <definedName name="OSRRefP22_2x_0" localSheetId="85">'425'!$P$30</definedName>
    <definedName name="OSRRefP22_2x_0" localSheetId="88">'430'!$P$31</definedName>
    <definedName name="OSRRefP22_2x_0" localSheetId="89">'433'!$P$42</definedName>
    <definedName name="OSRRefP22_2x_0" localSheetId="90">'435'!$P$28</definedName>
    <definedName name="OSRRefP22_2x_0" localSheetId="91">'444'!$P$42</definedName>
    <definedName name="OSRRefP22_2x_0" localSheetId="92">'450'!$P$41</definedName>
    <definedName name="OSRRefP22_2x_0" localSheetId="73">'491'!$P$45</definedName>
    <definedName name="OSRRefP22_2x_0" localSheetId="87">'492'!$P$45</definedName>
    <definedName name="OSRRefP22_2x_0" localSheetId="94">'501'!$P$38</definedName>
    <definedName name="OSRRefP22_2x_0" localSheetId="39">'Div 2'!$P$39</definedName>
    <definedName name="OSRRefP22_2x_0" localSheetId="47">'Div 3'!$P$156</definedName>
    <definedName name="OSRRefP22_2x_0" localSheetId="71">'Div 4'!$P$49</definedName>
    <definedName name="OSRRefP22_2x_0" localSheetId="93">'Div 5'!$P$38</definedName>
    <definedName name="OSRRefP22_2x_0" localSheetId="61">'Div 6'!$P$72</definedName>
    <definedName name="OSRRefP22_2x_0" localSheetId="2">Summary!$P$185</definedName>
    <definedName name="OSRRefP22_3x_0" localSheetId="40">'200'!$P$26</definedName>
    <definedName name="OSRRefP22_3x_0" localSheetId="41">'201'!$P$36</definedName>
    <definedName name="OSRRefP22_3x_0" localSheetId="42">'202'!$P$35</definedName>
    <definedName name="OSRRefP22_3x_0" localSheetId="43">'203'!$P$39</definedName>
    <definedName name="OSRRefP22_3x_0" localSheetId="44">'204'!$P$36</definedName>
    <definedName name="OSRRefP22_3x_0" localSheetId="45">'205'!$P$33</definedName>
    <definedName name="OSRRefP22_3x_0" localSheetId="46">'206'!$P$36</definedName>
    <definedName name="OSRRefP22_3x_0" localSheetId="48">'300'!$P$151:$P$152</definedName>
    <definedName name="OSRRefP22_3x_0" localSheetId="49">'300 &amp; 317'!$P$175:$P$176</definedName>
    <definedName name="OSRRefP22_3x_0" localSheetId="50">'301'!$P$43:$P$44</definedName>
    <definedName name="OSRRefP22_3x_0" localSheetId="55">'307'!$P$58</definedName>
    <definedName name="OSRRefP22_3x_0" localSheetId="51">'308'!$P$83:$P$84</definedName>
    <definedName name="OSRRefP22_3x_0" localSheetId="65">'309'!$P$34</definedName>
    <definedName name="OSRRefP22_3x_0" localSheetId="64">'310'!$P$53</definedName>
    <definedName name="OSRRefP22_3x_0" localSheetId="72">'310 &amp; 491'!$P$57</definedName>
    <definedName name="OSRRefP22_3x_0" localSheetId="52">'311'!$P$83:$P$84</definedName>
    <definedName name="OSRRefP22_3x_0" localSheetId="66">'313'!$P$38</definedName>
    <definedName name="OSRRefP22_3x_0" localSheetId="57">'315'!$P$106:$P$107</definedName>
    <definedName name="OSRRefP22_3x_0" localSheetId="60">'316'!$P$50</definedName>
    <definedName name="OSRRefP22_3x_0" localSheetId="62">'317'!$P$74</definedName>
    <definedName name="OSRRefP22_3x_0" localSheetId="67">'321'!$P$46</definedName>
    <definedName name="OSRRefP22_3x_0" localSheetId="68">'322'!$P$31</definedName>
    <definedName name="OSRRefP22_3x_0" localSheetId="69">'325'!$P$39</definedName>
    <definedName name="OSRRefP22_3x_0" localSheetId="58">'326'!$P$71</definedName>
    <definedName name="OSRRefP22_3x_0" localSheetId="56">'331'!$P$107</definedName>
    <definedName name="OSRRefP22_3x_0" localSheetId="59">'332'!$P$52</definedName>
    <definedName name="OSRRefP22_3x_0" localSheetId="54">'333'!$P$109</definedName>
    <definedName name="OSRRefP22_3x_0" localSheetId="74">'405'!$P$40</definedName>
    <definedName name="OSRRefP22_3x_0" localSheetId="75">'406'!$P$26</definedName>
    <definedName name="OSRRefP22_3x_0" localSheetId="76">'411'!$P$37</definedName>
    <definedName name="OSRRefP22_3x_0" localSheetId="77">'412'!$P$26:$P$27</definedName>
    <definedName name="OSRRefP22_3x_0" localSheetId="78">'413'!$P$30</definedName>
    <definedName name="OSRRefP22_3x_0" localSheetId="79">'414'!$P$28</definedName>
    <definedName name="OSRRefP22_3x_0" localSheetId="80">'415'!$P$42</definedName>
    <definedName name="OSRRefP22_3x_0" localSheetId="81">'418'!$P$37</definedName>
    <definedName name="OSRRefP22_3x_0" localSheetId="83">'423'!$P$27</definedName>
    <definedName name="OSRRefP22_3x_0" localSheetId="84">'424'!$P$26</definedName>
    <definedName name="OSRRefP22_3x_0" localSheetId="85">'425'!$P$32</definedName>
    <definedName name="OSRRefP22_3x_0" localSheetId="88">'430'!$P$33</definedName>
    <definedName name="OSRRefP22_3x_0" localSheetId="89">'433'!$P$44</definedName>
    <definedName name="OSRRefP22_3x_0" localSheetId="90">'435'!$P$30</definedName>
    <definedName name="OSRRefP22_3x_0" localSheetId="91">'444'!$P$44</definedName>
    <definedName name="OSRRefP22_3x_0" localSheetId="92">'450'!$P$43</definedName>
    <definedName name="OSRRefP22_3x_0" localSheetId="73">'491'!$P$47</definedName>
    <definedName name="OSRRefP22_3x_0" localSheetId="87">'492'!$P$47</definedName>
    <definedName name="OSRRefP22_3x_0" localSheetId="94">'501'!$P$40</definedName>
    <definedName name="OSRRefP22_3x_0" localSheetId="39">'Div 2'!$P$41</definedName>
    <definedName name="OSRRefP22_3x_0" localSheetId="47">'Div 3'!$P$158:$P$159</definedName>
    <definedName name="OSRRefP22_3x_0" localSheetId="71">'Div 4'!$P$51</definedName>
    <definedName name="OSRRefP22_3x_0" localSheetId="93">'Div 5'!$P$40</definedName>
    <definedName name="OSRRefP22_3x_0" localSheetId="61">'Div 6'!$P$74</definedName>
    <definedName name="OSRRefP22_3x_0" localSheetId="2">Summary!$P$187:$P$188</definedName>
    <definedName name="OSRRefP22_4x_0" localSheetId="41">'201'!$P$38</definedName>
    <definedName name="OSRRefP22_4x_0" localSheetId="42">'202'!$P$37</definedName>
    <definedName name="OSRRefP22_4x_0" localSheetId="43">'203'!$P$41</definedName>
    <definedName name="OSRRefP22_4x_0" localSheetId="44">'204'!$P$38</definedName>
    <definedName name="OSRRefP22_4x_0" localSheetId="45">'205'!$P$35:$P$37</definedName>
    <definedName name="OSRRefP22_4x_0" localSheetId="46">'206'!$P$38</definedName>
    <definedName name="OSRRefP22_4x_0" localSheetId="48">'300'!$P$154</definedName>
    <definedName name="OSRRefP22_4x_0" localSheetId="49">'300 &amp; 317'!$P$178</definedName>
    <definedName name="OSRRefP22_4x_0" localSheetId="50">'301'!$P$46</definedName>
    <definedName name="OSRRefP22_4x_0" localSheetId="55">'307'!$P$60:$P$61</definedName>
    <definedName name="OSRRefP22_4x_0" localSheetId="51">'308'!$P$86</definedName>
    <definedName name="OSRRefP22_4x_0" localSheetId="65">'309'!$P$36</definedName>
    <definedName name="OSRRefP22_4x_0" localSheetId="64">'310'!$P$55</definedName>
    <definedName name="OSRRefP22_4x_0" localSheetId="72">'310 &amp; 491'!$P$59</definedName>
    <definedName name="OSRRefP22_4x_0" localSheetId="52">'311'!$P$86</definedName>
    <definedName name="OSRRefP22_4x_0" localSheetId="66">'313'!$P$40</definedName>
    <definedName name="OSRRefP22_4x_0" localSheetId="57">'315'!$P$109</definedName>
    <definedName name="OSRRefP22_4x_0" localSheetId="60">'316'!$P$52</definedName>
    <definedName name="OSRRefP22_4x_0" localSheetId="62">'317'!$P$76</definedName>
    <definedName name="OSRRefP22_4x_0" localSheetId="67">'321'!$P$48</definedName>
    <definedName name="OSRRefP22_4x_0" localSheetId="68">'322'!$P$33:$P$34</definedName>
    <definedName name="OSRRefP22_4x_0" localSheetId="69">'325'!$P$41</definedName>
    <definedName name="OSRRefP22_4x_0" localSheetId="58">'326'!$P$73</definedName>
    <definedName name="OSRRefP22_4x_0" localSheetId="56">'331'!$P$109</definedName>
    <definedName name="OSRRefP22_4x_0" localSheetId="59">'332'!$P$54</definedName>
    <definedName name="OSRRefP22_4x_0" localSheetId="54">'333'!$P$111</definedName>
    <definedName name="OSRRefP22_4x_0" localSheetId="74">'405'!$P$42</definedName>
    <definedName name="OSRRefP22_4x_0" localSheetId="75">'406'!$P$28</definedName>
    <definedName name="OSRRefP22_4x_0" localSheetId="76">'411'!$P$39:$P$40</definedName>
    <definedName name="OSRRefP22_4x_0" localSheetId="77">'412'!$P$29</definedName>
    <definedName name="OSRRefP22_4x_0" localSheetId="78">'413'!$P$32</definedName>
    <definedName name="OSRRefP22_4x_0" localSheetId="79">'414'!$P$30</definedName>
    <definedName name="OSRRefP22_4x_0" localSheetId="80">'415'!$P$44</definedName>
    <definedName name="OSRRefP22_4x_0" localSheetId="81">'418'!$P$39:$P$40</definedName>
    <definedName name="OSRRefP22_4x_0" localSheetId="85">'425'!$P$34</definedName>
    <definedName name="OSRRefP22_4x_0" localSheetId="88">'430'!$P$35</definedName>
    <definedName name="OSRRefP22_4x_0" localSheetId="89">'433'!$P$46</definedName>
    <definedName name="OSRRefP22_4x_0" localSheetId="90">'435'!$P$32</definedName>
    <definedName name="OSRRefP22_4x_0" localSheetId="91">'444'!$P$46</definedName>
    <definedName name="OSRRefP22_4x_0" localSheetId="92">'450'!$P$45</definedName>
    <definedName name="OSRRefP22_4x_0" localSheetId="73">'491'!$P$49</definedName>
    <definedName name="OSRRefP22_4x_0" localSheetId="87">'492'!$P$49</definedName>
    <definedName name="OSRRefP22_4x_0" localSheetId="94">'501'!$P$42:$P$43</definedName>
    <definedName name="OSRRefP22_4x_0" localSheetId="39">'Div 2'!$P$43</definedName>
    <definedName name="OSRRefP22_4x_0" localSheetId="47">'Div 3'!$P$161</definedName>
    <definedName name="OSRRefP22_4x_0" localSheetId="71">'Div 4'!$P$53</definedName>
    <definedName name="OSRRefP22_4x_0" localSheetId="93">'Div 5'!$P$42:$P$43</definedName>
    <definedName name="OSRRefP22_4x_0" localSheetId="61">'Div 6'!$P$76</definedName>
    <definedName name="OSRRefP22_4x_0" localSheetId="2">Summary!$P$190</definedName>
    <definedName name="OSRRefP22_5x_0" localSheetId="41">'201'!$P$40</definedName>
    <definedName name="OSRRefP22_5x_0" localSheetId="42">'202'!$P$39:$P$40</definedName>
    <definedName name="OSRRefP22_5x_0" localSheetId="43">'203'!$P$43</definedName>
    <definedName name="OSRRefP22_5x_0" localSheetId="44">'204'!$P$40:$P$43</definedName>
    <definedName name="OSRRefP22_5x_0" localSheetId="45">'205'!$P$39:$P$41</definedName>
    <definedName name="OSRRefP22_5x_0" localSheetId="46">'206'!$P$40</definedName>
    <definedName name="OSRRefP22_5x_0" localSheetId="48">'300'!$P$156:$P$157</definedName>
    <definedName name="OSRRefP22_5x_0" localSheetId="49">'300 &amp; 317'!$P$180:$P$181</definedName>
    <definedName name="OSRRefP22_5x_0" localSheetId="50">'301'!$P$48:$P$49</definedName>
    <definedName name="OSRRefP22_5x_0" localSheetId="55">'307'!$P$63</definedName>
    <definedName name="OSRRefP22_5x_0" localSheetId="51">'308'!$P$88</definedName>
    <definedName name="OSRRefP22_5x_0" localSheetId="65">'309'!$P$38</definedName>
    <definedName name="OSRRefP22_5x_0" localSheetId="64">'310'!$P$57:$P$58</definedName>
    <definedName name="OSRRefP22_5x_0" localSheetId="72">'310 &amp; 491'!$P$61:$P$62</definedName>
    <definedName name="OSRRefP22_5x_0" localSheetId="52">'311'!$P$88</definedName>
    <definedName name="OSRRefP22_5x_0" localSheetId="66">'313'!$P$42</definedName>
    <definedName name="OSRRefP22_5x_0" localSheetId="57">'315'!$P$111</definedName>
    <definedName name="OSRRefP22_5x_0" localSheetId="60">'316'!$P$54</definedName>
    <definedName name="OSRRefP22_5x_0" localSheetId="62">'317'!$P$78:$P$79</definedName>
    <definedName name="OSRRefP22_5x_0" localSheetId="67">'321'!$P$50</definedName>
    <definedName name="OSRRefP22_5x_0" localSheetId="68">'322'!$P$36</definedName>
    <definedName name="OSRRefP22_5x_0" localSheetId="69">'325'!$P$43:$P$44</definedName>
    <definedName name="OSRRefP22_5x_0" localSheetId="58">'326'!$P$75</definedName>
    <definedName name="OSRRefP22_5x_0" localSheetId="56">'331'!$P$111:$P$112</definedName>
    <definedName name="OSRRefP22_5x_0" localSheetId="59">'332'!$P$56</definedName>
    <definedName name="OSRRefP22_5x_0" localSheetId="54">'333'!$P$113:$P$114</definedName>
    <definedName name="OSRRefP22_5x_0" localSheetId="74">'405'!$P$44:$P$45</definedName>
    <definedName name="OSRRefP22_5x_0" localSheetId="76">'411'!$P$42</definedName>
    <definedName name="OSRRefP22_5x_0" localSheetId="77">'412'!$P$31</definedName>
    <definedName name="OSRRefP22_5x_0" localSheetId="78">'413'!$P$34</definedName>
    <definedName name="OSRRefP22_5x_0" localSheetId="79">'414'!$P$32:$P$33</definedName>
    <definedName name="OSRRefP22_5x_0" localSheetId="80">'415'!$P$46:$P$47</definedName>
    <definedName name="OSRRefP22_5x_0" localSheetId="81">'418'!$P$42</definedName>
    <definedName name="OSRRefP22_5x_0" localSheetId="85">'425'!$P$36:$P$37</definedName>
    <definedName name="OSRRefP22_5x_0" localSheetId="88">'430'!$P$37:$P$39</definedName>
    <definedName name="OSRRefP22_5x_0" localSheetId="89">'433'!$P$48</definedName>
    <definedName name="OSRRefP22_5x_0" localSheetId="90">'435'!$P$34</definedName>
    <definedName name="OSRRefP22_5x_0" localSheetId="91">'444'!$P$48</definedName>
    <definedName name="OSRRefP22_5x_0" localSheetId="92">'450'!$P$47</definedName>
    <definedName name="OSRRefP22_5x_0" localSheetId="73">'491'!$P$51:$P$52</definedName>
    <definedName name="OSRRefP22_5x_0" localSheetId="87">'492'!$P$51</definedName>
    <definedName name="OSRRefP22_5x_0" localSheetId="94">'501'!$P$45</definedName>
    <definedName name="OSRRefP22_5x_0" localSheetId="39">'Div 2'!$P$45</definedName>
    <definedName name="OSRRefP22_5x_0" localSheetId="47">'Div 3'!$P$163:$P$164</definedName>
    <definedName name="OSRRefP22_5x_0" localSheetId="71">'Div 4'!$P$55:$P$56</definedName>
    <definedName name="OSRRefP22_5x_0" localSheetId="93">'Div 5'!$P$45</definedName>
    <definedName name="OSRRefP22_5x_0" localSheetId="61">'Div 6'!$P$78:$P$79</definedName>
    <definedName name="OSRRefP22_5x_0" localSheetId="2">Summary!$P$192:$P$193</definedName>
    <definedName name="OSRRefP22_6x_0" localSheetId="41">'201'!$P$42</definedName>
    <definedName name="OSRRefP22_6x_0" localSheetId="42">'202'!$P$42</definedName>
    <definedName name="OSRRefP22_6x_0" localSheetId="43">'203'!$P$45</definedName>
    <definedName name="OSRRefP22_6x_0" localSheetId="44">'204'!$P$45</definedName>
    <definedName name="OSRRefP22_6x_0" localSheetId="45">'205'!$P$43</definedName>
    <definedName name="OSRRefP22_6x_0" localSheetId="46">'206'!$P$42</definedName>
    <definedName name="OSRRefP22_6x_0" localSheetId="48">'300'!$P$159:$P$160</definedName>
    <definedName name="OSRRefP22_6x_0" localSheetId="49">'300 &amp; 317'!$P$183:$P$184</definedName>
    <definedName name="OSRRefP22_6x_0" localSheetId="50">'301'!$P$51:$P$52</definedName>
    <definedName name="OSRRefP22_6x_0" localSheetId="55">'307'!$P$65</definedName>
    <definedName name="OSRRefP22_6x_0" localSheetId="51">'308'!$P$90:$P$91</definedName>
    <definedName name="OSRRefP22_6x_0" localSheetId="65">'309'!$P$40</definedName>
    <definedName name="OSRRefP22_6x_0" localSheetId="64">'310'!$P$60</definedName>
    <definedName name="OSRRefP22_6x_0" localSheetId="72">'310 &amp; 491'!$P$64</definedName>
    <definedName name="OSRRefP22_6x_0" localSheetId="52">'311'!$P$90:$P$91</definedName>
    <definedName name="OSRRefP22_6x_0" localSheetId="66">'313'!$P$44</definedName>
    <definedName name="OSRRefP22_6x_0" localSheetId="57">'315'!$P$113:$P$114</definedName>
    <definedName name="OSRRefP22_6x_0" localSheetId="60">'316'!$P$56:$P$57</definedName>
    <definedName name="OSRRefP22_6x_0" localSheetId="62">'317'!$P$81</definedName>
    <definedName name="OSRRefP22_6x_0" localSheetId="67">'321'!$P$52</definedName>
    <definedName name="OSRRefP22_6x_0" localSheetId="68">'322'!$P$38</definedName>
    <definedName name="OSRRefP22_6x_0" localSheetId="69">'325'!$P$46</definedName>
    <definedName name="OSRRefP22_6x_0" localSheetId="58">'326'!$P$77</definedName>
    <definedName name="OSRRefP22_6x_0" localSheetId="56">'331'!$P$114</definedName>
    <definedName name="OSRRefP22_6x_0" localSheetId="59">'332'!$P$58:$P$59</definedName>
    <definedName name="OSRRefP22_6x_0" localSheetId="54">'333'!$P$116</definedName>
    <definedName name="OSRRefP22_6x_0" localSheetId="74">'405'!$P$47</definedName>
    <definedName name="OSRRefP22_6x_0" localSheetId="76">'411'!$P$44</definedName>
    <definedName name="OSRRefP22_6x_0" localSheetId="80">'415'!$P$49</definedName>
    <definedName name="OSRRefP22_6x_0" localSheetId="81">'418'!$P$44</definedName>
    <definedName name="OSRRefP22_6x_0" localSheetId="85">'425'!$P$39</definedName>
    <definedName name="OSRRefP22_6x_0" localSheetId="88">'430'!$P$41</definedName>
    <definedName name="OSRRefP22_6x_0" localSheetId="89">'433'!$P$50</definedName>
    <definedName name="OSRRefP22_6x_0" localSheetId="91">'444'!$P$50</definedName>
    <definedName name="OSRRefP22_6x_0" localSheetId="92">'450'!$P$49</definedName>
    <definedName name="OSRRefP22_6x_0" localSheetId="73">'491'!$P$54</definedName>
    <definedName name="OSRRefP22_6x_0" localSheetId="87">'492'!$P$53</definedName>
    <definedName name="OSRRefP22_6x_0" localSheetId="94">'501'!$P$47</definedName>
    <definedName name="OSRRefP22_6x_0" localSheetId="39">'Div 2'!$P$47</definedName>
    <definedName name="OSRRefP22_6x_0" localSheetId="47">'Div 3'!$P$166:$P$167</definedName>
    <definedName name="OSRRefP22_6x_0" localSheetId="71">'Div 4'!$P$58</definedName>
    <definedName name="OSRRefP22_6x_0" localSheetId="93">'Div 5'!$P$47</definedName>
    <definedName name="OSRRefP22_6x_0" localSheetId="61">'Div 6'!$P$81</definedName>
    <definedName name="OSRRefP22_6x_0" localSheetId="2">Summary!$P$195:$P$196</definedName>
    <definedName name="OSRRefP22_7x_0" localSheetId="41">'201'!$P$44</definedName>
    <definedName name="OSRRefP22_7x_0" localSheetId="42">'202'!$P$44:$P$46</definedName>
    <definedName name="OSRRefP22_7x_0" localSheetId="43">'203'!$P$47:$P$48</definedName>
    <definedName name="OSRRefP22_7x_0" localSheetId="44">'204'!$P$47:$P$48</definedName>
    <definedName name="OSRRefP22_7x_0" localSheetId="48">'300'!$P$162</definedName>
    <definedName name="OSRRefP22_7x_0" localSheetId="49">'300 &amp; 317'!$P$186</definedName>
    <definedName name="OSRRefP22_7x_0" localSheetId="50">'301'!$P$54</definedName>
    <definedName name="OSRRefP22_7x_0" localSheetId="55">'307'!$P$67</definedName>
    <definedName name="OSRRefP22_7x_0" localSheetId="51">'308'!$P$93</definedName>
    <definedName name="OSRRefP22_7x_0" localSheetId="65">'309'!$P$42</definedName>
    <definedName name="OSRRefP22_7x_0" localSheetId="64">'310'!$P$62</definedName>
    <definedName name="OSRRefP22_7x_0" localSheetId="72">'310 &amp; 491'!$P$66</definedName>
    <definedName name="OSRRefP22_7x_0" localSheetId="52">'311'!$P$93</definedName>
    <definedName name="OSRRefP22_7x_0" localSheetId="66">'313'!$P$46</definedName>
    <definedName name="OSRRefP22_7x_0" localSheetId="57">'315'!$P$116</definedName>
    <definedName name="OSRRefP22_7x_0" localSheetId="60">'316'!$P$59</definedName>
    <definedName name="OSRRefP22_7x_0" localSheetId="62">'317'!$P$83</definedName>
    <definedName name="OSRRefP22_7x_0" localSheetId="67">'321'!$P$54:$P$55</definedName>
    <definedName name="OSRRefP22_7x_0" localSheetId="68">'322'!$P$40</definedName>
    <definedName name="OSRRefP22_7x_0" localSheetId="69">'325'!$P$48</definedName>
    <definedName name="OSRRefP22_7x_0" localSheetId="58">'326'!$P$79</definedName>
    <definedName name="OSRRefP22_7x_0" localSheetId="56">'331'!$P$116</definedName>
    <definedName name="OSRRefP22_7x_0" localSheetId="59">'332'!$P$61</definedName>
    <definedName name="OSRRefP22_7x_0" localSheetId="54">'333'!$P$118</definedName>
    <definedName name="OSRRefP22_7x_0" localSheetId="74">'405'!$P$49</definedName>
    <definedName name="OSRRefP22_7x_0" localSheetId="76">'411'!$P$46</definedName>
    <definedName name="OSRRefP22_7x_0" localSheetId="80">'415'!$P$51</definedName>
    <definedName name="OSRRefP22_7x_0" localSheetId="81">'418'!$P$46</definedName>
    <definedName name="OSRRefP22_7x_0" localSheetId="85">'425'!$P$41</definedName>
    <definedName name="OSRRefP22_7x_0" localSheetId="88">'430'!$P$43</definedName>
    <definedName name="OSRRefP22_7x_0" localSheetId="89">'433'!$P$52</definedName>
    <definedName name="OSRRefP22_7x_0" localSheetId="91">'444'!$P$52</definedName>
    <definedName name="OSRRefP22_7x_0" localSheetId="92">'450'!$P$51</definedName>
    <definedName name="OSRRefP22_7x_0" localSheetId="73">'491'!$P$56</definedName>
    <definedName name="OSRRefP22_7x_0" localSheetId="87">'492'!$P$55</definedName>
    <definedName name="OSRRefP22_7x_0" localSheetId="94">'501'!$P$49:$P$52</definedName>
    <definedName name="OSRRefP22_7x_0" localSheetId="39">'Div 2'!$P$49</definedName>
    <definedName name="OSRRefP22_7x_0" localSheetId="47">'Div 3'!$P$169</definedName>
    <definedName name="OSRRefP22_7x_0" localSheetId="71">'Div 4'!$P$60</definedName>
    <definedName name="OSRRefP22_7x_0" localSheetId="93">'Div 5'!$P$49:$P$52</definedName>
    <definedName name="OSRRefP22_7x_0" localSheetId="61">'Div 6'!$P$83</definedName>
    <definedName name="OSRRefP22_7x_0" localSheetId="2">Summary!$P$198</definedName>
    <definedName name="OSRRefP22_8x_0" localSheetId="41">'201'!$P$46</definedName>
    <definedName name="OSRRefP22_8x_0" localSheetId="42">'202'!$P$48</definedName>
    <definedName name="OSRRefP22_8x_0" localSheetId="43">'203'!$P$50:$P$51</definedName>
    <definedName name="OSRRefP22_8x_0" localSheetId="44">'204'!$P$50</definedName>
    <definedName name="OSRRefP22_8x_0" localSheetId="48">'300'!$P$164</definedName>
    <definedName name="OSRRefP22_8x_0" localSheetId="49">'300 &amp; 317'!$P$188</definedName>
    <definedName name="OSRRefP22_8x_0" localSheetId="50">'301'!$P$56</definedName>
    <definedName name="OSRRefP22_8x_0" localSheetId="55">'307'!$P$69:$P$70</definedName>
    <definedName name="OSRRefP22_8x_0" localSheetId="51">'308'!$P$95</definedName>
    <definedName name="OSRRefP22_8x_0" localSheetId="65">'309'!$P$44:$P$45</definedName>
    <definedName name="OSRRefP22_8x_0" localSheetId="64">'310'!$P$64</definedName>
    <definedName name="OSRRefP22_8x_0" localSheetId="72">'310 &amp; 491'!$P$68:$P$69</definedName>
    <definedName name="OSRRefP22_8x_0" localSheetId="52">'311'!$P$95</definedName>
    <definedName name="OSRRefP22_8x_0" localSheetId="57">'315'!$P$118:$P$119</definedName>
    <definedName name="OSRRefP22_8x_0" localSheetId="60">'316'!$P$61:$P$63</definedName>
    <definedName name="OSRRefP22_8x_0" localSheetId="62">'317'!$P$85</definedName>
    <definedName name="OSRRefP22_8x_0" localSheetId="67">'321'!$P$57</definedName>
    <definedName name="OSRRefP22_8x_0" localSheetId="69">'325'!$P$50</definedName>
    <definedName name="OSRRefP22_8x_0" localSheetId="58">'326'!$P$81</definedName>
    <definedName name="OSRRefP22_8x_0" localSheetId="56">'331'!$P$118:$P$119</definedName>
    <definedName name="OSRRefP22_8x_0" localSheetId="59">'332'!$P$63:$P$65</definedName>
    <definedName name="OSRRefP22_8x_0" localSheetId="54">'333'!$P$120:$P$121</definedName>
    <definedName name="OSRRefP22_8x_0" localSheetId="74">'405'!$P$51</definedName>
    <definedName name="OSRRefP22_8x_0" localSheetId="76">'411'!$P$48</definedName>
    <definedName name="OSRRefP22_8x_0" localSheetId="80">'415'!$P$53</definedName>
    <definedName name="OSRRefP22_8x_0" localSheetId="81">'418'!$P$48:$P$49</definedName>
    <definedName name="OSRRefP22_8x_0" localSheetId="85">'425'!$P$43</definedName>
    <definedName name="OSRRefP22_8x_0" localSheetId="88">'430'!$P$45</definedName>
    <definedName name="OSRRefP22_8x_0" localSheetId="89">'433'!$P$54</definedName>
    <definedName name="OSRRefP22_8x_0" localSheetId="91">'444'!$P$54</definedName>
    <definedName name="OSRRefP22_8x_0" localSheetId="92">'450'!$P$53</definedName>
    <definedName name="OSRRefP22_8x_0" localSheetId="73">'491'!$P$58</definedName>
    <definedName name="OSRRefP22_8x_0" localSheetId="87">'492'!$P$57</definedName>
    <definedName name="OSRRefP22_8x_0" localSheetId="94">'501'!$P$54</definedName>
    <definedName name="OSRRefP22_8x_0" localSheetId="39">'Div 2'!$P$51</definedName>
    <definedName name="OSRRefP22_8x_0" localSheetId="47">'Div 3'!$P$171</definedName>
    <definedName name="OSRRefP22_8x_0" localSheetId="71">'Div 4'!$P$62</definedName>
    <definedName name="OSRRefP22_8x_0" localSheetId="93">'Div 5'!$P$54</definedName>
    <definedName name="OSRRefP22_8x_0" localSheetId="61">'Div 6'!$P$85</definedName>
    <definedName name="OSRRefP22_8x_0" localSheetId="2">Summary!$P$200</definedName>
    <definedName name="OSRRefP22_9x_0" localSheetId="41">'201'!$P$48:$P$50</definedName>
    <definedName name="OSRRefP22_9x_0" localSheetId="42">'202'!$P$50:$P$52</definedName>
    <definedName name="OSRRefP22_9x_0" localSheetId="43">'203'!$P$53:$P$54</definedName>
    <definedName name="OSRRefP22_9x_0" localSheetId="44">'204'!$P$52</definedName>
    <definedName name="OSRRefP22_9x_0" localSheetId="48">'300'!$P$166</definedName>
    <definedName name="OSRRefP22_9x_0" localSheetId="49">'300 &amp; 317'!$P$190</definedName>
    <definedName name="OSRRefP22_9x_0" localSheetId="50">'301'!$P$58</definedName>
    <definedName name="OSRRefP22_9x_0" localSheetId="55">'307'!$P$72:$P$73</definedName>
    <definedName name="OSRRefP22_9x_0" localSheetId="51">'308'!$P$97:$P$99</definedName>
    <definedName name="OSRRefP22_9x_0" localSheetId="65">'309'!$P$47:$P$48</definedName>
    <definedName name="OSRRefP22_9x_0" localSheetId="64">'310'!$P$66</definedName>
    <definedName name="OSRRefP22_9x_0" localSheetId="72">'310 &amp; 491'!$P$71</definedName>
    <definedName name="OSRRefP22_9x_0" localSheetId="52">'311'!$P$97:$P$99</definedName>
    <definedName name="OSRRefP22_9x_0" localSheetId="57">'315'!$P$121</definedName>
    <definedName name="OSRRefP22_9x_0" localSheetId="60">'316'!$P$65</definedName>
    <definedName name="OSRRefP22_9x_0" localSheetId="62">'317'!$P$87</definedName>
    <definedName name="OSRRefP22_9x_0" localSheetId="67">'321'!$P$59:$P$61</definedName>
    <definedName name="OSRRefP22_9x_0" localSheetId="69">'325'!$P$52</definedName>
    <definedName name="OSRRefP22_9x_0" localSheetId="58">'326'!$P$83</definedName>
    <definedName name="OSRRefP22_9x_0" localSheetId="56">'331'!$P$121</definedName>
    <definedName name="OSRRefP22_9x_0" localSheetId="59">'332'!$P$67</definedName>
    <definedName name="OSRRefP22_9x_0" localSheetId="54">'333'!$P$123</definedName>
    <definedName name="OSRRefP22_9x_0" localSheetId="74">'405'!$P$53</definedName>
    <definedName name="OSRRefP22_9x_0" localSheetId="76">'411'!$P$50</definedName>
    <definedName name="OSRRefP22_9x_0" localSheetId="80">'415'!$P$55</definedName>
    <definedName name="OSRRefP22_9x_0" localSheetId="81">'418'!$P$51</definedName>
    <definedName name="OSRRefP22_9x_0" localSheetId="89">'433'!$P$56</definedName>
    <definedName name="OSRRefP22_9x_0" localSheetId="91">'444'!$P$56</definedName>
    <definedName name="OSRRefP22_9x_0" localSheetId="92">'450'!$P$55</definedName>
    <definedName name="OSRRefP22_9x_0" localSheetId="73">'491'!$P$60</definedName>
    <definedName name="OSRRefP22_9x_0" localSheetId="87">'492'!$P$59</definedName>
    <definedName name="OSRRefP22_9x_0" localSheetId="94">'501'!$P$56:$P$57</definedName>
    <definedName name="OSRRefP22_9x_0" localSheetId="39">'Div 2'!$P$53:$P$54</definedName>
    <definedName name="OSRRefP22_9x_0" localSheetId="47">'Div 3'!$P$173</definedName>
    <definedName name="OSRRefP22_9x_0" localSheetId="71">'Div 4'!$P$64</definedName>
    <definedName name="OSRRefP22_9x_0" localSheetId="93">'Div 5'!$P$56:$P$57</definedName>
    <definedName name="OSRRefP22_9x_0" localSheetId="61">'Div 6'!$P$87</definedName>
    <definedName name="OSRRefP22_9x_0" localSheetId="2">Summary!$P$202</definedName>
    <definedName name="OSRRefP22x_0" localSheetId="40">'200'!$P$20,'200'!$P$22,'200'!$P$24,'200'!$P$26</definedName>
    <definedName name="OSRRefP22x_0" localSheetId="41">'201'!$P$20:$P$27,'201'!$P$29:$P$32,'201'!$P$34,'201'!$P$36,'201'!$P$38,'201'!$P$40,'201'!$P$42,'201'!$P$44,'201'!$P$46,'201'!$P$48:$P$50,'201'!$P$52:$P$54,'201'!$P$56,'201'!$P$58:$P$59,'201'!$P$61,'201'!$P$63</definedName>
    <definedName name="OSRRefP22x_0" localSheetId="42">'202'!$P$20:$P$27,'202'!$P$29:$P$31,'202'!$P$33,'202'!$P$35,'202'!$P$37,'202'!$P$39:$P$40,'202'!$P$42,'202'!$P$44:$P$46,'202'!$P$48,'202'!$P$50:$P$52,'202'!$P$54,'202'!$P$56,'202'!$P$58</definedName>
    <definedName name="OSRRefP22x_0" localSheetId="43">'203'!$P$20:$P$29,'203'!$P$31:$P$35,'203'!$P$37,'203'!$P$39,'203'!$P$41,'203'!$P$43,'203'!$P$45,'203'!$P$47:$P$48,'203'!$P$50:$P$51,'203'!$P$53:$P$54,'203'!$P$56:$P$59,'203'!$P$61,'203'!$P$63,'203'!$P$65</definedName>
    <definedName name="OSRRefP22x_0" localSheetId="44">'204'!$P$20:$P$28,'204'!$P$30:$P$32,'204'!$P$34,'204'!$P$36,'204'!$P$38,'204'!$P$40:$P$43,'204'!$P$45,'204'!$P$47:$P$48,'204'!$P$50,'204'!$P$52</definedName>
    <definedName name="OSRRefP22x_0" localSheetId="45">'205'!$P$20:$P$27,'205'!$P$29,'205'!$P$31,'205'!$P$33,'205'!$P$35:$P$37,'205'!$P$39:$P$41,'205'!$P$43</definedName>
    <definedName name="OSRRefP22x_0" localSheetId="46">'206'!$P$20:$P$27,'206'!$P$29:$P$32,'206'!$P$34,'206'!$P$36,'206'!$P$38,'206'!$P$40,'206'!$P$42</definedName>
    <definedName name="OSRRefP22x_0" localSheetId="48">'300'!$P$130:$P$139,'300'!$P$141:$P$147,'300'!$P$149,'300'!$P$151:$P$152,'300'!$P$154,'300'!$P$156:$P$157,'300'!$P$159:$P$160,'300'!$P$162,'300'!$P$164,'300'!$P$166,'300'!$P$168:$P$169,'300'!$P$171,'300'!$P$173,'300'!$P$175:$P$176,'300'!$P$178,'300'!$P$180,'300'!$P$182:$P$185,'300'!$P$187:$P$189,'300'!$P$191:$P$194,'300'!$P$196:$P$197,'300'!$P$199:$P$205,'300'!$P$207:$P$208,'300'!$P$210,'300'!$P$212:$P$214,'300'!$P$216</definedName>
    <definedName name="OSRRefP22x_0" localSheetId="49">'300 &amp; 317'!$P$154:$P$163,'300 &amp; 317'!$P$165:$P$171,'300 &amp; 317'!$P$173,'300 &amp; 317'!$P$175:$P$176,'300 &amp; 317'!$P$178,'300 &amp; 317'!$P$180:$P$181,'300 &amp; 317'!$P$183:$P$184,'300 &amp; 317'!$P$186,'300 &amp; 317'!$P$188,'300 &amp; 317'!$P$190,'300 &amp; 317'!$P$192:$P$193,'300 &amp; 317'!$P$195,'300 &amp; 317'!$P$197,'300 &amp; 317'!$P$199:$P$200,'300 &amp; 317'!$P$202,'300 &amp; 317'!$P$204,'300 &amp; 317'!$P$206:$P$209,'300 &amp; 317'!$P$211:$P$213,'300 &amp; 317'!$P$215:$P$218,'300 &amp; 317'!$P$220:$P$221,'300 &amp; 317'!$P$223:$P$229,'300 &amp; 317'!$P$231:$P$232,'300 &amp; 317'!$P$234,'300 &amp; 317'!$P$236:$P$238,'300 &amp; 317'!$P$240</definedName>
    <definedName name="OSRRefP22x_0" localSheetId="50">'301'!$P$22:$P$31,'301'!$P$33:$P$39,'301'!$P$41,'301'!$P$43:$P$44,'301'!$P$46,'301'!$P$48:$P$49,'301'!$P$51:$P$52,'301'!$P$54,'301'!$P$56,'301'!$P$58,'301'!$P$60,'301'!$P$62,'301'!$P$64,'301'!$P$66,'301'!$P$68,'301'!$P$70:$P$73,'301'!$P$75:$P$77,'301'!$P$79,'301'!$P$81:$P$86,'301'!$P$88,'301'!$P$90,'301'!$P$92:$P$94,'301'!$P$96</definedName>
    <definedName name="OSRRefP22x_0" localSheetId="55">'307'!$P$43:$P$49,'307'!$P$51:$P$54,'307'!$P$56,'307'!$P$58,'307'!$P$60:$P$61,'307'!$P$63,'307'!$P$65,'307'!$P$67,'307'!$P$69:$P$70,'307'!$P$72:$P$73,'307'!$P$75,'307'!$P$77:$P$80,'307'!$P$82,'307'!$P$84</definedName>
    <definedName name="OSRRefP22x_0" localSheetId="51">'308'!$P$63:$P$71,'308'!$P$73:$P$79,'308'!$P$81,'308'!$P$83:$P$84,'308'!$P$86,'308'!$P$88,'308'!$P$90:$P$91,'308'!$P$93,'308'!$P$95,'308'!$P$97:$P$99,'308'!$P$101:$P$102,'308'!$P$104:$P$105,'308'!$P$107:$P$108,'308'!$P$110,'308'!$P$112</definedName>
    <definedName name="OSRRefP22x_0" localSheetId="65">'309'!$P$26:$P$27,'309'!$P$29:$P$30,'309'!$P$32,'309'!$P$34,'309'!$P$36,'309'!$P$38,'309'!$P$40,'309'!$P$42,'309'!$P$44:$P$45,'309'!$P$47:$P$48,'309'!$P$50:$P$51,'309'!$P$53,'309'!$P$55</definedName>
    <definedName name="OSRRefP22x_0" localSheetId="64">'310'!$P$34:$P$42,'310'!$P$44:$P$49,'310'!$P$51,'310'!$P$53,'310'!$P$55,'310'!$P$57:$P$58,'310'!$P$60,'310'!$P$62,'310'!$P$64,'310'!$P$66,'310'!$P$68,'310'!$P$70,'310'!$P$72:$P$73,'310'!$P$75,'310'!$P$77:$P$80,'310'!$P$82:$P$87,'310'!$P$89,'310'!$P$91,'310'!$P$93</definedName>
    <definedName name="OSRRefP22x_0" localSheetId="72">'310 &amp; 491'!$P$37:$P$45,'310 &amp; 491'!$P$47:$P$53,'310 &amp; 491'!$P$55,'310 &amp; 491'!$P$57,'310 &amp; 491'!$P$59,'310 &amp; 491'!$P$61:$P$62,'310 &amp; 491'!$P$64,'310 &amp; 491'!$P$66,'310 &amp; 491'!$P$68:$P$69,'310 &amp; 491'!$P$71,'310 &amp; 491'!$P$73,'310 &amp; 491'!$P$75,'310 &amp; 491'!$P$77,'310 &amp; 491'!$P$79,'310 &amp; 491'!$P$81:$P$84,'310 &amp; 491'!$P$86,'310 &amp; 491'!$P$88:$P$91,'310 &amp; 491'!$P$93,'310 &amp; 491'!$P$95:$P$103,'310 &amp; 491'!$P$105,'310 &amp; 491'!$P$107,'310 &amp; 491'!$P$109:$P$110,'310 &amp; 491'!$P$112</definedName>
    <definedName name="OSRRefP22x_0" localSheetId="52">'311'!$P$63:$P$71,'311'!$P$73:$P$79,'311'!$P$81,'311'!$P$83:$P$84,'311'!$P$86,'311'!$P$88,'311'!$P$90:$P$91,'311'!$P$93,'311'!$P$95,'311'!$P$97:$P$99,'311'!$P$101:$P$102,'311'!$P$104:$P$105,'311'!$P$107:$P$108,'311'!$P$110,'311'!$P$112</definedName>
    <definedName name="OSRRefP22x_0" localSheetId="66">'313'!$P$25:$P$32,'313'!$P$34,'313'!$P$36,'313'!$P$38,'313'!$P$40,'313'!$P$42,'313'!$P$44,'313'!$P$46</definedName>
    <definedName name="OSRRefP22x_0" localSheetId="57">'315'!$P$88:$P$95,'315'!$P$97:$P$102,'315'!$P$104,'315'!$P$106:$P$107,'315'!$P$109,'315'!$P$111,'315'!$P$113:$P$114,'315'!$P$116,'315'!$P$118:$P$119,'315'!$P$121,'315'!$P$123:$P$124,'315'!$P$126:$P$127,'315'!$P$129:$P$130,'315'!$P$132:$P$136,'315'!$P$138,'315'!$P$140,'315'!$P$142</definedName>
    <definedName name="OSRRefP22x_0" localSheetId="60">'316'!$P$34:$P$41,'316'!$P$43:$P$46,'316'!$P$48,'316'!$P$50,'316'!$P$52,'316'!$P$54,'316'!$P$56:$P$57,'316'!$P$59,'316'!$P$61:$P$63,'316'!$P$65,'316'!$P$67,'316'!$P$69:$P$74,'316'!$P$76,'316'!$P$78</definedName>
    <definedName name="OSRRefP22x_0" localSheetId="62">'317'!$P$56:$P$64,'317'!$P$66:$P$70,'317'!$P$72,'317'!$P$74,'317'!$P$76,'317'!$P$78:$P$79,'317'!$P$81,'317'!$P$83,'317'!$P$85,'317'!$P$87,'317'!$P$89:$P$92,'317'!$P$94,'317'!$P$96</definedName>
    <definedName name="OSRRefP22x_0" localSheetId="63">'320'!$P$22:$P$23,'320'!$P$25,'320'!$P$27</definedName>
    <definedName name="OSRRefP22x_0" localSheetId="67">'321'!$P$27:$P$35,'321'!$P$37:$P$42,'321'!$P$44,'321'!$P$46,'321'!$P$48,'321'!$P$50,'321'!$P$52,'321'!$P$54:$P$55,'321'!$P$57,'321'!$P$59:$P$61,'321'!$P$63:$P$67,'321'!$P$69,'321'!$P$71,'321'!$P$73</definedName>
    <definedName name="OSRRefP22x_0" localSheetId="68">'322'!$P$21:$P$25,'322'!$P$27,'322'!$P$29,'322'!$P$31,'322'!$P$33:$P$34,'322'!$P$36,'322'!$P$38,'322'!$P$40</definedName>
    <definedName name="OSRRefP22x_0" localSheetId="69">'325'!$P$24:$P$31,'325'!$P$33:$P$35,'325'!$P$37,'325'!$P$39,'325'!$P$41,'325'!$P$43:$P$44,'325'!$P$46,'325'!$P$48,'325'!$P$50,'325'!$P$52,'325'!$P$54,'325'!$P$56:$P$57,'325'!$P$59:$P$62,'325'!$P$64:$P$69,'325'!$P$71,'325'!$P$73,'325'!$P$75</definedName>
    <definedName name="OSRRefP22x_0" localSheetId="58">'326'!$P$53:$P$60,'326'!$P$62:$P$67,'326'!$P$69,'326'!$P$71,'326'!$P$73,'326'!$P$75,'326'!$P$77,'326'!$P$79,'326'!$P$81,'326'!$P$83,'326'!$P$85,'326'!$P$87:$P$89,'326'!$P$91:$P$93,'326'!$P$95:$P$96,'326'!$P$98:$P$101,'326'!$P$103,'326'!$P$105,'326'!$P$107</definedName>
    <definedName name="OSRRefP22x_0" localSheetId="70">'327'!$P$24,'327'!$P$26</definedName>
    <definedName name="OSRRefP22x_0" localSheetId="56">'331'!$P$89:$P$96,'331'!$P$98:$P$103,'331'!$P$105,'331'!$P$107,'331'!$P$109,'331'!$P$111:$P$112,'331'!$P$114,'331'!$P$116,'331'!$P$118:$P$119,'331'!$P$121,'331'!$P$123,'331'!$P$125:$P$126,'331'!$P$128,'331'!$P$130,'331'!$P$132:$P$134,'331'!$P$136:$P$137,'331'!$P$139:$P$141,'331'!$P$143:$P$144,'331'!$P$146:$P$151,'331'!$P$153,'331'!$P$155,'331'!$P$157,'331'!$P$159</definedName>
    <definedName name="OSRRefP22x_0" localSheetId="59">'332'!$P$36:$P$43,'332'!$P$45:$P$48,'332'!$P$50,'332'!$P$52,'332'!$P$54,'332'!$P$56,'332'!$P$58:$P$59,'332'!$P$61,'332'!$P$63:$P$65,'332'!$P$67,'332'!$P$69,'332'!$P$71:$P$76,'332'!$P$78,'332'!$P$80</definedName>
    <definedName name="OSRRefP22x_0" localSheetId="54">'333'!$P$91:$P$98,'333'!$P$100:$P$105,'333'!$P$107,'333'!$P$109,'333'!$P$111,'333'!$P$113:$P$114,'333'!$P$116,'333'!$P$118,'333'!$P$120:$P$121,'333'!$P$123,'333'!$P$125,'333'!$P$127:$P$128,'333'!$P$130,'333'!$P$132,'333'!$P$134:$P$136,'333'!$P$138:$P$139,'333'!$P$141:$P$144,'333'!$P$146:$P$147,'333'!$P$149:$P$154,'333'!$P$156,'333'!$P$158,'333'!$P$160,'333'!$P$162</definedName>
    <definedName name="OSRRefP22x_0" localSheetId="74">'405'!$P$24:$P$31,'405'!$P$33:$P$36,'405'!$P$38,'405'!$P$40,'405'!$P$42,'405'!$P$44:$P$45,'405'!$P$47,'405'!$P$49,'405'!$P$51,'405'!$P$53,'405'!$P$55:$P$56,'405'!$P$58:$P$61,'405'!$P$63,'405'!$P$65:$P$73,'405'!$P$75,'405'!$P$77,'405'!$P$79</definedName>
    <definedName name="OSRRefP22x_0" localSheetId="75">'406'!$P$20,'406'!$P$22,'406'!$P$24,'406'!$P$26,'406'!$P$28</definedName>
    <definedName name="OSRRefP22x_0" localSheetId="76">'411'!$P$20:$P$27,'411'!$P$29:$P$33,'411'!$P$35,'411'!$P$37,'411'!$P$39:$P$40,'411'!$P$42,'411'!$P$44,'411'!$P$46,'411'!$P$48,'411'!$P$50,'411'!$P$52,'411'!$P$54:$P$57,'411'!$P$59:$P$61,'411'!$P$63,'411'!$P$65:$P$67,'411'!$P$69,'411'!$P$71:$P$72,'411'!$P$74</definedName>
    <definedName name="OSRRefP22x_0" localSheetId="77">'412'!$P$20,'412'!$P$22,'412'!$P$24,'412'!$P$26:$P$27,'412'!$P$29,'412'!$P$31</definedName>
    <definedName name="OSRRefP22x_0" localSheetId="78">'413'!$P$20:$P$24,'413'!$P$26,'413'!$P$28,'413'!$P$30,'413'!$P$32,'413'!$P$34</definedName>
    <definedName name="OSRRefP22x_0" localSheetId="79">'414'!$P$22,'414'!$P$24,'414'!$P$26,'414'!$P$28,'414'!$P$30,'414'!$P$32:$P$33</definedName>
    <definedName name="OSRRefP22x_0" localSheetId="80">'415'!$P$24:$P$32,'415'!$P$34:$P$38,'415'!$P$40,'415'!$P$42,'415'!$P$44,'415'!$P$46:$P$47,'415'!$P$49,'415'!$P$51,'415'!$P$53,'415'!$P$55,'415'!$P$57,'415'!$P$59:$P$60,'415'!$P$62:$P$65,'415'!$P$67,'415'!$P$69:$P$75,'415'!$P$77,'415'!$P$79,'415'!$P$81</definedName>
    <definedName name="OSRRefP22x_0" localSheetId="81">'418'!$P$21:$P$28,'418'!$P$30:$P$33,'418'!$P$35,'418'!$P$37,'418'!$P$39:$P$40,'418'!$P$42,'418'!$P$44,'418'!$P$46,'418'!$P$48:$P$49,'418'!$P$51,'418'!$P$53,'418'!$P$55:$P$61,'418'!$P$63,'418'!$P$65</definedName>
    <definedName name="OSRRefP22x_0" localSheetId="82">'420'!$P$22,'420'!$P$24</definedName>
    <definedName name="OSRRefP22x_0" localSheetId="83">'423'!$P$20:$P$21,'423'!$P$23,'423'!$P$25,'423'!$P$27</definedName>
    <definedName name="OSRRefP22x_0" localSheetId="84">'424'!$P$20,'424'!$P$22,'424'!$P$24,'424'!$P$26</definedName>
    <definedName name="OSRRefP22x_0" localSheetId="85">'425'!$P$22:$P$26,'425'!$P$28,'425'!$P$30,'425'!$P$32,'425'!$P$34,'425'!$P$36:$P$37,'425'!$P$39,'425'!$P$41,'425'!$P$43</definedName>
    <definedName name="OSRRefP22x_0" localSheetId="88">'430'!$P$20:$P$27,'430'!$P$29,'430'!$P$31,'430'!$P$33,'430'!$P$35,'430'!$P$37:$P$39,'430'!$P$41,'430'!$P$43,'430'!$P$45</definedName>
    <definedName name="OSRRefP22x_0" localSheetId="89">'433'!$P$25:$P$33,'433'!$P$35:$P$40,'433'!$P$42,'433'!$P$44,'433'!$P$46,'433'!$P$48,'433'!$P$50,'433'!$P$52,'433'!$P$54,'433'!$P$56,'433'!$P$58,'433'!$P$60:$P$61,'433'!$P$63:$P$65,'433'!$P$67:$P$74,'433'!$P$76,'433'!$P$78</definedName>
    <definedName name="OSRRefP22x_0" localSheetId="90">'435'!$P$23:$P$24,'435'!$P$26,'435'!$P$28,'435'!$P$30,'435'!$P$32,'435'!$P$34</definedName>
    <definedName name="OSRRefP22x_0" localSheetId="91">'444'!$P$25:$P$33,'444'!$P$35:$P$40,'444'!$P$42,'444'!$P$44,'444'!$P$46,'444'!$P$48,'444'!$P$50,'444'!$P$52,'444'!$P$54,'444'!$P$56,'444'!$P$58,'444'!$P$60:$P$61,'444'!$P$63:$P$66,'444'!$P$68,'444'!$P$70:$P$77,'444'!$P$79,'444'!$P$81,'444'!$P$83</definedName>
    <definedName name="OSRRefP22x_0" localSheetId="92">'450'!$P$25:$P$33,'450'!$P$35:$P$39,'450'!$P$41,'450'!$P$43,'450'!$P$45,'450'!$P$47,'450'!$P$49,'450'!$P$51,'450'!$P$53,'450'!$P$55,'450'!$P$57,'450'!$P$59,'450'!$P$61:$P$62,'450'!$P$64:$P$66,'450'!$P$68:$P$73,'450'!$P$75,'450'!$P$77,'450'!$P$79</definedName>
    <definedName name="OSRRefP22x_0" localSheetId="73">'491'!$P$28:$P$36,'491'!$P$38:$P$43,'491'!$P$45,'491'!$P$47,'491'!$P$49,'491'!$P$51:$P$52,'491'!$P$54,'491'!$P$56,'491'!$P$58,'491'!$P$60,'491'!$P$62,'491'!$P$64,'491'!$P$66,'491'!$P$68,'491'!$P$70:$P$73,'491'!$P$75,'491'!$P$77:$P$80,'491'!$P$82,'491'!$P$84:$P$92,'491'!$P$94,'491'!$P$96,'491'!$P$98:$P$99,'491'!$P$101</definedName>
    <definedName name="OSRRefP22x_0" localSheetId="87">'492'!$P$27:$P$35,'492'!$P$37:$P$43,'492'!$P$45,'492'!$P$47,'492'!$P$49,'492'!$P$51,'492'!$P$53,'492'!$P$55,'492'!$P$57,'492'!$P$59,'492'!$P$61,'492'!$P$63,'492'!$P$65:$P$67,'492'!$P$69:$P$72,'492'!$P$74,'492'!$P$76:$P$83,'492'!$P$85,'492'!$P$87,'492'!$P$89:$P$91</definedName>
    <definedName name="OSRRefP22x_0" localSheetId="94">'501'!$P$21:$P$29,'501'!$P$31:$P$36,'501'!$P$38,'501'!$P$40,'501'!$P$42:$P$43,'501'!$P$45,'501'!$P$47,'501'!$P$49:$P$52,'501'!$P$54,'501'!$P$56:$P$57,'501'!$P$59,'501'!$P$61</definedName>
    <definedName name="OSRRefP22x_0" localSheetId="39">'Div 2'!$P$20:$P$30,'Div 2'!$P$32:$P$37,'Div 2'!$P$39,'Div 2'!$P$41,'Div 2'!$P$43,'Div 2'!$P$45,'Div 2'!$P$47,'Div 2'!$P$49,'Div 2'!$P$51,'Div 2'!$P$53:$P$54,'Div 2'!$P$56,'Div 2'!$P$58,'Div 2'!$P$60:$P$62,'Div 2'!$P$64:$P$67,'Div 2'!$P$69,'Div 2'!$P$71:$P$72,'Div 2'!$P$74:$P$78,'Div 2'!$P$80:$P$81,'Div 2'!$P$83,'Div 2'!$P$85:$P$86</definedName>
    <definedName name="OSRRefP22x_0" localSheetId="47">'Div 3'!$P$137:$P$146,'Div 3'!$P$148:$P$154,'Div 3'!$P$156,'Div 3'!$P$158:$P$159,'Div 3'!$P$161,'Div 3'!$P$163:$P$164,'Div 3'!$P$166:$P$167,'Div 3'!$P$169,'Div 3'!$P$171,'Div 3'!$P$173,'Div 3'!$P$175:$P$176,'Div 3'!$P$178,'Div 3'!$P$180,'Div 3'!$P$182,'Div 3'!$P$184:$P$185,'Div 3'!$P$187,'Div 3'!$P$189,'Div 3'!$P$191:$P$194,'Div 3'!$P$196:$P$198,'Div 3'!$P$200:$P$204,'Div 3'!$P$206:$P$207,'Div 3'!$P$209:$P$215,'Div 3'!$P$217:$P$218,'Div 3'!$P$220,'Div 3'!$P$222:$P$224,'Div 3'!$P$226</definedName>
    <definedName name="OSRRefP22x_0" localSheetId="71">'Div 4'!$P$31:$P$39,'Div 4'!$P$41:$P$47,'Div 4'!$P$49,'Div 4'!$P$51,'Div 4'!$P$53,'Div 4'!$P$55:$P$56,'Div 4'!$P$58,'Div 4'!$P$60,'Div 4'!$P$62,'Div 4'!$P$64,'Div 4'!$P$66,'Div 4'!$P$68,'Div 4'!$P$70,'Div 4'!$P$72,'Div 4'!$P$74,'Div 4'!$P$76,'Div 4'!$P$78:$P$81,'Div 4'!$P$83,'Div 4'!$P$85:$P$88,'Div 4'!$P$90:$P$91,'Div 4'!$P$93:$P$101,'Div 4'!$P$103,'Div 4'!$P$105,'Div 4'!$P$107:$P$109,'Div 4'!$P$111</definedName>
    <definedName name="OSRRefP22x_0" localSheetId="93">'Div 5'!$P$21:$P$29,'Div 5'!$P$31:$P$36,'Div 5'!$P$38,'Div 5'!$P$40,'Div 5'!$P$42:$P$43,'Div 5'!$P$45,'Div 5'!$P$47,'Div 5'!$P$49:$P$52,'Div 5'!$P$54,'Div 5'!$P$56:$P$57,'Div 5'!$P$59,'Div 5'!$P$61</definedName>
    <definedName name="OSRRefP22x_0" localSheetId="61">'Div 6'!$P$56:$P$64,'Div 6'!$P$66:$P$70,'Div 6'!$P$72,'Div 6'!$P$74,'Div 6'!$P$76,'Div 6'!$P$78:$P$79,'Div 6'!$P$81,'Div 6'!$P$83,'Div 6'!$P$85,'Div 6'!$P$87,'Div 6'!$P$89:$P$92,'Div 6'!$P$94,'Div 6'!$P$96</definedName>
    <definedName name="OSRRefP22x_0" localSheetId="2">Summary!$P$166:$P$175,Summary!$P$177:$P$183,Summary!$P$185,Summary!$P$187:$P$188,Summary!$P$190,Summary!$P$192:$P$193,Summary!$P$195:$P$196,Summary!$P$198,Summary!$P$200,Summary!$P$202,Summary!$P$204:$P$205,Summary!$P$207,Summary!$P$209,Summary!$P$211,Summary!$P$213:$P$214,Summary!$P$216,Summary!$P$218,Summary!$P$220,Summary!$P$222:$P$225,Summary!$P$227:$P$229,Summary!$P$231:$P$235,Summary!$P$237:$P$238,Summary!$P$240:$P$248,Summary!$P$250:$P$251,Summary!$P$253,Summary!$P$255:$P$257,Summary!$P$259</definedName>
    <definedName name="OSRRefP25x_0" localSheetId="48">'300'!$P$219:$P$223</definedName>
    <definedName name="OSRRefP25x_0" localSheetId="49">'300 &amp; 317'!$P$243:$P$249</definedName>
    <definedName name="OSRRefP25x_0" localSheetId="50">'301'!$P$99</definedName>
    <definedName name="OSRRefP25x_0" localSheetId="51">'308'!$P$115:$P$117</definedName>
    <definedName name="OSRRefP25x_0" localSheetId="72">'310 &amp; 491'!$P$115:$P$117</definedName>
    <definedName name="OSRRefP25x_0" localSheetId="52">'311'!$P$115:$P$117</definedName>
    <definedName name="OSRRefP25x_0" localSheetId="57">'315'!$P$145:$P$147</definedName>
    <definedName name="OSRRefP25x_0" localSheetId="60">'316'!$P$81</definedName>
    <definedName name="OSRRefP25x_0" localSheetId="62">'317'!$P$99:$P$101</definedName>
    <definedName name="OSRRefP25x_0" localSheetId="63">'320'!$P$30</definedName>
    <definedName name="OSRRefP25x_0" localSheetId="56">'331'!$P$162:$P$164</definedName>
    <definedName name="OSRRefP25x_0" localSheetId="59">'332'!$P$83:$P$84</definedName>
    <definedName name="OSRRefP25x_0" localSheetId="54">'333'!$P$165:$P$167</definedName>
    <definedName name="OSRRefP25x_0" localSheetId="74">'405'!$P$82</definedName>
    <definedName name="OSRRefP25x_0" localSheetId="76">'411'!$P$77:$P$78</definedName>
    <definedName name="OSRRefP25x_0" localSheetId="80">'415'!$P$84</definedName>
    <definedName name="OSRRefP25x_0" localSheetId="81">'418'!$P$68</definedName>
    <definedName name="OSRRefP25x_0" localSheetId="83">'423'!$P$30</definedName>
    <definedName name="OSRRefP25x_0" localSheetId="86">'455'!$P$21:$P$22</definedName>
    <definedName name="OSRRefP25x_0" localSheetId="73">'491'!$P$104:$P$106</definedName>
    <definedName name="OSRRefP25x_0" localSheetId="94">'501'!$P$64</definedName>
    <definedName name="OSRRefP25x_0" localSheetId="47">'Div 3'!$P$229:$P$233</definedName>
    <definedName name="OSRRefP25x_0" localSheetId="71">'Div 4'!$P$114:$P$116</definedName>
    <definedName name="OSRRefP25x_0" localSheetId="93">'Div 5'!$P$64</definedName>
    <definedName name="OSRRefP25x_0" localSheetId="61">'Div 6'!$P$99:$P$101</definedName>
    <definedName name="OSRRefP25x_0" localSheetId="2">Summary!$P$262:$P$270</definedName>
    <definedName name="OSRRefT13x_0" localSheetId="48">'300'!$T$13:$T$81</definedName>
    <definedName name="OSRRefT13x_0" localSheetId="49">'300 &amp; 317'!$T$13:$T$96</definedName>
    <definedName name="OSRRefT13x_0" localSheetId="55">'307'!$T$13:$T$25</definedName>
    <definedName name="OSRRefT13x_0" localSheetId="51">'308'!$T$13:$T$38</definedName>
    <definedName name="OSRRefT13x_0" localSheetId="65">'309'!$T$13:$T$16</definedName>
    <definedName name="OSRRefT13x_0" localSheetId="64">'310'!$T$13:$T$23</definedName>
    <definedName name="OSRRefT13x_0" localSheetId="72">'310 &amp; 491'!$T$13:$T$26</definedName>
    <definedName name="OSRRefT13x_0" localSheetId="52">'311'!$T$13:$T$38</definedName>
    <definedName name="OSRRefT13x_0" localSheetId="66">'313'!$T$13:$T$16</definedName>
    <definedName name="OSRRefT13x_0" localSheetId="57">'315'!$T$13:$T$55</definedName>
    <definedName name="OSRRefT13x_0" localSheetId="60">'316'!$T$13:$T$25</definedName>
    <definedName name="OSRRefT13x_0" localSheetId="62">'317'!$T$13:$T$34</definedName>
    <definedName name="OSRRefT13x_0" localSheetId="67">'321'!$T$13:$T$16</definedName>
    <definedName name="OSRRefT13x_0" localSheetId="53">'324'!$T$13:$T$16</definedName>
    <definedName name="OSRRefT13x_0" localSheetId="69">'325'!$T$13:$T$14</definedName>
    <definedName name="OSRRefT13x_0" localSheetId="58">'326'!$T$13:$T$36</definedName>
    <definedName name="OSRRefT13x_0" localSheetId="70">'327'!$T$13:$T$14</definedName>
    <definedName name="OSRRefT13x_0" localSheetId="56">'331'!$T$13:$T$55</definedName>
    <definedName name="OSRRefT13x_0" localSheetId="59">'332'!$T$13:$T$25</definedName>
    <definedName name="OSRRefT13x_0" localSheetId="54">'333'!$T$13:$T$57</definedName>
    <definedName name="OSRRefT13x_0" localSheetId="74">'405'!$T$13:$T$14</definedName>
    <definedName name="OSRRefT13x_0" localSheetId="79">'414'!$T$13</definedName>
    <definedName name="OSRRefT13x_0" localSheetId="80">'415'!$T$13:$T$14</definedName>
    <definedName name="OSRRefT13x_0" localSheetId="82">'420'!$T$13:$T$14</definedName>
    <definedName name="OSRRefT13x_0" localSheetId="85">'425'!$T$13</definedName>
    <definedName name="OSRRefT13x_0" localSheetId="89">'433'!$T$13:$T$15</definedName>
    <definedName name="OSRRefT13x_0" localSheetId="90">'435'!$T$13:$T$14</definedName>
    <definedName name="OSRRefT13x_0" localSheetId="91">'444'!$T$13:$T$15</definedName>
    <definedName name="OSRRefT13x_0" localSheetId="92">'450'!$T$13:$T$15</definedName>
    <definedName name="OSRRefT13x_0" localSheetId="73">'491'!$T$13:$T$18</definedName>
    <definedName name="OSRRefT13x_0" localSheetId="87">'492'!$T$13:$T$17</definedName>
    <definedName name="OSRRefT13x_0" localSheetId="94">'501'!$T$13</definedName>
    <definedName name="OSRRefT13x_0" localSheetId="47">'Div 3'!$T$13:$T$86</definedName>
    <definedName name="OSRRefT13x_0" localSheetId="71">'Div 4'!$T$13:$T$21</definedName>
    <definedName name="OSRRefT13x_0" localSheetId="93">'Div 5'!$T$13</definedName>
    <definedName name="OSRRefT13x_0" localSheetId="61">'Div 6'!$T$13:$T$34</definedName>
    <definedName name="OSRRefT13x_0" localSheetId="2">Summary!$T$13:$T$106</definedName>
    <definedName name="OSRRefT16x_0" localSheetId="48">'300'!$T$84:$T$124</definedName>
    <definedName name="OSRRefT16x_0" localSheetId="49">'300 &amp; 317'!$T$99:$T$148</definedName>
    <definedName name="OSRRefT16x_0" localSheetId="50">'301'!$T$15:$T$16</definedName>
    <definedName name="OSRRefT16x_0" localSheetId="55">'307'!$T$28:$T$37</definedName>
    <definedName name="OSRRefT16x_0" localSheetId="51">'308'!$T$41:$T$57</definedName>
    <definedName name="OSRRefT16x_0" localSheetId="65">'309'!$T$19:$T$20</definedName>
    <definedName name="OSRRefT16x_0" localSheetId="64">'310'!$T$26:$T$28</definedName>
    <definedName name="OSRRefT16x_0" localSheetId="72">'310 &amp; 491'!$T$29:$T$31</definedName>
    <definedName name="OSRRefT16x_0" localSheetId="52">'311'!$T$41:$T$57</definedName>
    <definedName name="OSRRefT16x_0" localSheetId="66">'313'!$T$19</definedName>
    <definedName name="OSRRefT16x_0" localSheetId="57">'315'!$T$58:$T$82</definedName>
    <definedName name="OSRRefT16x_0" localSheetId="60">'316'!$T$28</definedName>
    <definedName name="OSRRefT16x_0" localSheetId="62">'317'!$T$37:$T$50</definedName>
    <definedName name="OSRRefT16x_0" localSheetId="63">'320'!$T$15:$T$16</definedName>
    <definedName name="OSRRefT16x_0" localSheetId="67">'321'!$T$19:$T$21</definedName>
    <definedName name="OSRRefT16x_0" localSheetId="68">'322'!$T$15</definedName>
    <definedName name="OSRRefT16x_0" localSheetId="53">'324'!$T$19:$T$21</definedName>
    <definedName name="OSRRefT16x_0" localSheetId="69">'325'!$T$17:$T$18</definedName>
    <definedName name="OSRRefT16x_0" localSheetId="58">'326'!$T$39:$T$47</definedName>
    <definedName name="OSRRefT16x_0" localSheetId="70">'327'!$T$17:$T$18</definedName>
    <definedName name="OSRRefT16x_0" localSheetId="56">'331'!$T$58:$T$83</definedName>
    <definedName name="OSRRefT16x_0" localSheetId="59">'332'!$T$28:$T$30</definedName>
    <definedName name="OSRRefT16x_0" localSheetId="54">'333'!$T$60:$T$85</definedName>
    <definedName name="OSRRefT16x_0" localSheetId="74">'405'!$T$17:$T$18</definedName>
    <definedName name="OSRRefT16x_0" localSheetId="79">'414'!$T$16</definedName>
    <definedName name="OSRRefT16x_0" localSheetId="80">'415'!$T$17:$T$18</definedName>
    <definedName name="OSRRefT16x_0" localSheetId="81">'418'!$T$15</definedName>
    <definedName name="OSRRefT16x_0" localSheetId="85">'425'!$T$16</definedName>
    <definedName name="OSRRefT16x_0" localSheetId="89">'433'!$T$18:$T$19</definedName>
    <definedName name="OSRRefT16x_0" localSheetId="90">'435'!$T$17</definedName>
    <definedName name="OSRRefT16x_0" localSheetId="91">'444'!$T$18:$T$19</definedName>
    <definedName name="OSRRefT16x_0" localSheetId="92">'450'!$T$18:$T$19</definedName>
    <definedName name="OSRRefT16x_0" localSheetId="73">'491'!$T$21:$T$22</definedName>
    <definedName name="OSRRefT16x_0" localSheetId="87">'492'!$T$20:$T$21</definedName>
    <definedName name="OSRRefT16x_0" localSheetId="47">'Div 3'!$T$89:$T$131</definedName>
    <definedName name="OSRRefT16x_0" localSheetId="71">'Div 4'!$T$24:$T$25</definedName>
    <definedName name="OSRRefT16x_0" localSheetId="61">'Div 6'!$T$37:$T$50</definedName>
    <definedName name="OSRRefT16x_0" localSheetId="2">Summary!$T$109:$T$160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'300'!$T$130:$T$139</definedName>
    <definedName name="OSRRefT22_0x_0" localSheetId="49">'300 &amp; 317'!$T$154:$T$163</definedName>
    <definedName name="OSRRefT22_0x_0" localSheetId="50">'301'!$T$22:$T$31</definedName>
    <definedName name="OSRRefT22_0x_0" localSheetId="55">'307'!$T$43:$T$49</definedName>
    <definedName name="OSRRefT22_0x_0" localSheetId="51">'308'!$T$63:$T$71</definedName>
    <definedName name="OSRRefT22_0x_0" localSheetId="65">'309'!$T$26:$T$27</definedName>
    <definedName name="OSRRefT22_0x_0" localSheetId="64">'310'!$T$34:$T$42</definedName>
    <definedName name="OSRRefT22_0x_0" localSheetId="72">'310 &amp; 491'!$T$37:$T$45</definedName>
    <definedName name="OSRRefT22_0x_0" localSheetId="52">'311'!$T$63:$T$71</definedName>
    <definedName name="OSRRefT22_0x_0" localSheetId="66">'313'!$T$25:$T$32</definedName>
    <definedName name="OSRRefT22_0x_0" localSheetId="57">'315'!$T$88:$T$95</definedName>
    <definedName name="OSRRefT22_0x_0" localSheetId="60">'316'!$T$34:$T$41</definedName>
    <definedName name="OSRRefT22_0x_0" localSheetId="62">'317'!$T$56:$T$64</definedName>
    <definedName name="OSRRefT22_0x_0" localSheetId="63">'320'!$T$22:$T$23</definedName>
    <definedName name="OSRRefT22_0x_0" localSheetId="67">'321'!$T$27:$T$35</definedName>
    <definedName name="OSRRefT22_0x_0" localSheetId="68">'322'!$T$21:$T$25</definedName>
    <definedName name="OSRRefT22_0x_0" localSheetId="69">'325'!$T$24:$T$31</definedName>
    <definedName name="OSRRefT22_0x_0" localSheetId="58">'326'!$T$53:$T$60</definedName>
    <definedName name="OSRRefT22_0x_0" localSheetId="70">'327'!$T$24</definedName>
    <definedName name="OSRRefT22_0x_0" localSheetId="56">'331'!$T$89:$T$96</definedName>
    <definedName name="OSRRefT22_0x_0" localSheetId="59">'332'!$T$36:$T$43</definedName>
    <definedName name="OSRRefT22_0x_0" localSheetId="54">'333'!$T$91:$T$98</definedName>
    <definedName name="OSRRefT22_0x_0" localSheetId="74">'405'!$T$24:$T$31</definedName>
    <definedName name="OSRRefT22_0x_0" localSheetId="75">'406'!$T$20</definedName>
    <definedName name="OSRRefT22_0x_0" localSheetId="76">'411'!$T$20:$T$27</definedName>
    <definedName name="OSRRefT22_0x_0" localSheetId="77">'412'!$T$20</definedName>
    <definedName name="OSRRefT22_0x_0" localSheetId="78">'413'!$T$20:$T$24</definedName>
    <definedName name="OSRRefT22_0x_0" localSheetId="79">'414'!$T$22</definedName>
    <definedName name="OSRRefT22_0x_0" localSheetId="80">'415'!$T$24:$T$32</definedName>
    <definedName name="OSRRefT22_0x_0" localSheetId="81">'418'!$T$21:$T$28</definedName>
    <definedName name="OSRRefT22_0x_0" localSheetId="82">'420'!$T$22</definedName>
    <definedName name="OSRRefT22_0x_0" localSheetId="83">'423'!$T$20:$T$21</definedName>
    <definedName name="OSRRefT22_0x_0" localSheetId="84">'424'!$T$20</definedName>
    <definedName name="OSRRefT22_0x_0" localSheetId="85">'425'!$T$22:$T$26</definedName>
    <definedName name="OSRRefT22_0x_0" localSheetId="88">'430'!$T$20:$T$27</definedName>
    <definedName name="OSRRefT22_0x_0" localSheetId="89">'433'!$T$25:$T$33</definedName>
    <definedName name="OSRRefT22_0x_0" localSheetId="90">'435'!$T$23:$T$24</definedName>
    <definedName name="OSRRefT22_0x_0" localSheetId="91">'444'!$T$25:$T$33</definedName>
    <definedName name="OSRRefT22_0x_0" localSheetId="92">'450'!$T$25:$T$33</definedName>
    <definedName name="OSRRefT22_0x_0" localSheetId="73">'491'!$T$28:$T$36</definedName>
    <definedName name="OSRRefT22_0x_0" localSheetId="87">'492'!$T$27:$T$35</definedName>
    <definedName name="OSRRefT22_0x_0" localSheetId="94">'501'!$T$21:$T$29</definedName>
    <definedName name="OSRRefT22_0x_0" localSheetId="39">'Div 2'!$T$20:$T$30</definedName>
    <definedName name="OSRRefT22_0x_0" localSheetId="47">'Div 3'!$T$137:$T$146</definedName>
    <definedName name="OSRRefT22_0x_0" localSheetId="71">'Div 4'!$T$31:$T$39</definedName>
    <definedName name="OSRRefT22_0x_0" localSheetId="93">'Div 5'!$T$21:$T$29</definedName>
    <definedName name="OSRRefT22_0x_0" localSheetId="61">'Div 6'!$T$56:$T$64</definedName>
    <definedName name="OSRRefT22_0x_0" localSheetId="2">Summary!$T$166:$T$175</definedName>
    <definedName name="OSRRefT22_10x_0" localSheetId="41">'201'!$T$52:$T$54</definedName>
    <definedName name="OSRRefT22_10x_0" localSheetId="42">'202'!$T$54</definedName>
    <definedName name="OSRRefT22_10x_0" localSheetId="43">'203'!$T$56:$T$59</definedName>
    <definedName name="OSRRefT22_10x_0" localSheetId="48">'300'!$T$168:$T$169</definedName>
    <definedName name="OSRRefT22_10x_0" localSheetId="49">'300 &amp; 317'!$T$192:$T$193</definedName>
    <definedName name="OSRRefT22_10x_0" localSheetId="50">'301'!$T$60</definedName>
    <definedName name="OSRRefT22_10x_0" localSheetId="55">'307'!$T$75</definedName>
    <definedName name="OSRRefT22_10x_0" localSheetId="51">'308'!$T$101:$T$102</definedName>
    <definedName name="OSRRefT22_10x_0" localSheetId="65">'309'!$T$50:$T$51</definedName>
    <definedName name="OSRRefT22_10x_0" localSheetId="64">'310'!$T$68</definedName>
    <definedName name="OSRRefT22_10x_0" localSheetId="72">'310 &amp; 491'!$T$73</definedName>
    <definedName name="OSRRefT22_10x_0" localSheetId="52">'311'!$T$101:$T$102</definedName>
    <definedName name="OSRRefT22_10x_0" localSheetId="57">'315'!$T$123:$T$124</definedName>
    <definedName name="OSRRefT22_10x_0" localSheetId="60">'316'!$T$67</definedName>
    <definedName name="OSRRefT22_10x_0" localSheetId="62">'317'!$T$89:$T$92</definedName>
    <definedName name="OSRRefT22_10x_0" localSheetId="67">'321'!$T$63:$T$67</definedName>
    <definedName name="OSRRefT22_10x_0" localSheetId="69">'325'!$T$54</definedName>
    <definedName name="OSRRefT22_10x_0" localSheetId="58">'326'!$T$85</definedName>
    <definedName name="OSRRefT22_10x_0" localSheetId="56">'331'!$T$123</definedName>
    <definedName name="OSRRefT22_10x_0" localSheetId="59">'332'!$T$69</definedName>
    <definedName name="OSRRefT22_10x_0" localSheetId="54">'333'!$T$125</definedName>
    <definedName name="OSRRefT22_10x_0" localSheetId="74">'405'!$T$55:$T$56</definedName>
    <definedName name="OSRRefT22_10x_0" localSheetId="76">'411'!$T$52</definedName>
    <definedName name="OSRRefT22_10x_0" localSheetId="80">'415'!$T$57</definedName>
    <definedName name="OSRRefT22_10x_0" localSheetId="81">'418'!$T$53</definedName>
    <definedName name="OSRRefT22_10x_0" localSheetId="89">'433'!$T$58</definedName>
    <definedName name="OSRRefT22_10x_0" localSheetId="91">'444'!$T$58</definedName>
    <definedName name="OSRRefT22_10x_0" localSheetId="92">'450'!$T$57</definedName>
    <definedName name="OSRRefT22_10x_0" localSheetId="73">'491'!$T$62</definedName>
    <definedName name="OSRRefT22_10x_0" localSheetId="87">'492'!$T$61</definedName>
    <definedName name="OSRRefT22_10x_0" localSheetId="94">'501'!$T$59</definedName>
    <definedName name="OSRRefT22_10x_0" localSheetId="39">'Div 2'!$T$56</definedName>
    <definedName name="OSRRefT22_10x_0" localSheetId="47">'Div 3'!$T$175:$T$176</definedName>
    <definedName name="OSRRefT22_10x_0" localSheetId="71">'Div 4'!$T$66</definedName>
    <definedName name="OSRRefT22_10x_0" localSheetId="93">'Div 5'!$T$59</definedName>
    <definedName name="OSRRefT22_10x_0" localSheetId="61">'Div 6'!$T$89:$T$92</definedName>
    <definedName name="OSRRefT22_10x_0" localSheetId="2">Summary!$T$204:$T$205</definedName>
    <definedName name="OSRRefT22_11x_0" localSheetId="41">'201'!$T$56</definedName>
    <definedName name="OSRRefT22_11x_0" localSheetId="42">'202'!$T$56</definedName>
    <definedName name="OSRRefT22_11x_0" localSheetId="43">'203'!$T$61</definedName>
    <definedName name="OSRRefT22_11x_0" localSheetId="48">'300'!$T$171</definedName>
    <definedName name="OSRRefT22_11x_0" localSheetId="49">'300 &amp; 317'!$T$195</definedName>
    <definedName name="OSRRefT22_11x_0" localSheetId="50">'301'!$T$62</definedName>
    <definedName name="OSRRefT22_11x_0" localSheetId="55">'307'!$T$77:$T$80</definedName>
    <definedName name="OSRRefT22_11x_0" localSheetId="51">'308'!$T$104:$T$105</definedName>
    <definedName name="OSRRefT22_11x_0" localSheetId="65">'309'!$T$53</definedName>
    <definedName name="OSRRefT22_11x_0" localSheetId="64">'310'!$T$70</definedName>
    <definedName name="OSRRefT22_11x_0" localSheetId="72">'310 &amp; 491'!$T$75</definedName>
    <definedName name="OSRRefT22_11x_0" localSheetId="52">'311'!$T$104:$T$105</definedName>
    <definedName name="OSRRefT22_11x_0" localSheetId="57">'315'!$T$126:$T$127</definedName>
    <definedName name="OSRRefT22_11x_0" localSheetId="60">'316'!$T$69:$T$74</definedName>
    <definedName name="OSRRefT22_11x_0" localSheetId="62">'317'!$T$94</definedName>
    <definedName name="OSRRefT22_11x_0" localSheetId="67">'321'!$T$69</definedName>
    <definedName name="OSRRefT22_11x_0" localSheetId="69">'325'!$T$56:$T$57</definedName>
    <definedName name="OSRRefT22_11x_0" localSheetId="58">'326'!$T$87:$T$89</definedName>
    <definedName name="OSRRefT22_11x_0" localSheetId="56">'331'!$T$125:$T$126</definedName>
    <definedName name="OSRRefT22_11x_0" localSheetId="59">'332'!$T$71:$T$76</definedName>
    <definedName name="OSRRefT22_11x_0" localSheetId="54">'333'!$T$127:$T$128</definedName>
    <definedName name="OSRRefT22_11x_0" localSheetId="74">'405'!$T$58:$T$61</definedName>
    <definedName name="OSRRefT22_11x_0" localSheetId="76">'411'!$T$54:$T$57</definedName>
    <definedName name="OSRRefT22_11x_0" localSheetId="80">'415'!$T$59:$T$60</definedName>
    <definedName name="OSRRefT22_11x_0" localSheetId="81">'418'!$T$55:$T$61</definedName>
    <definedName name="OSRRefT22_11x_0" localSheetId="89">'433'!$T$60:$T$61</definedName>
    <definedName name="OSRRefT22_11x_0" localSheetId="91">'444'!$T$60:$T$61</definedName>
    <definedName name="OSRRefT22_11x_0" localSheetId="92">'450'!$T$59</definedName>
    <definedName name="OSRRefT22_11x_0" localSheetId="73">'491'!$T$64</definedName>
    <definedName name="OSRRefT22_11x_0" localSheetId="87">'492'!$T$63</definedName>
    <definedName name="OSRRefT22_11x_0" localSheetId="94">'501'!$T$61</definedName>
    <definedName name="OSRRefT22_11x_0" localSheetId="39">'Div 2'!$T$58</definedName>
    <definedName name="OSRRefT22_11x_0" localSheetId="47">'Div 3'!$T$178</definedName>
    <definedName name="OSRRefT22_11x_0" localSheetId="71">'Div 4'!$T$68</definedName>
    <definedName name="OSRRefT22_11x_0" localSheetId="93">'Div 5'!$T$61</definedName>
    <definedName name="OSRRefT22_11x_0" localSheetId="61">'Div 6'!$T$94</definedName>
    <definedName name="OSRRefT22_11x_0" localSheetId="2">Summary!$T$207</definedName>
    <definedName name="OSRRefT22_12x_0" localSheetId="41">'201'!$T$58:$T$59</definedName>
    <definedName name="OSRRefT22_12x_0" localSheetId="42">'202'!$T$58</definedName>
    <definedName name="OSRRefT22_12x_0" localSheetId="43">'203'!$T$63</definedName>
    <definedName name="OSRRefT22_12x_0" localSheetId="48">'300'!$T$173</definedName>
    <definedName name="OSRRefT22_12x_0" localSheetId="49">'300 &amp; 317'!$T$197</definedName>
    <definedName name="OSRRefT22_12x_0" localSheetId="50">'301'!$T$64</definedName>
    <definedName name="OSRRefT22_12x_0" localSheetId="55">'307'!$T$82</definedName>
    <definedName name="OSRRefT22_12x_0" localSheetId="51">'308'!$T$107:$T$108</definedName>
    <definedName name="OSRRefT22_12x_0" localSheetId="65">'309'!$T$55</definedName>
    <definedName name="OSRRefT22_12x_0" localSheetId="64">'310'!$T$72:$T$73</definedName>
    <definedName name="OSRRefT22_12x_0" localSheetId="72">'310 &amp; 491'!$T$77</definedName>
    <definedName name="OSRRefT22_12x_0" localSheetId="52">'311'!$T$107:$T$108</definedName>
    <definedName name="OSRRefT22_12x_0" localSheetId="57">'315'!$T$129:$T$130</definedName>
    <definedName name="OSRRefT22_12x_0" localSheetId="60">'316'!$T$76</definedName>
    <definedName name="OSRRefT22_12x_0" localSheetId="62">'317'!$T$96</definedName>
    <definedName name="OSRRefT22_12x_0" localSheetId="67">'321'!$T$71</definedName>
    <definedName name="OSRRefT22_12x_0" localSheetId="69">'325'!$T$59:$T$62</definedName>
    <definedName name="OSRRefT22_12x_0" localSheetId="58">'326'!$T$91:$T$93</definedName>
    <definedName name="OSRRefT22_12x_0" localSheetId="56">'331'!$T$128</definedName>
    <definedName name="OSRRefT22_12x_0" localSheetId="59">'332'!$T$78</definedName>
    <definedName name="OSRRefT22_12x_0" localSheetId="54">'333'!$T$130</definedName>
    <definedName name="OSRRefT22_12x_0" localSheetId="74">'405'!$T$63</definedName>
    <definedName name="OSRRefT22_12x_0" localSheetId="76">'411'!$T$59:$T$61</definedName>
    <definedName name="OSRRefT22_12x_0" localSheetId="80">'415'!$T$62:$T$65</definedName>
    <definedName name="OSRRefT22_12x_0" localSheetId="81">'418'!$T$63</definedName>
    <definedName name="OSRRefT22_12x_0" localSheetId="89">'433'!$T$63:$T$65</definedName>
    <definedName name="OSRRefT22_12x_0" localSheetId="91">'444'!$T$63:$T$66</definedName>
    <definedName name="OSRRefT22_12x_0" localSheetId="92">'450'!$T$61:$T$62</definedName>
    <definedName name="OSRRefT22_12x_0" localSheetId="73">'491'!$T$66</definedName>
    <definedName name="OSRRefT22_12x_0" localSheetId="87">'492'!$T$65:$T$67</definedName>
    <definedName name="OSRRefT22_12x_0" localSheetId="39">'Div 2'!$T$60:$T$62</definedName>
    <definedName name="OSRRefT22_12x_0" localSheetId="47">'Div 3'!$T$180</definedName>
    <definedName name="OSRRefT22_12x_0" localSheetId="71">'Div 4'!$T$70</definedName>
    <definedName name="OSRRefT22_12x_0" localSheetId="61">'Div 6'!$T$96</definedName>
    <definedName name="OSRRefT22_12x_0" localSheetId="2">Summary!$T$209</definedName>
    <definedName name="OSRRefT22_13x_0" localSheetId="41">'201'!$T$61</definedName>
    <definedName name="OSRRefT22_13x_0" localSheetId="43">'203'!$T$65</definedName>
    <definedName name="OSRRefT22_13x_0" localSheetId="48">'300'!$T$175:$T$176</definedName>
    <definedName name="OSRRefT22_13x_0" localSheetId="49">'300 &amp; 317'!$T$199:$T$200</definedName>
    <definedName name="OSRRefT22_13x_0" localSheetId="50">'301'!$T$66</definedName>
    <definedName name="OSRRefT22_13x_0" localSheetId="55">'307'!$T$84</definedName>
    <definedName name="OSRRefT22_13x_0" localSheetId="51">'308'!$T$110</definedName>
    <definedName name="OSRRefT22_13x_0" localSheetId="64">'310'!$T$75</definedName>
    <definedName name="OSRRefT22_13x_0" localSheetId="72">'310 &amp; 491'!$T$79</definedName>
    <definedName name="OSRRefT22_13x_0" localSheetId="52">'311'!$T$110</definedName>
    <definedName name="OSRRefT22_13x_0" localSheetId="57">'315'!$T$132:$T$136</definedName>
    <definedName name="OSRRefT22_13x_0" localSheetId="60">'316'!$T$78</definedName>
    <definedName name="OSRRefT22_13x_0" localSheetId="67">'321'!$T$73</definedName>
    <definedName name="OSRRefT22_13x_0" localSheetId="69">'325'!$T$64:$T$69</definedName>
    <definedName name="OSRRefT22_13x_0" localSheetId="58">'326'!$T$95:$T$96</definedName>
    <definedName name="OSRRefT22_13x_0" localSheetId="56">'331'!$T$130</definedName>
    <definedName name="OSRRefT22_13x_0" localSheetId="59">'332'!$T$80</definedName>
    <definedName name="OSRRefT22_13x_0" localSheetId="54">'333'!$T$132</definedName>
    <definedName name="OSRRefT22_13x_0" localSheetId="74">'405'!$T$65:$T$73</definedName>
    <definedName name="OSRRefT22_13x_0" localSheetId="76">'411'!$T$63</definedName>
    <definedName name="OSRRefT22_13x_0" localSheetId="80">'415'!$T$67</definedName>
    <definedName name="OSRRefT22_13x_0" localSheetId="81">'418'!$T$65</definedName>
    <definedName name="OSRRefT22_13x_0" localSheetId="89">'433'!$T$67:$T$74</definedName>
    <definedName name="OSRRefT22_13x_0" localSheetId="91">'444'!$T$68</definedName>
    <definedName name="OSRRefT22_13x_0" localSheetId="92">'450'!$T$64:$T$66</definedName>
    <definedName name="OSRRefT22_13x_0" localSheetId="73">'491'!$T$68</definedName>
    <definedName name="OSRRefT22_13x_0" localSheetId="87">'492'!$T$69:$T$72</definedName>
    <definedName name="OSRRefT22_13x_0" localSheetId="39">'Div 2'!$T$64:$T$67</definedName>
    <definedName name="OSRRefT22_13x_0" localSheetId="47">'Div 3'!$T$182</definedName>
    <definedName name="OSRRefT22_13x_0" localSheetId="71">'Div 4'!$T$72</definedName>
    <definedName name="OSRRefT22_13x_0" localSheetId="2">Summary!$T$211</definedName>
    <definedName name="OSRRefT22_14x_0" localSheetId="41">'201'!$T$63</definedName>
    <definedName name="OSRRefT22_14x_0" localSheetId="48">'300'!$T$178</definedName>
    <definedName name="OSRRefT22_14x_0" localSheetId="49">'300 &amp; 317'!$T$202</definedName>
    <definedName name="OSRRefT22_14x_0" localSheetId="50">'301'!$T$68</definedName>
    <definedName name="OSRRefT22_14x_0" localSheetId="51">'308'!$T$112</definedName>
    <definedName name="OSRRefT22_14x_0" localSheetId="64">'310'!$T$77:$T$80</definedName>
    <definedName name="OSRRefT22_14x_0" localSheetId="72">'310 &amp; 491'!$T$81:$T$84</definedName>
    <definedName name="OSRRefT22_14x_0" localSheetId="52">'311'!$T$112</definedName>
    <definedName name="OSRRefT22_14x_0" localSheetId="57">'315'!$T$138</definedName>
    <definedName name="OSRRefT22_14x_0" localSheetId="69">'325'!$T$71</definedName>
    <definedName name="OSRRefT22_14x_0" localSheetId="58">'326'!$T$98:$T$101</definedName>
    <definedName name="OSRRefT22_14x_0" localSheetId="56">'331'!$T$132:$T$134</definedName>
    <definedName name="OSRRefT22_14x_0" localSheetId="54">'333'!$T$134:$T$136</definedName>
    <definedName name="OSRRefT22_14x_0" localSheetId="74">'405'!$T$75</definedName>
    <definedName name="OSRRefT22_14x_0" localSheetId="76">'411'!$T$65:$T$67</definedName>
    <definedName name="OSRRefT22_14x_0" localSheetId="80">'415'!$T$69:$T$75</definedName>
    <definedName name="OSRRefT22_14x_0" localSheetId="89">'433'!$T$76</definedName>
    <definedName name="OSRRefT22_14x_0" localSheetId="91">'444'!$T$70:$T$77</definedName>
    <definedName name="OSRRefT22_14x_0" localSheetId="92">'450'!$T$68:$T$73</definedName>
    <definedName name="OSRRefT22_14x_0" localSheetId="73">'491'!$T$70:$T$73</definedName>
    <definedName name="OSRRefT22_14x_0" localSheetId="87">'492'!$T$74</definedName>
    <definedName name="OSRRefT22_14x_0" localSheetId="39">'Div 2'!$T$69</definedName>
    <definedName name="OSRRefT22_14x_0" localSheetId="47">'Div 3'!$T$184:$T$185</definedName>
    <definedName name="OSRRefT22_14x_0" localSheetId="71">'Div 4'!$T$74</definedName>
    <definedName name="OSRRefT22_14x_0" localSheetId="2">Summary!$T$213:$T$214</definedName>
    <definedName name="OSRRefT22_15x_0" localSheetId="48">'300'!$T$180</definedName>
    <definedName name="OSRRefT22_15x_0" localSheetId="49">'300 &amp; 317'!$T$204</definedName>
    <definedName name="OSRRefT22_15x_0" localSheetId="50">'301'!$T$70:$T$73</definedName>
    <definedName name="OSRRefT22_15x_0" localSheetId="64">'310'!$T$82:$T$87</definedName>
    <definedName name="OSRRefT22_15x_0" localSheetId="72">'310 &amp; 491'!$T$86</definedName>
    <definedName name="OSRRefT22_15x_0" localSheetId="57">'315'!$T$140</definedName>
    <definedName name="OSRRefT22_15x_0" localSheetId="69">'325'!$T$73</definedName>
    <definedName name="OSRRefT22_15x_0" localSheetId="58">'326'!$T$103</definedName>
    <definedName name="OSRRefT22_15x_0" localSheetId="56">'331'!$T$136:$T$137</definedName>
    <definedName name="OSRRefT22_15x_0" localSheetId="54">'333'!$T$138:$T$139</definedName>
    <definedName name="OSRRefT22_15x_0" localSheetId="74">'405'!$T$77</definedName>
    <definedName name="OSRRefT22_15x_0" localSheetId="76">'411'!$T$69</definedName>
    <definedName name="OSRRefT22_15x_0" localSheetId="80">'415'!$T$77</definedName>
    <definedName name="OSRRefT22_15x_0" localSheetId="89">'433'!$T$78</definedName>
    <definedName name="OSRRefT22_15x_0" localSheetId="91">'444'!$T$79</definedName>
    <definedName name="OSRRefT22_15x_0" localSheetId="92">'450'!$T$75</definedName>
    <definedName name="OSRRefT22_15x_0" localSheetId="73">'491'!$T$75</definedName>
    <definedName name="OSRRefT22_15x_0" localSheetId="87">'492'!$T$76:$T$83</definedName>
    <definedName name="OSRRefT22_15x_0" localSheetId="39">'Div 2'!$T$71:$T$72</definedName>
    <definedName name="OSRRefT22_15x_0" localSheetId="47">'Div 3'!$T$187</definedName>
    <definedName name="OSRRefT22_15x_0" localSheetId="71">'Div 4'!$T$76</definedName>
    <definedName name="OSRRefT22_15x_0" localSheetId="2">Summary!$T$216</definedName>
    <definedName name="OSRRefT22_16x_0" localSheetId="48">'300'!$T$182:$T$185</definedName>
    <definedName name="OSRRefT22_16x_0" localSheetId="49">'300 &amp; 317'!$T$206:$T$209</definedName>
    <definedName name="OSRRefT22_16x_0" localSheetId="50">'301'!$T$75:$T$77</definedName>
    <definedName name="OSRRefT22_16x_0" localSheetId="64">'310'!$T$89</definedName>
    <definedName name="OSRRefT22_16x_0" localSheetId="72">'310 &amp; 491'!$T$88:$T$91</definedName>
    <definedName name="OSRRefT22_16x_0" localSheetId="57">'315'!$T$142</definedName>
    <definedName name="OSRRefT22_16x_0" localSheetId="69">'325'!$T$75</definedName>
    <definedName name="OSRRefT22_16x_0" localSheetId="58">'326'!$T$105</definedName>
    <definedName name="OSRRefT22_16x_0" localSheetId="56">'331'!$T$139:$T$141</definedName>
    <definedName name="OSRRefT22_16x_0" localSheetId="54">'333'!$T$141:$T$144</definedName>
    <definedName name="OSRRefT22_16x_0" localSheetId="74">'405'!$T$79</definedName>
    <definedName name="OSRRefT22_16x_0" localSheetId="76">'411'!$T$71:$T$72</definedName>
    <definedName name="OSRRefT22_16x_0" localSheetId="80">'415'!$T$79</definedName>
    <definedName name="OSRRefT22_16x_0" localSheetId="91">'444'!$T$81</definedName>
    <definedName name="OSRRefT22_16x_0" localSheetId="92">'450'!$T$77</definedName>
    <definedName name="OSRRefT22_16x_0" localSheetId="73">'491'!$T$77:$T$80</definedName>
    <definedName name="OSRRefT22_16x_0" localSheetId="87">'492'!$T$85</definedName>
    <definedName name="OSRRefT22_16x_0" localSheetId="39">'Div 2'!$T$74:$T$78</definedName>
    <definedName name="OSRRefT22_16x_0" localSheetId="47">'Div 3'!$T$189</definedName>
    <definedName name="OSRRefT22_16x_0" localSheetId="71">'Div 4'!$T$78:$T$81</definedName>
    <definedName name="OSRRefT22_16x_0" localSheetId="2">Summary!$T$218</definedName>
    <definedName name="OSRRefT22_17x_0" localSheetId="48">'300'!$T$187:$T$189</definedName>
    <definedName name="OSRRefT22_17x_0" localSheetId="49">'300 &amp; 317'!$T$211:$T$213</definedName>
    <definedName name="OSRRefT22_17x_0" localSheetId="50">'301'!$T$79</definedName>
    <definedName name="OSRRefT22_17x_0" localSheetId="64">'310'!$T$91</definedName>
    <definedName name="OSRRefT22_17x_0" localSheetId="72">'310 &amp; 491'!$T$93</definedName>
    <definedName name="OSRRefT22_17x_0" localSheetId="58">'326'!$T$107</definedName>
    <definedName name="OSRRefT22_17x_0" localSheetId="56">'331'!$T$143:$T$144</definedName>
    <definedName name="OSRRefT22_17x_0" localSheetId="54">'333'!$T$146:$T$147</definedName>
    <definedName name="OSRRefT22_17x_0" localSheetId="76">'411'!$T$74</definedName>
    <definedName name="OSRRefT22_17x_0" localSheetId="80">'415'!$T$81</definedName>
    <definedName name="OSRRefT22_17x_0" localSheetId="91">'444'!$T$83</definedName>
    <definedName name="OSRRefT22_17x_0" localSheetId="92">'450'!$T$79</definedName>
    <definedName name="OSRRefT22_17x_0" localSheetId="73">'491'!$T$82</definedName>
    <definedName name="OSRRefT22_17x_0" localSheetId="87">'492'!$T$87</definedName>
    <definedName name="OSRRefT22_17x_0" localSheetId="39">'Div 2'!$T$80:$T$81</definedName>
    <definedName name="OSRRefT22_17x_0" localSheetId="47">'Div 3'!$T$191:$T$194</definedName>
    <definedName name="OSRRefT22_17x_0" localSheetId="71">'Div 4'!$T$83</definedName>
    <definedName name="OSRRefT22_17x_0" localSheetId="2">Summary!$T$220</definedName>
    <definedName name="OSRRefT22_18x_0" localSheetId="48">'300'!$T$191:$T$194</definedName>
    <definedName name="OSRRefT22_18x_0" localSheetId="49">'300 &amp; 317'!$T$215:$T$218</definedName>
    <definedName name="OSRRefT22_18x_0" localSheetId="50">'301'!$T$81:$T$86</definedName>
    <definedName name="OSRRefT22_18x_0" localSheetId="64">'310'!$T$93</definedName>
    <definedName name="OSRRefT22_18x_0" localSheetId="72">'310 &amp; 491'!$T$95:$T$103</definedName>
    <definedName name="OSRRefT22_18x_0" localSheetId="56">'331'!$T$146:$T$151</definedName>
    <definedName name="OSRRefT22_18x_0" localSheetId="54">'333'!$T$149:$T$154</definedName>
    <definedName name="OSRRefT22_18x_0" localSheetId="73">'491'!$T$84:$T$92</definedName>
    <definedName name="OSRRefT22_18x_0" localSheetId="87">'492'!$T$89:$T$91</definedName>
    <definedName name="OSRRefT22_18x_0" localSheetId="39">'Div 2'!$T$83</definedName>
    <definedName name="OSRRefT22_18x_0" localSheetId="47">'Div 3'!$T$196:$T$198</definedName>
    <definedName name="OSRRefT22_18x_0" localSheetId="71">'Div 4'!$T$85:$T$88</definedName>
    <definedName name="OSRRefT22_18x_0" localSheetId="2">Summary!$T$222:$T$225</definedName>
    <definedName name="OSRRefT22_19x_0" localSheetId="48">'300'!$T$196:$T$197</definedName>
    <definedName name="OSRRefT22_19x_0" localSheetId="49">'300 &amp; 317'!$T$220:$T$221</definedName>
    <definedName name="OSRRefT22_19x_0" localSheetId="50">'301'!$T$88</definedName>
    <definedName name="OSRRefT22_19x_0" localSheetId="72">'310 &amp; 491'!$T$105</definedName>
    <definedName name="OSRRefT22_19x_0" localSheetId="56">'331'!$T$153</definedName>
    <definedName name="OSRRefT22_19x_0" localSheetId="54">'333'!$T$156</definedName>
    <definedName name="OSRRefT22_19x_0" localSheetId="73">'491'!$T$94</definedName>
    <definedName name="OSRRefT22_19x_0" localSheetId="39">'Div 2'!$T$85:$T$86</definedName>
    <definedName name="OSRRefT22_19x_0" localSheetId="47">'Div 3'!$T$200:$T$204</definedName>
    <definedName name="OSRRefT22_19x_0" localSheetId="71">'Div 4'!$T$90:$T$91</definedName>
    <definedName name="OSRRefT22_19x_0" localSheetId="2">Summary!$T$227:$T$229</definedName>
    <definedName name="OSRRefT22_1x_0" localSheetId="40">'200'!$T$22</definedName>
    <definedName name="OSRRefT22_1x_0" localSheetId="41">'201'!$T$29:$T$32</definedName>
    <definedName name="OSRRefT22_1x_0" localSheetId="42">'202'!$T$29:$T$31</definedName>
    <definedName name="OSRRefT22_1x_0" localSheetId="43">'203'!$T$31:$T$35</definedName>
    <definedName name="OSRRefT22_1x_0" localSheetId="44">'204'!$T$30:$T$32</definedName>
    <definedName name="OSRRefT22_1x_0" localSheetId="45">'205'!$T$29</definedName>
    <definedName name="OSRRefT22_1x_0" localSheetId="46">'206'!$T$29:$T$32</definedName>
    <definedName name="OSRRefT22_1x_0" localSheetId="48">'300'!$T$141:$T$147</definedName>
    <definedName name="OSRRefT22_1x_0" localSheetId="49">'300 &amp; 317'!$T$165:$T$171</definedName>
    <definedName name="OSRRefT22_1x_0" localSheetId="50">'301'!$T$33:$T$39</definedName>
    <definedName name="OSRRefT22_1x_0" localSheetId="55">'307'!$T$51:$T$54</definedName>
    <definedName name="OSRRefT22_1x_0" localSheetId="51">'308'!$T$73:$T$79</definedName>
    <definedName name="OSRRefT22_1x_0" localSheetId="65">'309'!$T$29:$T$30</definedName>
    <definedName name="OSRRefT22_1x_0" localSheetId="64">'310'!$T$44:$T$49</definedName>
    <definedName name="OSRRefT22_1x_0" localSheetId="72">'310 &amp; 491'!$T$47:$T$53</definedName>
    <definedName name="OSRRefT22_1x_0" localSheetId="52">'311'!$T$73:$T$79</definedName>
    <definedName name="OSRRefT22_1x_0" localSheetId="66">'313'!$T$34</definedName>
    <definedName name="OSRRefT22_1x_0" localSheetId="57">'315'!$T$97:$T$102</definedName>
    <definedName name="OSRRefT22_1x_0" localSheetId="60">'316'!$T$43:$T$46</definedName>
    <definedName name="OSRRefT22_1x_0" localSheetId="62">'317'!$T$66:$T$70</definedName>
    <definedName name="OSRRefT22_1x_0" localSheetId="63">'320'!$T$25</definedName>
    <definedName name="OSRRefT22_1x_0" localSheetId="67">'321'!$T$37:$T$42</definedName>
    <definedName name="OSRRefT22_1x_0" localSheetId="68">'322'!$T$27</definedName>
    <definedName name="OSRRefT22_1x_0" localSheetId="69">'325'!$T$33:$T$35</definedName>
    <definedName name="OSRRefT22_1x_0" localSheetId="58">'326'!$T$62:$T$67</definedName>
    <definedName name="OSRRefT22_1x_0" localSheetId="70">'327'!$T$26</definedName>
    <definedName name="OSRRefT22_1x_0" localSheetId="56">'331'!$T$98:$T$103</definedName>
    <definedName name="OSRRefT22_1x_0" localSheetId="59">'332'!$T$45:$T$48</definedName>
    <definedName name="OSRRefT22_1x_0" localSheetId="54">'333'!$T$100:$T$105</definedName>
    <definedName name="OSRRefT22_1x_0" localSheetId="74">'405'!$T$33:$T$36</definedName>
    <definedName name="OSRRefT22_1x_0" localSheetId="75">'406'!$T$22</definedName>
    <definedName name="OSRRefT22_1x_0" localSheetId="76">'411'!$T$29:$T$33</definedName>
    <definedName name="OSRRefT22_1x_0" localSheetId="77">'412'!$T$22</definedName>
    <definedName name="OSRRefT22_1x_0" localSheetId="78">'413'!$T$26</definedName>
    <definedName name="OSRRefT22_1x_0" localSheetId="79">'414'!$T$24</definedName>
    <definedName name="OSRRefT22_1x_0" localSheetId="80">'415'!$T$34:$T$38</definedName>
    <definedName name="OSRRefT22_1x_0" localSheetId="81">'418'!$T$30:$T$33</definedName>
    <definedName name="OSRRefT22_1x_0" localSheetId="82">'420'!$T$24</definedName>
    <definedName name="OSRRefT22_1x_0" localSheetId="83">'423'!$T$23</definedName>
    <definedName name="OSRRefT22_1x_0" localSheetId="84">'424'!$T$22</definedName>
    <definedName name="OSRRefT22_1x_0" localSheetId="85">'425'!$T$28</definedName>
    <definedName name="OSRRefT22_1x_0" localSheetId="88">'430'!$T$29</definedName>
    <definedName name="OSRRefT22_1x_0" localSheetId="89">'433'!$T$35:$T$40</definedName>
    <definedName name="OSRRefT22_1x_0" localSheetId="90">'435'!$T$26</definedName>
    <definedName name="OSRRefT22_1x_0" localSheetId="91">'444'!$T$35:$T$40</definedName>
    <definedName name="OSRRefT22_1x_0" localSheetId="92">'450'!$T$35:$T$39</definedName>
    <definedName name="OSRRefT22_1x_0" localSheetId="73">'491'!$T$38:$T$43</definedName>
    <definedName name="OSRRefT22_1x_0" localSheetId="87">'492'!$T$37:$T$43</definedName>
    <definedName name="OSRRefT22_1x_0" localSheetId="94">'501'!$T$31:$T$36</definedName>
    <definedName name="OSRRefT22_1x_0" localSheetId="39">'Div 2'!$T$32:$T$37</definedName>
    <definedName name="OSRRefT22_1x_0" localSheetId="47">'Div 3'!$T$148:$T$154</definedName>
    <definedName name="OSRRefT22_1x_0" localSheetId="71">'Div 4'!$T$41:$T$47</definedName>
    <definedName name="OSRRefT22_1x_0" localSheetId="93">'Div 5'!$T$31:$T$36</definedName>
    <definedName name="OSRRefT22_1x_0" localSheetId="61">'Div 6'!$T$66:$T$70</definedName>
    <definedName name="OSRRefT22_1x_0" localSheetId="2">Summary!$T$177:$T$183</definedName>
    <definedName name="OSRRefT22_20x_0" localSheetId="48">'300'!$T$199:$T$205</definedName>
    <definedName name="OSRRefT22_20x_0" localSheetId="49">'300 &amp; 317'!$T$223:$T$229</definedName>
    <definedName name="OSRRefT22_20x_0" localSheetId="50">'301'!$T$90</definedName>
    <definedName name="OSRRefT22_20x_0" localSheetId="72">'310 &amp; 491'!$T$107</definedName>
    <definedName name="OSRRefT22_20x_0" localSheetId="56">'331'!$T$155</definedName>
    <definedName name="OSRRefT22_20x_0" localSheetId="54">'333'!$T$158</definedName>
    <definedName name="OSRRefT22_20x_0" localSheetId="73">'491'!$T$96</definedName>
    <definedName name="OSRRefT22_20x_0" localSheetId="47">'Div 3'!$T$206:$T$207</definedName>
    <definedName name="OSRRefT22_20x_0" localSheetId="71">'Div 4'!$T$93:$T$101</definedName>
    <definedName name="OSRRefT22_20x_0" localSheetId="2">Summary!$T$231:$T$235</definedName>
    <definedName name="OSRRefT22_21x_0" localSheetId="48">'300'!$T$207:$T$208</definedName>
    <definedName name="OSRRefT22_21x_0" localSheetId="49">'300 &amp; 317'!$T$231:$T$232</definedName>
    <definedName name="OSRRefT22_21x_0" localSheetId="50">'301'!$T$92:$T$94</definedName>
    <definedName name="OSRRefT22_21x_0" localSheetId="72">'310 &amp; 491'!$T$109:$T$110</definedName>
    <definedName name="OSRRefT22_21x_0" localSheetId="56">'331'!$T$157</definedName>
    <definedName name="OSRRefT22_21x_0" localSheetId="54">'333'!$T$160</definedName>
    <definedName name="OSRRefT22_21x_0" localSheetId="73">'491'!$T$98:$T$99</definedName>
    <definedName name="OSRRefT22_21x_0" localSheetId="47">'Div 3'!$T$209:$T$215</definedName>
    <definedName name="OSRRefT22_21x_0" localSheetId="71">'Div 4'!$T$103</definedName>
    <definedName name="OSRRefT22_21x_0" localSheetId="2">Summary!$T$237:$T$238</definedName>
    <definedName name="OSRRefT22_22x_0" localSheetId="48">'300'!$T$210</definedName>
    <definedName name="OSRRefT22_22x_0" localSheetId="49">'300 &amp; 317'!$T$234</definedName>
    <definedName name="OSRRefT22_22x_0" localSheetId="50">'301'!$T$96</definedName>
    <definedName name="OSRRefT22_22x_0" localSheetId="72">'310 &amp; 491'!$T$112</definedName>
    <definedName name="OSRRefT22_22x_0" localSheetId="56">'331'!$T$159</definedName>
    <definedName name="OSRRefT22_22x_0" localSheetId="54">'333'!$T$162</definedName>
    <definedName name="OSRRefT22_22x_0" localSheetId="73">'491'!$T$101</definedName>
    <definedName name="OSRRefT22_22x_0" localSheetId="47">'Div 3'!$T$217:$T$218</definedName>
    <definedName name="OSRRefT22_22x_0" localSheetId="71">'Div 4'!$T$105</definedName>
    <definedName name="OSRRefT22_22x_0" localSheetId="2">Summary!$T$240:$T$248</definedName>
    <definedName name="OSRRefT22_23x_0" localSheetId="48">'300'!$T$212:$T$214</definedName>
    <definedName name="OSRRefT22_23x_0" localSheetId="49">'300 &amp; 317'!$T$236:$T$238</definedName>
    <definedName name="OSRRefT22_23x_0" localSheetId="47">'Div 3'!$T$220</definedName>
    <definedName name="OSRRefT22_23x_0" localSheetId="71">'Div 4'!$T$107:$T$109</definedName>
    <definedName name="OSRRefT22_23x_0" localSheetId="2">Summary!$T$250:$T$251</definedName>
    <definedName name="OSRRefT22_24x_0" localSheetId="48">'300'!$T$216</definedName>
    <definedName name="OSRRefT22_24x_0" localSheetId="49">'300 &amp; 317'!$T$240</definedName>
    <definedName name="OSRRefT22_24x_0" localSheetId="47">'Div 3'!$T$222:$T$224</definedName>
    <definedName name="OSRRefT22_24x_0" localSheetId="71">'Div 4'!$T$111</definedName>
    <definedName name="OSRRefT22_24x_0" localSheetId="2">Summary!$T$253</definedName>
    <definedName name="OSRRefT22_25x_0" localSheetId="47">'Div 3'!$T$226</definedName>
    <definedName name="OSRRefT22_25x_0" localSheetId="2">Summary!$T$255:$T$257</definedName>
    <definedName name="OSRRefT22_26x_0" localSheetId="2">Summary!$T$259</definedName>
    <definedName name="OSRRefT22_2x_0" localSheetId="40">'200'!$T$24</definedName>
    <definedName name="OSRRefT22_2x_0" localSheetId="41">'201'!$T$34</definedName>
    <definedName name="OSRRefT22_2x_0" localSheetId="42">'202'!$T$33</definedName>
    <definedName name="OSRRefT22_2x_0" localSheetId="43">'203'!$T$37</definedName>
    <definedName name="OSRRefT22_2x_0" localSheetId="44">'204'!$T$34</definedName>
    <definedName name="OSRRefT22_2x_0" localSheetId="45">'205'!$T$31</definedName>
    <definedName name="OSRRefT22_2x_0" localSheetId="46">'206'!$T$34</definedName>
    <definedName name="OSRRefT22_2x_0" localSheetId="48">'300'!$T$149</definedName>
    <definedName name="OSRRefT22_2x_0" localSheetId="49">'300 &amp; 317'!$T$173</definedName>
    <definedName name="OSRRefT22_2x_0" localSheetId="50">'301'!$T$41</definedName>
    <definedName name="OSRRefT22_2x_0" localSheetId="55">'307'!$T$56</definedName>
    <definedName name="OSRRefT22_2x_0" localSheetId="51">'308'!$T$81</definedName>
    <definedName name="OSRRefT22_2x_0" localSheetId="65">'309'!$T$32</definedName>
    <definedName name="OSRRefT22_2x_0" localSheetId="64">'310'!$T$51</definedName>
    <definedName name="OSRRefT22_2x_0" localSheetId="72">'310 &amp; 491'!$T$55</definedName>
    <definedName name="OSRRefT22_2x_0" localSheetId="52">'311'!$T$81</definedName>
    <definedName name="OSRRefT22_2x_0" localSheetId="66">'313'!$T$36</definedName>
    <definedName name="OSRRefT22_2x_0" localSheetId="57">'315'!$T$104</definedName>
    <definedName name="OSRRefT22_2x_0" localSheetId="60">'316'!$T$48</definedName>
    <definedName name="OSRRefT22_2x_0" localSheetId="62">'317'!$T$72</definedName>
    <definedName name="OSRRefT22_2x_0" localSheetId="63">'320'!$T$27</definedName>
    <definedName name="OSRRefT22_2x_0" localSheetId="67">'321'!$T$44</definedName>
    <definedName name="OSRRefT22_2x_0" localSheetId="68">'322'!$T$29</definedName>
    <definedName name="OSRRefT22_2x_0" localSheetId="69">'325'!$T$37</definedName>
    <definedName name="OSRRefT22_2x_0" localSheetId="58">'326'!$T$69</definedName>
    <definedName name="OSRRefT22_2x_0" localSheetId="56">'331'!$T$105</definedName>
    <definedName name="OSRRefT22_2x_0" localSheetId="59">'332'!$T$50</definedName>
    <definedName name="OSRRefT22_2x_0" localSheetId="54">'333'!$T$107</definedName>
    <definedName name="OSRRefT22_2x_0" localSheetId="74">'405'!$T$38</definedName>
    <definedName name="OSRRefT22_2x_0" localSheetId="75">'406'!$T$24</definedName>
    <definedName name="OSRRefT22_2x_0" localSheetId="76">'411'!$T$35</definedName>
    <definedName name="OSRRefT22_2x_0" localSheetId="77">'412'!$T$24</definedName>
    <definedName name="OSRRefT22_2x_0" localSheetId="78">'413'!$T$28</definedName>
    <definedName name="OSRRefT22_2x_0" localSheetId="79">'414'!$T$26</definedName>
    <definedName name="OSRRefT22_2x_0" localSheetId="80">'415'!$T$40</definedName>
    <definedName name="OSRRefT22_2x_0" localSheetId="81">'418'!$T$35</definedName>
    <definedName name="OSRRefT22_2x_0" localSheetId="83">'423'!$T$25</definedName>
    <definedName name="OSRRefT22_2x_0" localSheetId="84">'424'!$T$24</definedName>
    <definedName name="OSRRefT22_2x_0" localSheetId="85">'425'!$T$30</definedName>
    <definedName name="OSRRefT22_2x_0" localSheetId="88">'430'!$T$31</definedName>
    <definedName name="OSRRefT22_2x_0" localSheetId="89">'433'!$T$42</definedName>
    <definedName name="OSRRefT22_2x_0" localSheetId="90">'435'!$T$28</definedName>
    <definedName name="OSRRefT22_2x_0" localSheetId="91">'444'!$T$42</definedName>
    <definedName name="OSRRefT22_2x_0" localSheetId="92">'450'!$T$41</definedName>
    <definedName name="OSRRefT22_2x_0" localSheetId="73">'491'!$T$45</definedName>
    <definedName name="OSRRefT22_2x_0" localSheetId="87">'492'!$T$45</definedName>
    <definedName name="OSRRefT22_2x_0" localSheetId="94">'501'!$T$38</definedName>
    <definedName name="OSRRefT22_2x_0" localSheetId="39">'Div 2'!$T$39</definedName>
    <definedName name="OSRRefT22_2x_0" localSheetId="47">'Div 3'!$T$156</definedName>
    <definedName name="OSRRefT22_2x_0" localSheetId="71">'Div 4'!$T$49</definedName>
    <definedName name="OSRRefT22_2x_0" localSheetId="93">'Div 5'!$T$38</definedName>
    <definedName name="OSRRefT22_2x_0" localSheetId="61">'Div 6'!$T$72</definedName>
    <definedName name="OSRRefT22_2x_0" localSheetId="2">Summary!$T$185</definedName>
    <definedName name="OSRRefT22_3x_0" localSheetId="40">'200'!$T$26</definedName>
    <definedName name="OSRRefT22_3x_0" localSheetId="41">'201'!$T$36</definedName>
    <definedName name="OSRRefT22_3x_0" localSheetId="42">'202'!$T$35</definedName>
    <definedName name="OSRRefT22_3x_0" localSheetId="43">'203'!$T$39</definedName>
    <definedName name="OSRRefT22_3x_0" localSheetId="44">'204'!$T$36</definedName>
    <definedName name="OSRRefT22_3x_0" localSheetId="45">'205'!$T$33</definedName>
    <definedName name="OSRRefT22_3x_0" localSheetId="46">'206'!$T$36</definedName>
    <definedName name="OSRRefT22_3x_0" localSheetId="48">'300'!$T$151:$T$152</definedName>
    <definedName name="OSRRefT22_3x_0" localSheetId="49">'300 &amp; 317'!$T$175:$T$176</definedName>
    <definedName name="OSRRefT22_3x_0" localSheetId="50">'301'!$T$43:$T$44</definedName>
    <definedName name="OSRRefT22_3x_0" localSheetId="55">'307'!$T$58</definedName>
    <definedName name="OSRRefT22_3x_0" localSheetId="51">'308'!$T$83:$T$84</definedName>
    <definedName name="OSRRefT22_3x_0" localSheetId="65">'309'!$T$34</definedName>
    <definedName name="OSRRefT22_3x_0" localSheetId="64">'310'!$T$53</definedName>
    <definedName name="OSRRefT22_3x_0" localSheetId="72">'310 &amp; 491'!$T$57</definedName>
    <definedName name="OSRRefT22_3x_0" localSheetId="52">'311'!$T$83:$T$84</definedName>
    <definedName name="OSRRefT22_3x_0" localSheetId="66">'313'!$T$38</definedName>
    <definedName name="OSRRefT22_3x_0" localSheetId="57">'315'!$T$106:$T$107</definedName>
    <definedName name="OSRRefT22_3x_0" localSheetId="60">'316'!$T$50</definedName>
    <definedName name="OSRRefT22_3x_0" localSheetId="62">'317'!$T$74</definedName>
    <definedName name="OSRRefT22_3x_0" localSheetId="67">'321'!$T$46</definedName>
    <definedName name="OSRRefT22_3x_0" localSheetId="68">'322'!$T$31</definedName>
    <definedName name="OSRRefT22_3x_0" localSheetId="69">'325'!$T$39</definedName>
    <definedName name="OSRRefT22_3x_0" localSheetId="58">'326'!$T$71</definedName>
    <definedName name="OSRRefT22_3x_0" localSheetId="56">'331'!$T$107</definedName>
    <definedName name="OSRRefT22_3x_0" localSheetId="59">'332'!$T$52</definedName>
    <definedName name="OSRRefT22_3x_0" localSheetId="54">'333'!$T$109</definedName>
    <definedName name="OSRRefT22_3x_0" localSheetId="74">'405'!$T$40</definedName>
    <definedName name="OSRRefT22_3x_0" localSheetId="75">'406'!$T$26</definedName>
    <definedName name="OSRRefT22_3x_0" localSheetId="76">'411'!$T$37</definedName>
    <definedName name="OSRRefT22_3x_0" localSheetId="77">'412'!$T$26:$T$27</definedName>
    <definedName name="OSRRefT22_3x_0" localSheetId="78">'413'!$T$30</definedName>
    <definedName name="OSRRefT22_3x_0" localSheetId="79">'414'!$T$28</definedName>
    <definedName name="OSRRefT22_3x_0" localSheetId="80">'415'!$T$42</definedName>
    <definedName name="OSRRefT22_3x_0" localSheetId="81">'418'!$T$37</definedName>
    <definedName name="OSRRefT22_3x_0" localSheetId="83">'423'!$T$27</definedName>
    <definedName name="OSRRefT22_3x_0" localSheetId="84">'424'!$T$26</definedName>
    <definedName name="OSRRefT22_3x_0" localSheetId="85">'425'!$T$32</definedName>
    <definedName name="OSRRefT22_3x_0" localSheetId="88">'430'!$T$33</definedName>
    <definedName name="OSRRefT22_3x_0" localSheetId="89">'433'!$T$44</definedName>
    <definedName name="OSRRefT22_3x_0" localSheetId="90">'435'!$T$30</definedName>
    <definedName name="OSRRefT22_3x_0" localSheetId="91">'444'!$T$44</definedName>
    <definedName name="OSRRefT22_3x_0" localSheetId="92">'450'!$T$43</definedName>
    <definedName name="OSRRefT22_3x_0" localSheetId="73">'491'!$T$47</definedName>
    <definedName name="OSRRefT22_3x_0" localSheetId="87">'492'!$T$47</definedName>
    <definedName name="OSRRefT22_3x_0" localSheetId="94">'501'!$T$40</definedName>
    <definedName name="OSRRefT22_3x_0" localSheetId="39">'Div 2'!$T$41</definedName>
    <definedName name="OSRRefT22_3x_0" localSheetId="47">'Div 3'!$T$158:$T$159</definedName>
    <definedName name="OSRRefT22_3x_0" localSheetId="71">'Div 4'!$T$51</definedName>
    <definedName name="OSRRefT22_3x_0" localSheetId="93">'Div 5'!$T$40</definedName>
    <definedName name="OSRRefT22_3x_0" localSheetId="61">'Div 6'!$T$74</definedName>
    <definedName name="OSRRefT22_3x_0" localSheetId="2">Summary!$T$187:$T$188</definedName>
    <definedName name="OSRRefT22_4x_0" localSheetId="41">'201'!$T$38</definedName>
    <definedName name="OSRRefT22_4x_0" localSheetId="42">'202'!$T$37</definedName>
    <definedName name="OSRRefT22_4x_0" localSheetId="43">'203'!$T$41</definedName>
    <definedName name="OSRRefT22_4x_0" localSheetId="44">'204'!$T$38</definedName>
    <definedName name="OSRRefT22_4x_0" localSheetId="45">'205'!$T$35:$T$37</definedName>
    <definedName name="OSRRefT22_4x_0" localSheetId="46">'206'!$T$38</definedName>
    <definedName name="OSRRefT22_4x_0" localSheetId="48">'300'!$T$154</definedName>
    <definedName name="OSRRefT22_4x_0" localSheetId="49">'300 &amp; 317'!$T$178</definedName>
    <definedName name="OSRRefT22_4x_0" localSheetId="50">'301'!$T$46</definedName>
    <definedName name="OSRRefT22_4x_0" localSheetId="55">'307'!$T$60:$T$61</definedName>
    <definedName name="OSRRefT22_4x_0" localSheetId="51">'308'!$T$86</definedName>
    <definedName name="OSRRefT22_4x_0" localSheetId="65">'309'!$T$36</definedName>
    <definedName name="OSRRefT22_4x_0" localSheetId="64">'310'!$T$55</definedName>
    <definedName name="OSRRefT22_4x_0" localSheetId="72">'310 &amp; 491'!$T$59</definedName>
    <definedName name="OSRRefT22_4x_0" localSheetId="52">'311'!$T$86</definedName>
    <definedName name="OSRRefT22_4x_0" localSheetId="66">'313'!$T$40</definedName>
    <definedName name="OSRRefT22_4x_0" localSheetId="57">'315'!$T$109</definedName>
    <definedName name="OSRRefT22_4x_0" localSheetId="60">'316'!$T$52</definedName>
    <definedName name="OSRRefT22_4x_0" localSheetId="62">'317'!$T$76</definedName>
    <definedName name="OSRRefT22_4x_0" localSheetId="67">'321'!$T$48</definedName>
    <definedName name="OSRRefT22_4x_0" localSheetId="68">'322'!$T$33:$T$34</definedName>
    <definedName name="OSRRefT22_4x_0" localSheetId="69">'325'!$T$41</definedName>
    <definedName name="OSRRefT22_4x_0" localSheetId="58">'326'!$T$73</definedName>
    <definedName name="OSRRefT22_4x_0" localSheetId="56">'331'!$T$109</definedName>
    <definedName name="OSRRefT22_4x_0" localSheetId="59">'332'!$T$54</definedName>
    <definedName name="OSRRefT22_4x_0" localSheetId="54">'333'!$T$111</definedName>
    <definedName name="OSRRefT22_4x_0" localSheetId="74">'405'!$T$42</definedName>
    <definedName name="OSRRefT22_4x_0" localSheetId="75">'406'!$T$28</definedName>
    <definedName name="OSRRefT22_4x_0" localSheetId="76">'411'!$T$39:$T$40</definedName>
    <definedName name="OSRRefT22_4x_0" localSheetId="77">'412'!$T$29</definedName>
    <definedName name="OSRRefT22_4x_0" localSheetId="78">'413'!$T$32</definedName>
    <definedName name="OSRRefT22_4x_0" localSheetId="79">'414'!$T$30</definedName>
    <definedName name="OSRRefT22_4x_0" localSheetId="80">'415'!$T$44</definedName>
    <definedName name="OSRRefT22_4x_0" localSheetId="81">'418'!$T$39:$T$40</definedName>
    <definedName name="OSRRefT22_4x_0" localSheetId="85">'425'!$T$34</definedName>
    <definedName name="OSRRefT22_4x_0" localSheetId="88">'430'!$T$35</definedName>
    <definedName name="OSRRefT22_4x_0" localSheetId="89">'433'!$T$46</definedName>
    <definedName name="OSRRefT22_4x_0" localSheetId="90">'435'!$T$32</definedName>
    <definedName name="OSRRefT22_4x_0" localSheetId="91">'444'!$T$46</definedName>
    <definedName name="OSRRefT22_4x_0" localSheetId="92">'450'!$T$45</definedName>
    <definedName name="OSRRefT22_4x_0" localSheetId="73">'491'!$T$49</definedName>
    <definedName name="OSRRefT22_4x_0" localSheetId="87">'492'!$T$49</definedName>
    <definedName name="OSRRefT22_4x_0" localSheetId="94">'501'!$T$42:$T$43</definedName>
    <definedName name="OSRRefT22_4x_0" localSheetId="39">'Div 2'!$T$43</definedName>
    <definedName name="OSRRefT22_4x_0" localSheetId="47">'Div 3'!$T$161</definedName>
    <definedName name="OSRRefT22_4x_0" localSheetId="71">'Div 4'!$T$53</definedName>
    <definedName name="OSRRefT22_4x_0" localSheetId="93">'Div 5'!$T$42:$T$43</definedName>
    <definedName name="OSRRefT22_4x_0" localSheetId="61">'Div 6'!$T$76</definedName>
    <definedName name="OSRRefT22_4x_0" localSheetId="2">Summary!$T$190</definedName>
    <definedName name="OSRRefT22_5x_0" localSheetId="41">'201'!$T$40</definedName>
    <definedName name="OSRRefT22_5x_0" localSheetId="42">'202'!$T$39:$T$40</definedName>
    <definedName name="OSRRefT22_5x_0" localSheetId="43">'203'!$T$43</definedName>
    <definedName name="OSRRefT22_5x_0" localSheetId="44">'204'!$T$40:$T$43</definedName>
    <definedName name="OSRRefT22_5x_0" localSheetId="45">'205'!$T$39:$T$41</definedName>
    <definedName name="OSRRefT22_5x_0" localSheetId="46">'206'!$T$40</definedName>
    <definedName name="OSRRefT22_5x_0" localSheetId="48">'300'!$T$156:$T$157</definedName>
    <definedName name="OSRRefT22_5x_0" localSheetId="49">'300 &amp; 317'!$T$180:$T$181</definedName>
    <definedName name="OSRRefT22_5x_0" localSheetId="50">'301'!$T$48:$T$49</definedName>
    <definedName name="OSRRefT22_5x_0" localSheetId="55">'307'!$T$63</definedName>
    <definedName name="OSRRefT22_5x_0" localSheetId="51">'308'!$T$88</definedName>
    <definedName name="OSRRefT22_5x_0" localSheetId="65">'309'!$T$38</definedName>
    <definedName name="OSRRefT22_5x_0" localSheetId="64">'310'!$T$57:$T$58</definedName>
    <definedName name="OSRRefT22_5x_0" localSheetId="72">'310 &amp; 491'!$T$61:$T$62</definedName>
    <definedName name="OSRRefT22_5x_0" localSheetId="52">'311'!$T$88</definedName>
    <definedName name="OSRRefT22_5x_0" localSheetId="66">'313'!$T$42</definedName>
    <definedName name="OSRRefT22_5x_0" localSheetId="57">'315'!$T$111</definedName>
    <definedName name="OSRRefT22_5x_0" localSheetId="60">'316'!$T$54</definedName>
    <definedName name="OSRRefT22_5x_0" localSheetId="62">'317'!$T$78:$T$79</definedName>
    <definedName name="OSRRefT22_5x_0" localSheetId="67">'321'!$T$50</definedName>
    <definedName name="OSRRefT22_5x_0" localSheetId="68">'322'!$T$36</definedName>
    <definedName name="OSRRefT22_5x_0" localSheetId="69">'325'!$T$43:$T$44</definedName>
    <definedName name="OSRRefT22_5x_0" localSheetId="58">'326'!$T$75</definedName>
    <definedName name="OSRRefT22_5x_0" localSheetId="56">'331'!$T$111:$T$112</definedName>
    <definedName name="OSRRefT22_5x_0" localSheetId="59">'332'!$T$56</definedName>
    <definedName name="OSRRefT22_5x_0" localSheetId="54">'333'!$T$113:$T$114</definedName>
    <definedName name="OSRRefT22_5x_0" localSheetId="74">'405'!$T$44:$T$45</definedName>
    <definedName name="OSRRefT22_5x_0" localSheetId="76">'411'!$T$42</definedName>
    <definedName name="OSRRefT22_5x_0" localSheetId="77">'412'!$T$31</definedName>
    <definedName name="OSRRefT22_5x_0" localSheetId="78">'413'!$T$34</definedName>
    <definedName name="OSRRefT22_5x_0" localSheetId="79">'414'!$T$32:$T$33</definedName>
    <definedName name="OSRRefT22_5x_0" localSheetId="80">'415'!$T$46:$T$47</definedName>
    <definedName name="OSRRefT22_5x_0" localSheetId="81">'418'!$T$42</definedName>
    <definedName name="OSRRefT22_5x_0" localSheetId="85">'425'!$T$36:$T$37</definedName>
    <definedName name="OSRRefT22_5x_0" localSheetId="88">'430'!$T$37:$T$39</definedName>
    <definedName name="OSRRefT22_5x_0" localSheetId="89">'433'!$T$48</definedName>
    <definedName name="OSRRefT22_5x_0" localSheetId="90">'435'!$T$34</definedName>
    <definedName name="OSRRefT22_5x_0" localSheetId="91">'444'!$T$48</definedName>
    <definedName name="OSRRefT22_5x_0" localSheetId="92">'450'!$T$47</definedName>
    <definedName name="OSRRefT22_5x_0" localSheetId="73">'491'!$T$51:$T$52</definedName>
    <definedName name="OSRRefT22_5x_0" localSheetId="87">'492'!$T$51</definedName>
    <definedName name="OSRRefT22_5x_0" localSheetId="94">'501'!$T$45</definedName>
    <definedName name="OSRRefT22_5x_0" localSheetId="39">'Div 2'!$T$45</definedName>
    <definedName name="OSRRefT22_5x_0" localSheetId="47">'Div 3'!$T$163:$T$164</definedName>
    <definedName name="OSRRefT22_5x_0" localSheetId="71">'Div 4'!$T$55:$T$56</definedName>
    <definedName name="OSRRefT22_5x_0" localSheetId="93">'Div 5'!$T$45</definedName>
    <definedName name="OSRRefT22_5x_0" localSheetId="61">'Div 6'!$T$78:$T$79</definedName>
    <definedName name="OSRRefT22_5x_0" localSheetId="2">Summary!$T$192:$T$193</definedName>
    <definedName name="OSRRefT22_6x_0" localSheetId="41">'201'!$T$42</definedName>
    <definedName name="OSRRefT22_6x_0" localSheetId="42">'202'!$T$42</definedName>
    <definedName name="OSRRefT22_6x_0" localSheetId="43">'203'!$T$45</definedName>
    <definedName name="OSRRefT22_6x_0" localSheetId="44">'204'!$T$45</definedName>
    <definedName name="OSRRefT22_6x_0" localSheetId="45">'205'!$T$43</definedName>
    <definedName name="OSRRefT22_6x_0" localSheetId="46">'206'!$T$42</definedName>
    <definedName name="OSRRefT22_6x_0" localSheetId="48">'300'!$T$159:$T$160</definedName>
    <definedName name="OSRRefT22_6x_0" localSheetId="49">'300 &amp; 317'!$T$183:$T$184</definedName>
    <definedName name="OSRRefT22_6x_0" localSheetId="50">'301'!$T$51:$T$52</definedName>
    <definedName name="OSRRefT22_6x_0" localSheetId="55">'307'!$T$65</definedName>
    <definedName name="OSRRefT22_6x_0" localSheetId="51">'308'!$T$90:$T$91</definedName>
    <definedName name="OSRRefT22_6x_0" localSheetId="65">'309'!$T$40</definedName>
    <definedName name="OSRRefT22_6x_0" localSheetId="64">'310'!$T$60</definedName>
    <definedName name="OSRRefT22_6x_0" localSheetId="72">'310 &amp; 491'!$T$64</definedName>
    <definedName name="OSRRefT22_6x_0" localSheetId="52">'311'!$T$90:$T$91</definedName>
    <definedName name="OSRRefT22_6x_0" localSheetId="66">'313'!$T$44</definedName>
    <definedName name="OSRRefT22_6x_0" localSheetId="57">'315'!$T$113:$T$114</definedName>
    <definedName name="OSRRefT22_6x_0" localSheetId="60">'316'!$T$56:$T$57</definedName>
    <definedName name="OSRRefT22_6x_0" localSheetId="62">'317'!$T$81</definedName>
    <definedName name="OSRRefT22_6x_0" localSheetId="67">'321'!$T$52</definedName>
    <definedName name="OSRRefT22_6x_0" localSheetId="68">'322'!$T$38</definedName>
    <definedName name="OSRRefT22_6x_0" localSheetId="69">'325'!$T$46</definedName>
    <definedName name="OSRRefT22_6x_0" localSheetId="58">'326'!$T$77</definedName>
    <definedName name="OSRRefT22_6x_0" localSheetId="56">'331'!$T$114</definedName>
    <definedName name="OSRRefT22_6x_0" localSheetId="59">'332'!$T$58:$T$59</definedName>
    <definedName name="OSRRefT22_6x_0" localSheetId="54">'333'!$T$116</definedName>
    <definedName name="OSRRefT22_6x_0" localSheetId="74">'405'!$T$47</definedName>
    <definedName name="OSRRefT22_6x_0" localSheetId="76">'411'!$T$44</definedName>
    <definedName name="OSRRefT22_6x_0" localSheetId="80">'415'!$T$49</definedName>
    <definedName name="OSRRefT22_6x_0" localSheetId="81">'418'!$T$44</definedName>
    <definedName name="OSRRefT22_6x_0" localSheetId="85">'425'!$T$39</definedName>
    <definedName name="OSRRefT22_6x_0" localSheetId="88">'430'!$T$41</definedName>
    <definedName name="OSRRefT22_6x_0" localSheetId="89">'433'!$T$50</definedName>
    <definedName name="OSRRefT22_6x_0" localSheetId="91">'444'!$T$50</definedName>
    <definedName name="OSRRefT22_6x_0" localSheetId="92">'450'!$T$49</definedName>
    <definedName name="OSRRefT22_6x_0" localSheetId="73">'491'!$T$54</definedName>
    <definedName name="OSRRefT22_6x_0" localSheetId="87">'492'!$T$53</definedName>
    <definedName name="OSRRefT22_6x_0" localSheetId="94">'501'!$T$47</definedName>
    <definedName name="OSRRefT22_6x_0" localSheetId="39">'Div 2'!$T$47</definedName>
    <definedName name="OSRRefT22_6x_0" localSheetId="47">'Div 3'!$T$166:$T$167</definedName>
    <definedName name="OSRRefT22_6x_0" localSheetId="71">'Div 4'!$T$58</definedName>
    <definedName name="OSRRefT22_6x_0" localSheetId="93">'Div 5'!$T$47</definedName>
    <definedName name="OSRRefT22_6x_0" localSheetId="61">'Div 6'!$T$81</definedName>
    <definedName name="OSRRefT22_6x_0" localSheetId="2">Summary!$T$195:$T$196</definedName>
    <definedName name="OSRRefT22_7x_0" localSheetId="41">'201'!$T$44</definedName>
    <definedName name="OSRRefT22_7x_0" localSheetId="42">'202'!$T$44:$T$46</definedName>
    <definedName name="OSRRefT22_7x_0" localSheetId="43">'203'!$T$47:$T$48</definedName>
    <definedName name="OSRRefT22_7x_0" localSheetId="44">'204'!$T$47:$T$48</definedName>
    <definedName name="OSRRefT22_7x_0" localSheetId="48">'300'!$T$162</definedName>
    <definedName name="OSRRefT22_7x_0" localSheetId="49">'300 &amp; 317'!$T$186</definedName>
    <definedName name="OSRRefT22_7x_0" localSheetId="50">'301'!$T$54</definedName>
    <definedName name="OSRRefT22_7x_0" localSheetId="55">'307'!$T$67</definedName>
    <definedName name="OSRRefT22_7x_0" localSheetId="51">'308'!$T$93</definedName>
    <definedName name="OSRRefT22_7x_0" localSheetId="65">'309'!$T$42</definedName>
    <definedName name="OSRRefT22_7x_0" localSheetId="64">'310'!$T$62</definedName>
    <definedName name="OSRRefT22_7x_0" localSheetId="72">'310 &amp; 491'!$T$66</definedName>
    <definedName name="OSRRefT22_7x_0" localSheetId="52">'311'!$T$93</definedName>
    <definedName name="OSRRefT22_7x_0" localSheetId="66">'313'!$T$46</definedName>
    <definedName name="OSRRefT22_7x_0" localSheetId="57">'315'!$T$116</definedName>
    <definedName name="OSRRefT22_7x_0" localSheetId="60">'316'!$T$59</definedName>
    <definedName name="OSRRefT22_7x_0" localSheetId="62">'317'!$T$83</definedName>
    <definedName name="OSRRefT22_7x_0" localSheetId="67">'321'!$T$54:$T$55</definedName>
    <definedName name="OSRRefT22_7x_0" localSheetId="68">'322'!$T$40</definedName>
    <definedName name="OSRRefT22_7x_0" localSheetId="69">'325'!$T$48</definedName>
    <definedName name="OSRRefT22_7x_0" localSheetId="58">'326'!$T$79</definedName>
    <definedName name="OSRRefT22_7x_0" localSheetId="56">'331'!$T$116</definedName>
    <definedName name="OSRRefT22_7x_0" localSheetId="59">'332'!$T$61</definedName>
    <definedName name="OSRRefT22_7x_0" localSheetId="54">'333'!$T$118</definedName>
    <definedName name="OSRRefT22_7x_0" localSheetId="74">'405'!$T$49</definedName>
    <definedName name="OSRRefT22_7x_0" localSheetId="76">'411'!$T$46</definedName>
    <definedName name="OSRRefT22_7x_0" localSheetId="80">'415'!$T$51</definedName>
    <definedName name="OSRRefT22_7x_0" localSheetId="81">'418'!$T$46</definedName>
    <definedName name="OSRRefT22_7x_0" localSheetId="85">'425'!$T$41</definedName>
    <definedName name="OSRRefT22_7x_0" localSheetId="88">'430'!$T$43</definedName>
    <definedName name="OSRRefT22_7x_0" localSheetId="89">'433'!$T$52</definedName>
    <definedName name="OSRRefT22_7x_0" localSheetId="91">'444'!$T$52</definedName>
    <definedName name="OSRRefT22_7x_0" localSheetId="92">'450'!$T$51</definedName>
    <definedName name="OSRRefT22_7x_0" localSheetId="73">'491'!$T$56</definedName>
    <definedName name="OSRRefT22_7x_0" localSheetId="87">'492'!$T$55</definedName>
    <definedName name="OSRRefT22_7x_0" localSheetId="94">'501'!$T$49:$T$52</definedName>
    <definedName name="OSRRefT22_7x_0" localSheetId="39">'Div 2'!$T$49</definedName>
    <definedName name="OSRRefT22_7x_0" localSheetId="47">'Div 3'!$T$169</definedName>
    <definedName name="OSRRefT22_7x_0" localSheetId="71">'Div 4'!$T$60</definedName>
    <definedName name="OSRRefT22_7x_0" localSheetId="93">'Div 5'!$T$49:$T$52</definedName>
    <definedName name="OSRRefT22_7x_0" localSheetId="61">'Div 6'!$T$83</definedName>
    <definedName name="OSRRefT22_7x_0" localSheetId="2">Summary!$T$198</definedName>
    <definedName name="OSRRefT22_8x_0" localSheetId="41">'201'!$T$46</definedName>
    <definedName name="OSRRefT22_8x_0" localSheetId="42">'202'!$T$48</definedName>
    <definedName name="OSRRefT22_8x_0" localSheetId="43">'203'!$T$50:$T$51</definedName>
    <definedName name="OSRRefT22_8x_0" localSheetId="44">'204'!$T$50</definedName>
    <definedName name="OSRRefT22_8x_0" localSheetId="48">'300'!$T$164</definedName>
    <definedName name="OSRRefT22_8x_0" localSheetId="49">'300 &amp; 317'!$T$188</definedName>
    <definedName name="OSRRefT22_8x_0" localSheetId="50">'301'!$T$56</definedName>
    <definedName name="OSRRefT22_8x_0" localSheetId="55">'307'!$T$69:$T$70</definedName>
    <definedName name="OSRRefT22_8x_0" localSheetId="51">'308'!$T$95</definedName>
    <definedName name="OSRRefT22_8x_0" localSheetId="65">'309'!$T$44:$T$45</definedName>
    <definedName name="OSRRefT22_8x_0" localSheetId="64">'310'!$T$64</definedName>
    <definedName name="OSRRefT22_8x_0" localSheetId="72">'310 &amp; 491'!$T$68:$T$69</definedName>
    <definedName name="OSRRefT22_8x_0" localSheetId="52">'311'!$T$95</definedName>
    <definedName name="OSRRefT22_8x_0" localSheetId="57">'315'!$T$118:$T$119</definedName>
    <definedName name="OSRRefT22_8x_0" localSheetId="60">'316'!$T$61:$T$63</definedName>
    <definedName name="OSRRefT22_8x_0" localSheetId="62">'317'!$T$85</definedName>
    <definedName name="OSRRefT22_8x_0" localSheetId="67">'321'!$T$57</definedName>
    <definedName name="OSRRefT22_8x_0" localSheetId="69">'325'!$T$50</definedName>
    <definedName name="OSRRefT22_8x_0" localSheetId="58">'326'!$T$81</definedName>
    <definedName name="OSRRefT22_8x_0" localSheetId="56">'331'!$T$118:$T$119</definedName>
    <definedName name="OSRRefT22_8x_0" localSheetId="59">'332'!$T$63:$T$65</definedName>
    <definedName name="OSRRefT22_8x_0" localSheetId="54">'333'!$T$120:$T$121</definedName>
    <definedName name="OSRRefT22_8x_0" localSheetId="74">'405'!$T$51</definedName>
    <definedName name="OSRRefT22_8x_0" localSheetId="76">'411'!$T$48</definedName>
    <definedName name="OSRRefT22_8x_0" localSheetId="80">'415'!$T$53</definedName>
    <definedName name="OSRRefT22_8x_0" localSheetId="81">'418'!$T$48:$T$49</definedName>
    <definedName name="OSRRefT22_8x_0" localSheetId="85">'425'!$T$43</definedName>
    <definedName name="OSRRefT22_8x_0" localSheetId="88">'430'!$T$45</definedName>
    <definedName name="OSRRefT22_8x_0" localSheetId="89">'433'!$T$54</definedName>
    <definedName name="OSRRefT22_8x_0" localSheetId="91">'444'!$T$54</definedName>
    <definedName name="OSRRefT22_8x_0" localSheetId="92">'450'!$T$53</definedName>
    <definedName name="OSRRefT22_8x_0" localSheetId="73">'491'!$T$58</definedName>
    <definedName name="OSRRefT22_8x_0" localSheetId="87">'492'!$T$57</definedName>
    <definedName name="OSRRefT22_8x_0" localSheetId="94">'501'!$T$54</definedName>
    <definedName name="OSRRefT22_8x_0" localSheetId="39">'Div 2'!$T$51</definedName>
    <definedName name="OSRRefT22_8x_0" localSheetId="47">'Div 3'!$T$171</definedName>
    <definedName name="OSRRefT22_8x_0" localSheetId="71">'Div 4'!$T$62</definedName>
    <definedName name="OSRRefT22_8x_0" localSheetId="93">'Div 5'!$T$54</definedName>
    <definedName name="OSRRefT22_8x_0" localSheetId="61">'Div 6'!$T$85</definedName>
    <definedName name="OSRRefT22_8x_0" localSheetId="2">Summary!$T$200</definedName>
    <definedName name="OSRRefT22_9x_0" localSheetId="41">'201'!$T$48:$T$50</definedName>
    <definedName name="OSRRefT22_9x_0" localSheetId="42">'202'!$T$50:$T$52</definedName>
    <definedName name="OSRRefT22_9x_0" localSheetId="43">'203'!$T$53:$T$54</definedName>
    <definedName name="OSRRefT22_9x_0" localSheetId="44">'204'!$T$52</definedName>
    <definedName name="OSRRefT22_9x_0" localSheetId="48">'300'!$T$166</definedName>
    <definedName name="OSRRefT22_9x_0" localSheetId="49">'300 &amp; 317'!$T$190</definedName>
    <definedName name="OSRRefT22_9x_0" localSheetId="50">'301'!$T$58</definedName>
    <definedName name="OSRRefT22_9x_0" localSheetId="55">'307'!$T$72:$T$73</definedName>
    <definedName name="OSRRefT22_9x_0" localSheetId="51">'308'!$T$97:$T$99</definedName>
    <definedName name="OSRRefT22_9x_0" localSheetId="65">'309'!$T$47:$T$48</definedName>
    <definedName name="OSRRefT22_9x_0" localSheetId="64">'310'!$T$66</definedName>
    <definedName name="OSRRefT22_9x_0" localSheetId="72">'310 &amp; 491'!$T$71</definedName>
    <definedName name="OSRRefT22_9x_0" localSheetId="52">'311'!$T$97:$T$99</definedName>
    <definedName name="OSRRefT22_9x_0" localSheetId="57">'315'!$T$121</definedName>
    <definedName name="OSRRefT22_9x_0" localSheetId="60">'316'!$T$65</definedName>
    <definedName name="OSRRefT22_9x_0" localSheetId="62">'317'!$T$87</definedName>
    <definedName name="OSRRefT22_9x_0" localSheetId="67">'321'!$T$59:$T$61</definedName>
    <definedName name="OSRRefT22_9x_0" localSheetId="69">'325'!$T$52</definedName>
    <definedName name="OSRRefT22_9x_0" localSheetId="58">'326'!$T$83</definedName>
    <definedName name="OSRRefT22_9x_0" localSheetId="56">'331'!$T$121</definedName>
    <definedName name="OSRRefT22_9x_0" localSheetId="59">'332'!$T$67</definedName>
    <definedName name="OSRRefT22_9x_0" localSheetId="54">'333'!$T$123</definedName>
    <definedName name="OSRRefT22_9x_0" localSheetId="74">'405'!$T$53</definedName>
    <definedName name="OSRRefT22_9x_0" localSheetId="76">'411'!$T$50</definedName>
    <definedName name="OSRRefT22_9x_0" localSheetId="80">'415'!$T$55</definedName>
    <definedName name="OSRRefT22_9x_0" localSheetId="81">'418'!$T$51</definedName>
    <definedName name="OSRRefT22_9x_0" localSheetId="89">'433'!$T$56</definedName>
    <definedName name="OSRRefT22_9x_0" localSheetId="91">'444'!$T$56</definedName>
    <definedName name="OSRRefT22_9x_0" localSheetId="92">'450'!$T$55</definedName>
    <definedName name="OSRRefT22_9x_0" localSheetId="73">'491'!$T$60</definedName>
    <definedName name="OSRRefT22_9x_0" localSheetId="87">'492'!$T$59</definedName>
    <definedName name="OSRRefT22_9x_0" localSheetId="94">'501'!$T$56:$T$57</definedName>
    <definedName name="OSRRefT22_9x_0" localSheetId="39">'Div 2'!$T$53:$T$54</definedName>
    <definedName name="OSRRefT22_9x_0" localSheetId="47">'Div 3'!$T$173</definedName>
    <definedName name="OSRRefT22_9x_0" localSheetId="71">'Div 4'!$T$64</definedName>
    <definedName name="OSRRefT22_9x_0" localSheetId="93">'Div 5'!$T$56:$T$57</definedName>
    <definedName name="OSRRefT22_9x_0" localSheetId="61">'Div 6'!$T$87</definedName>
    <definedName name="OSRRefT22_9x_0" localSheetId="2">Summary!$T$202</definedName>
    <definedName name="OSRRefT22x_0" localSheetId="40">'200'!$T$20,'200'!$T$22,'200'!$T$24,'200'!$T$26</definedName>
    <definedName name="OSRRefT22x_0" localSheetId="41">'201'!$T$20:$T$27,'201'!$T$29:$T$32,'201'!$T$34,'201'!$T$36,'201'!$T$38,'201'!$T$40,'201'!$T$42,'201'!$T$44,'201'!$T$46,'201'!$T$48:$T$50,'201'!$T$52:$T$54,'201'!$T$56,'201'!$T$58:$T$59,'201'!$T$61,'201'!$T$63</definedName>
    <definedName name="OSRRefT22x_0" localSheetId="42">'202'!$T$20:$T$27,'202'!$T$29:$T$31,'202'!$T$33,'202'!$T$35,'202'!$T$37,'202'!$T$39:$T$40,'202'!$T$42,'202'!$T$44:$T$46,'202'!$T$48,'202'!$T$50:$T$52,'202'!$T$54,'202'!$T$56,'202'!$T$58</definedName>
    <definedName name="OSRRefT22x_0" localSheetId="43">'203'!$T$20:$T$29,'203'!$T$31:$T$35,'203'!$T$37,'203'!$T$39,'203'!$T$41,'203'!$T$43,'203'!$T$45,'203'!$T$47:$T$48,'203'!$T$50:$T$51,'203'!$T$53:$T$54,'203'!$T$56:$T$59,'203'!$T$61,'203'!$T$63,'203'!$T$65</definedName>
    <definedName name="OSRRefT22x_0" localSheetId="44">'204'!$T$20:$T$28,'204'!$T$30:$T$32,'204'!$T$34,'204'!$T$36,'204'!$T$38,'204'!$T$40:$T$43,'204'!$T$45,'204'!$T$47:$T$48,'204'!$T$50,'204'!$T$52</definedName>
    <definedName name="OSRRefT22x_0" localSheetId="45">'205'!$T$20:$T$27,'205'!$T$29,'205'!$T$31,'205'!$T$33,'205'!$T$35:$T$37,'205'!$T$39:$T$41,'205'!$T$43</definedName>
    <definedName name="OSRRefT22x_0" localSheetId="46">'206'!$T$20:$T$27,'206'!$T$29:$T$32,'206'!$T$34,'206'!$T$36,'206'!$T$38,'206'!$T$40,'206'!$T$42</definedName>
    <definedName name="OSRRefT22x_0" localSheetId="48">'300'!$T$130:$T$139,'300'!$T$141:$T$147,'300'!$T$149,'300'!$T$151:$T$152,'300'!$T$154,'300'!$T$156:$T$157,'300'!$T$159:$T$160,'300'!$T$162,'300'!$T$164,'300'!$T$166,'300'!$T$168:$T$169,'300'!$T$171,'300'!$T$173,'300'!$T$175:$T$176,'300'!$T$178,'300'!$T$180,'300'!$T$182:$T$185,'300'!$T$187:$T$189,'300'!$T$191:$T$194,'300'!$T$196:$T$197,'300'!$T$199:$T$205,'300'!$T$207:$T$208,'300'!$T$210,'300'!$T$212:$T$214,'300'!$T$216</definedName>
    <definedName name="OSRRefT22x_0" localSheetId="49">'300 &amp; 317'!$T$154:$T$163,'300 &amp; 317'!$T$165:$T$171,'300 &amp; 317'!$T$173,'300 &amp; 317'!$T$175:$T$176,'300 &amp; 317'!$T$178,'300 &amp; 317'!$T$180:$T$181,'300 &amp; 317'!$T$183:$T$184,'300 &amp; 317'!$T$186,'300 &amp; 317'!$T$188,'300 &amp; 317'!$T$190,'300 &amp; 317'!$T$192:$T$193,'300 &amp; 317'!$T$195,'300 &amp; 317'!$T$197,'300 &amp; 317'!$T$199:$T$200,'300 &amp; 317'!$T$202,'300 &amp; 317'!$T$204,'300 &amp; 317'!$T$206:$T$209,'300 &amp; 317'!$T$211:$T$213,'300 &amp; 317'!$T$215:$T$218,'300 &amp; 317'!$T$220:$T$221,'300 &amp; 317'!$T$223:$T$229,'300 &amp; 317'!$T$231:$T$232,'300 &amp; 317'!$T$234,'300 &amp; 317'!$T$236:$T$238,'300 &amp; 317'!$T$240</definedName>
    <definedName name="OSRRefT22x_0" localSheetId="50">'301'!$T$22:$T$31,'301'!$T$33:$T$39,'301'!$T$41,'301'!$T$43:$T$44,'301'!$T$46,'301'!$T$48:$T$49,'301'!$T$51:$T$52,'301'!$T$54,'301'!$T$56,'301'!$T$58,'301'!$T$60,'301'!$T$62,'301'!$T$64,'301'!$T$66,'301'!$T$68,'301'!$T$70:$T$73,'301'!$T$75:$T$77,'301'!$T$79,'301'!$T$81:$T$86,'301'!$T$88,'301'!$T$90,'301'!$T$92:$T$94,'301'!$T$96</definedName>
    <definedName name="OSRRefT22x_0" localSheetId="55">'307'!$T$43:$T$49,'307'!$T$51:$T$54,'307'!$T$56,'307'!$T$58,'307'!$T$60:$T$61,'307'!$T$63,'307'!$T$65,'307'!$T$67,'307'!$T$69:$T$70,'307'!$T$72:$T$73,'307'!$T$75,'307'!$T$77:$T$80,'307'!$T$82,'307'!$T$84</definedName>
    <definedName name="OSRRefT22x_0" localSheetId="51">'308'!$T$63:$T$71,'308'!$T$73:$T$79,'308'!$T$81,'308'!$T$83:$T$84,'308'!$T$86,'308'!$T$88,'308'!$T$90:$T$91,'308'!$T$93,'308'!$T$95,'308'!$T$97:$T$99,'308'!$T$101:$T$102,'308'!$T$104:$T$105,'308'!$T$107:$T$108,'308'!$T$110,'308'!$T$112</definedName>
    <definedName name="OSRRefT22x_0" localSheetId="65">'309'!$T$26:$T$27,'309'!$T$29:$T$30,'309'!$T$32,'309'!$T$34,'309'!$T$36,'309'!$T$38,'309'!$T$40,'309'!$T$42,'309'!$T$44:$T$45,'309'!$T$47:$T$48,'309'!$T$50:$T$51,'309'!$T$53,'309'!$T$55</definedName>
    <definedName name="OSRRefT22x_0" localSheetId="64">'310'!$T$34:$T$42,'310'!$T$44:$T$49,'310'!$T$51,'310'!$T$53,'310'!$T$55,'310'!$T$57:$T$58,'310'!$T$60,'310'!$T$62,'310'!$T$64,'310'!$T$66,'310'!$T$68,'310'!$T$70,'310'!$T$72:$T$73,'310'!$T$75,'310'!$T$77:$T$80,'310'!$T$82:$T$87,'310'!$T$89,'310'!$T$91,'310'!$T$93</definedName>
    <definedName name="OSRRefT22x_0" localSheetId="72">'310 &amp; 491'!$T$37:$T$45,'310 &amp; 491'!$T$47:$T$53,'310 &amp; 491'!$T$55,'310 &amp; 491'!$T$57,'310 &amp; 491'!$T$59,'310 &amp; 491'!$T$61:$T$62,'310 &amp; 491'!$T$64,'310 &amp; 491'!$T$66,'310 &amp; 491'!$T$68:$T$69,'310 &amp; 491'!$T$71,'310 &amp; 491'!$T$73,'310 &amp; 491'!$T$75,'310 &amp; 491'!$T$77,'310 &amp; 491'!$T$79,'310 &amp; 491'!$T$81:$T$84,'310 &amp; 491'!$T$86,'310 &amp; 491'!$T$88:$T$91,'310 &amp; 491'!$T$93,'310 &amp; 491'!$T$95:$T$103,'310 &amp; 491'!$T$105,'310 &amp; 491'!$T$107,'310 &amp; 491'!$T$109:$T$110,'310 &amp; 491'!$T$112</definedName>
    <definedName name="OSRRefT22x_0" localSheetId="52">'311'!$T$63:$T$71,'311'!$T$73:$T$79,'311'!$T$81,'311'!$T$83:$T$84,'311'!$T$86,'311'!$T$88,'311'!$T$90:$T$91,'311'!$T$93,'311'!$T$95,'311'!$T$97:$T$99,'311'!$T$101:$T$102,'311'!$T$104:$T$105,'311'!$T$107:$T$108,'311'!$T$110,'311'!$T$112</definedName>
    <definedName name="OSRRefT22x_0" localSheetId="66">'313'!$T$25:$T$32,'313'!$T$34,'313'!$T$36,'313'!$T$38,'313'!$T$40,'313'!$T$42,'313'!$T$44,'313'!$T$46</definedName>
    <definedName name="OSRRefT22x_0" localSheetId="57">'315'!$T$88:$T$95,'315'!$T$97:$T$102,'315'!$T$104,'315'!$T$106:$T$107,'315'!$T$109,'315'!$T$111,'315'!$T$113:$T$114,'315'!$T$116,'315'!$T$118:$T$119,'315'!$T$121,'315'!$T$123:$T$124,'315'!$T$126:$T$127,'315'!$T$129:$T$130,'315'!$T$132:$T$136,'315'!$T$138,'315'!$T$140,'315'!$T$142</definedName>
    <definedName name="OSRRefT22x_0" localSheetId="60">'316'!$T$34:$T$41,'316'!$T$43:$T$46,'316'!$T$48,'316'!$T$50,'316'!$T$52,'316'!$T$54,'316'!$T$56:$T$57,'316'!$T$59,'316'!$T$61:$T$63,'316'!$T$65,'316'!$T$67,'316'!$T$69:$T$74,'316'!$T$76,'316'!$T$78</definedName>
    <definedName name="OSRRefT22x_0" localSheetId="62">'317'!$T$56:$T$64,'317'!$T$66:$T$70,'317'!$T$72,'317'!$T$74,'317'!$T$76,'317'!$T$78:$T$79,'317'!$T$81,'317'!$T$83,'317'!$T$85,'317'!$T$87,'317'!$T$89:$T$92,'317'!$T$94,'317'!$T$96</definedName>
    <definedName name="OSRRefT22x_0" localSheetId="63">'320'!$T$22:$T$23,'320'!$T$25,'320'!$T$27</definedName>
    <definedName name="OSRRefT22x_0" localSheetId="67">'321'!$T$27:$T$35,'321'!$T$37:$T$42,'321'!$T$44,'321'!$T$46,'321'!$T$48,'321'!$T$50,'321'!$T$52,'321'!$T$54:$T$55,'321'!$T$57,'321'!$T$59:$T$61,'321'!$T$63:$T$67,'321'!$T$69,'321'!$T$71,'321'!$T$73</definedName>
    <definedName name="OSRRefT22x_0" localSheetId="68">'322'!$T$21:$T$25,'322'!$T$27,'322'!$T$29,'322'!$T$31,'322'!$T$33:$T$34,'322'!$T$36,'322'!$T$38,'322'!$T$40</definedName>
    <definedName name="OSRRefT22x_0" localSheetId="69">'325'!$T$24:$T$31,'325'!$T$33:$T$35,'325'!$T$37,'325'!$T$39,'325'!$T$41,'325'!$T$43:$T$44,'325'!$T$46,'325'!$T$48,'325'!$T$50,'325'!$T$52,'325'!$T$54,'325'!$T$56:$T$57,'325'!$T$59:$T$62,'325'!$T$64:$T$69,'325'!$T$71,'325'!$T$73,'325'!$T$75</definedName>
    <definedName name="OSRRefT22x_0" localSheetId="58">'326'!$T$53:$T$60,'326'!$T$62:$T$67,'326'!$T$69,'326'!$T$71,'326'!$T$73,'326'!$T$75,'326'!$T$77,'326'!$T$79,'326'!$T$81,'326'!$T$83,'326'!$T$85,'326'!$T$87:$T$89,'326'!$T$91:$T$93,'326'!$T$95:$T$96,'326'!$T$98:$T$101,'326'!$T$103,'326'!$T$105,'326'!$T$107</definedName>
    <definedName name="OSRRefT22x_0" localSheetId="70">'327'!$T$24,'327'!$T$26</definedName>
    <definedName name="OSRRefT22x_0" localSheetId="56">'331'!$T$89:$T$96,'331'!$T$98:$T$103,'331'!$T$105,'331'!$T$107,'331'!$T$109,'331'!$T$111:$T$112,'331'!$T$114,'331'!$T$116,'331'!$T$118:$T$119,'331'!$T$121,'331'!$T$123,'331'!$T$125:$T$126,'331'!$T$128,'331'!$T$130,'331'!$T$132:$T$134,'331'!$T$136:$T$137,'331'!$T$139:$T$141,'331'!$T$143:$T$144,'331'!$T$146:$T$151,'331'!$T$153,'331'!$T$155,'331'!$T$157,'331'!$T$159</definedName>
    <definedName name="OSRRefT22x_0" localSheetId="59">'332'!$T$36:$T$43,'332'!$T$45:$T$48,'332'!$T$50,'332'!$T$52,'332'!$T$54,'332'!$T$56,'332'!$T$58:$T$59,'332'!$T$61,'332'!$T$63:$T$65,'332'!$T$67,'332'!$T$69,'332'!$T$71:$T$76,'332'!$T$78,'332'!$T$80</definedName>
    <definedName name="OSRRefT22x_0" localSheetId="54">'333'!$T$91:$T$98,'333'!$T$100:$T$105,'333'!$T$107,'333'!$T$109,'333'!$T$111,'333'!$T$113:$T$114,'333'!$T$116,'333'!$T$118,'333'!$T$120:$T$121,'333'!$T$123,'333'!$T$125,'333'!$T$127:$T$128,'333'!$T$130,'333'!$T$132,'333'!$T$134:$T$136,'333'!$T$138:$T$139,'333'!$T$141:$T$144,'333'!$T$146:$T$147,'333'!$T$149:$T$154,'333'!$T$156,'333'!$T$158,'333'!$T$160,'333'!$T$162</definedName>
    <definedName name="OSRRefT22x_0" localSheetId="74">'405'!$T$24:$T$31,'405'!$T$33:$T$36,'405'!$T$38,'405'!$T$40,'405'!$T$42,'405'!$T$44:$T$45,'405'!$T$47,'405'!$T$49,'405'!$T$51,'405'!$T$53,'405'!$T$55:$T$56,'405'!$T$58:$T$61,'405'!$T$63,'405'!$T$65:$T$73,'405'!$T$75,'405'!$T$77,'405'!$T$79</definedName>
    <definedName name="OSRRefT22x_0" localSheetId="75">'406'!$T$20,'406'!$T$22,'406'!$T$24,'406'!$T$26,'406'!$T$28</definedName>
    <definedName name="OSRRefT22x_0" localSheetId="76">'411'!$T$20:$T$27,'411'!$T$29:$T$33,'411'!$T$35,'411'!$T$37,'411'!$T$39:$T$40,'411'!$T$42,'411'!$T$44,'411'!$T$46,'411'!$T$48,'411'!$T$50,'411'!$T$52,'411'!$T$54:$T$57,'411'!$T$59:$T$61,'411'!$T$63,'411'!$T$65:$T$67,'411'!$T$69,'411'!$T$71:$T$72,'411'!$T$74</definedName>
    <definedName name="OSRRefT22x_0" localSheetId="77">'412'!$T$20,'412'!$T$22,'412'!$T$24,'412'!$T$26:$T$27,'412'!$T$29,'412'!$T$31</definedName>
    <definedName name="OSRRefT22x_0" localSheetId="78">'413'!$T$20:$T$24,'413'!$T$26,'413'!$T$28,'413'!$T$30,'413'!$T$32,'413'!$T$34</definedName>
    <definedName name="OSRRefT22x_0" localSheetId="79">'414'!$T$22,'414'!$T$24,'414'!$T$26,'414'!$T$28,'414'!$T$30,'414'!$T$32:$T$33</definedName>
    <definedName name="OSRRefT22x_0" localSheetId="80">'415'!$T$24:$T$32,'415'!$T$34:$T$38,'415'!$T$40,'415'!$T$42,'415'!$T$44,'415'!$T$46:$T$47,'415'!$T$49,'415'!$T$51,'415'!$T$53,'415'!$T$55,'415'!$T$57,'415'!$T$59:$T$60,'415'!$T$62:$T$65,'415'!$T$67,'415'!$T$69:$T$75,'415'!$T$77,'415'!$T$79,'415'!$T$81</definedName>
    <definedName name="OSRRefT22x_0" localSheetId="81">'418'!$T$21:$T$28,'418'!$T$30:$T$33,'418'!$T$35,'418'!$T$37,'418'!$T$39:$T$40,'418'!$T$42,'418'!$T$44,'418'!$T$46,'418'!$T$48:$T$49,'418'!$T$51,'418'!$T$53,'418'!$T$55:$T$61,'418'!$T$63,'418'!$T$65</definedName>
    <definedName name="OSRRefT22x_0" localSheetId="82">'420'!$T$22,'420'!$T$24</definedName>
    <definedName name="OSRRefT22x_0" localSheetId="83">'423'!$T$20:$T$21,'423'!$T$23,'423'!$T$25,'423'!$T$27</definedName>
    <definedName name="OSRRefT22x_0" localSheetId="84">'424'!$T$20,'424'!$T$22,'424'!$T$24,'424'!$T$26</definedName>
    <definedName name="OSRRefT22x_0" localSheetId="85">'425'!$T$22:$T$26,'425'!$T$28,'425'!$T$30,'425'!$T$32,'425'!$T$34,'425'!$T$36:$T$37,'425'!$T$39,'425'!$T$41,'425'!$T$43</definedName>
    <definedName name="OSRRefT22x_0" localSheetId="88">'430'!$T$20:$T$27,'430'!$T$29,'430'!$T$31,'430'!$T$33,'430'!$T$35,'430'!$T$37:$T$39,'430'!$T$41,'430'!$T$43,'430'!$T$45</definedName>
    <definedName name="OSRRefT22x_0" localSheetId="89">'433'!$T$25:$T$33,'433'!$T$35:$T$40,'433'!$T$42,'433'!$T$44,'433'!$T$46,'433'!$T$48,'433'!$T$50,'433'!$T$52,'433'!$T$54,'433'!$T$56,'433'!$T$58,'433'!$T$60:$T$61,'433'!$T$63:$T$65,'433'!$T$67:$T$74,'433'!$T$76,'433'!$T$78</definedName>
    <definedName name="OSRRefT22x_0" localSheetId="90">'435'!$T$23:$T$24,'435'!$T$26,'435'!$T$28,'435'!$T$30,'435'!$T$32,'435'!$T$34</definedName>
    <definedName name="OSRRefT22x_0" localSheetId="91">'444'!$T$25:$T$33,'444'!$T$35:$T$40,'444'!$T$42,'444'!$T$44,'444'!$T$46,'444'!$T$48,'444'!$T$50,'444'!$T$52,'444'!$T$54,'444'!$T$56,'444'!$T$58,'444'!$T$60:$T$61,'444'!$T$63:$T$66,'444'!$T$68,'444'!$T$70:$T$77,'444'!$T$79,'444'!$T$81,'444'!$T$83</definedName>
    <definedName name="OSRRefT22x_0" localSheetId="92">'450'!$T$25:$T$33,'450'!$T$35:$T$39,'450'!$T$41,'450'!$T$43,'450'!$T$45,'450'!$T$47,'450'!$T$49,'450'!$T$51,'450'!$T$53,'450'!$T$55,'450'!$T$57,'450'!$T$59,'450'!$T$61:$T$62,'450'!$T$64:$T$66,'450'!$T$68:$T$73,'450'!$T$75,'450'!$T$77,'450'!$T$79</definedName>
    <definedName name="OSRRefT22x_0" localSheetId="73">'491'!$T$28:$T$36,'491'!$T$38:$T$43,'491'!$T$45,'491'!$T$47,'491'!$T$49,'491'!$T$51:$T$52,'491'!$T$54,'491'!$T$56,'491'!$T$58,'491'!$T$60,'491'!$T$62,'491'!$T$64,'491'!$T$66,'491'!$T$68,'491'!$T$70:$T$73,'491'!$T$75,'491'!$T$77:$T$80,'491'!$T$82,'491'!$T$84:$T$92,'491'!$T$94,'491'!$T$96,'491'!$T$98:$T$99,'491'!$T$101</definedName>
    <definedName name="OSRRefT22x_0" localSheetId="87">'492'!$T$27:$T$35,'492'!$T$37:$T$43,'492'!$T$45,'492'!$T$47,'492'!$T$49,'492'!$T$51,'492'!$T$53,'492'!$T$55,'492'!$T$57,'492'!$T$59,'492'!$T$61,'492'!$T$63,'492'!$T$65:$T$67,'492'!$T$69:$T$72,'492'!$T$74,'492'!$T$76:$T$83,'492'!$T$85,'492'!$T$87,'492'!$T$89:$T$91</definedName>
    <definedName name="OSRRefT22x_0" localSheetId="94">'501'!$T$21:$T$29,'501'!$T$31:$T$36,'501'!$T$38,'501'!$T$40,'501'!$T$42:$T$43,'501'!$T$45,'501'!$T$47,'501'!$T$49:$T$52,'501'!$T$54,'501'!$T$56:$T$57,'501'!$T$59,'501'!$T$61</definedName>
    <definedName name="OSRRefT22x_0" localSheetId="39">'Div 2'!$T$20:$T$30,'Div 2'!$T$32:$T$37,'Div 2'!$T$39,'Div 2'!$T$41,'Div 2'!$T$43,'Div 2'!$T$45,'Div 2'!$T$47,'Div 2'!$T$49,'Div 2'!$T$51,'Div 2'!$T$53:$T$54,'Div 2'!$T$56,'Div 2'!$T$58,'Div 2'!$T$60:$T$62,'Div 2'!$T$64:$T$67,'Div 2'!$T$69,'Div 2'!$T$71:$T$72,'Div 2'!$T$74:$T$78,'Div 2'!$T$80:$T$81,'Div 2'!$T$83,'Div 2'!$T$85:$T$86</definedName>
    <definedName name="OSRRefT22x_0" localSheetId="47">'Div 3'!$T$137:$T$146,'Div 3'!$T$148:$T$154,'Div 3'!$T$156,'Div 3'!$T$158:$T$159,'Div 3'!$T$161,'Div 3'!$T$163:$T$164,'Div 3'!$T$166:$T$167,'Div 3'!$T$169,'Div 3'!$T$171,'Div 3'!$T$173,'Div 3'!$T$175:$T$176,'Div 3'!$T$178,'Div 3'!$T$180,'Div 3'!$T$182,'Div 3'!$T$184:$T$185,'Div 3'!$T$187,'Div 3'!$T$189,'Div 3'!$T$191:$T$194,'Div 3'!$T$196:$T$198,'Div 3'!$T$200:$T$204,'Div 3'!$T$206:$T$207,'Div 3'!$T$209:$T$215,'Div 3'!$T$217:$T$218,'Div 3'!$T$220,'Div 3'!$T$222:$T$224,'Div 3'!$T$226</definedName>
    <definedName name="OSRRefT22x_0" localSheetId="71">'Div 4'!$T$31:$T$39,'Div 4'!$T$41:$T$47,'Div 4'!$T$49,'Div 4'!$T$51,'Div 4'!$T$53,'Div 4'!$T$55:$T$56,'Div 4'!$T$58,'Div 4'!$T$60,'Div 4'!$T$62,'Div 4'!$T$64,'Div 4'!$T$66,'Div 4'!$T$68,'Div 4'!$T$70,'Div 4'!$T$72,'Div 4'!$T$74,'Div 4'!$T$76,'Div 4'!$T$78:$T$81,'Div 4'!$T$83,'Div 4'!$T$85:$T$88,'Div 4'!$T$90:$T$91,'Div 4'!$T$93:$T$101,'Div 4'!$T$103,'Div 4'!$T$105,'Div 4'!$T$107:$T$109,'Div 4'!$T$111</definedName>
    <definedName name="OSRRefT22x_0" localSheetId="93">'Div 5'!$T$21:$T$29,'Div 5'!$T$31:$T$36,'Div 5'!$T$38,'Div 5'!$T$40,'Div 5'!$T$42:$T$43,'Div 5'!$T$45,'Div 5'!$T$47,'Div 5'!$T$49:$T$52,'Div 5'!$T$54,'Div 5'!$T$56:$T$57,'Div 5'!$T$59,'Div 5'!$T$61</definedName>
    <definedName name="OSRRefT22x_0" localSheetId="61">'Div 6'!$T$56:$T$64,'Div 6'!$T$66:$T$70,'Div 6'!$T$72,'Div 6'!$T$74,'Div 6'!$T$76,'Div 6'!$T$78:$T$79,'Div 6'!$T$81,'Div 6'!$T$83,'Div 6'!$T$85,'Div 6'!$T$87,'Div 6'!$T$89:$T$92,'Div 6'!$T$94,'Div 6'!$T$96</definedName>
    <definedName name="OSRRefT22x_0" localSheetId="2">Summary!$T$166:$T$175,Summary!$T$177:$T$183,Summary!$T$185,Summary!$T$187:$T$188,Summary!$T$190,Summary!$T$192:$T$193,Summary!$T$195:$T$196,Summary!$T$198,Summary!$T$200,Summary!$T$202,Summary!$T$204:$T$205,Summary!$T$207,Summary!$T$209,Summary!$T$211,Summary!$T$213:$T$214,Summary!$T$216,Summary!$T$218,Summary!$T$220,Summary!$T$222:$T$225,Summary!$T$227:$T$229,Summary!$T$231:$T$235,Summary!$T$237:$T$238,Summary!$T$240:$T$248,Summary!$T$250:$T$251,Summary!$T$253,Summary!$T$255:$T$257,Summary!$T$259</definedName>
    <definedName name="OSRRefT25x_0" localSheetId="48">'300'!$T$219:$T$223</definedName>
    <definedName name="OSRRefT25x_0" localSheetId="49">'300 &amp; 317'!$T$243:$T$249</definedName>
    <definedName name="OSRRefT25x_0" localSheetId="50">'301'!$T$99</definedName>
    <definedName name="OSRRefT25x_0" localSheetId="51">'308'!$T$115:$T$117</definedName>
    <definedName name="OSRRefT25x_0" localSheetId="72">'310 &amp; 491'!$T$115:$T$117</definedName>
    <definedName name="OSRRefT25x_0" localSheetId="52">'311'!$T$115:$T$117</definedName>
    <definedName name="OSRRefT25x_0" localSheetId="57">'315'!$T$145:$T$147</definedName>
    <definedName name="OSRRefT25x_0" localSheetId="60">'316'!$T$81</definedName>
    <definedName name="OSRRefT25x_0" localSheetId="62">'317'!$T$99:$T$101</definedName>
    <definedName name="OSRRefT25x_0" localSheetId="63">'320'!$T$30</definedName>
    <definedName name="OSRRefT25x_0" localSheetId="56">'331'!$T$162:$T$164</definedName>
    <definedName name="OSRRefT25x_0" localSheetId="59">'332'!$T$83:$T$84</definedName>
    <definedName name="OSRRefT25x_0" localSheetId="54">'333'!$T$165:$T$167</definedName>
    <definedName name="OSRRefT25x_0" localSheetId="74">'405'!$T$82</definedName>
    <definedName name="OSRRefT25x_0" localSheetId="76">'411'!$T$77:$T$78</definedName>
    <definedName name="OSRRefT25x_0" localSheetId="80">'415'!$T$84</definedName>
    <definedName name="OSRRefT25x_0" localSheetId="81">'418'!$T$68</definedName>
    <definedName name="OSRRefT25x_0" localSheetId="83">'423'!$T$30</definedName>
    <definedName name="OSRRefT25x_0" localSheetId="86">'455'!$T$21:$T$22</definedName>
    <definedName name="OSRRefT25x_0" localSheetId="73">'491'!$T$104:$T$106</definedName>
    <definedName name="OSRRefT25x_0" localSheetId="94">'501'!$T$64</definedName>
    <definedName name="OSRRefT25x_0" localSheetId="47">'Div 3'!$T$229:$T$233</definedName>
    <definedName name="OSRRefT25x_0" localSheetId="71">'Div 4'!$T$114:$T$116</definedName>
    <definedName name="OSRRefT25x_0" localSheetId="93">'Div 5'!$T$64</definedName>
    <definedName name="OSRRefT25x_0" localSheetId="61">'Div 6'!$T$99:$T$101</definedName>
    <definedName name="OSRRefT25x_0" localSheetId="2">Summary!$T$262:$T$270</definedName>
    <definedName name="_xlnm.Print_Area" localSheetId="38">'100'!$A$1:$Z$34</definedName>
    <definedName name="_xlnm.Print_Area" localSheetId="40">'200'!$A$1:$Z$40</definedName>
    <definedName name="_xlnm.Print_Area" localSheetId="41">'201'!$A$1:$Z$77</definedName>
    <definedName name="_xlnm.Print_Area" localSheetId="42">'202'!$A$1:$Z$72</definedName>
    <definedName name="_xlnm.Print_Area" localSheetId="43">'203'!$A$1:$Z$79</definedName>
    <definedName name="_xlnm.Print_Area" localSheetId="44">'204'!$A$1:$Z$66</definedName>
    <definedName name="_xlnm.Print_Area" localSheetId="45">'205'!$A$1:$Z$57</definedName>
    <definedName name="_xlnm.Print_Area" localSheetId="46">'206'!$A$1:$Z$56</definedName>
    <definedName name="_xlnm.Print_Area" localSheetId="48">'300'!$A$1:$Z$235</definedName>
    <definedName name="_xlnm.Print_Area" localSheetId="49">'300 &amp; 317'!$A$1:$Z$261</definedName>
    <definedName name="_xlnm.Print_Area" localSheetId="50">'301'!$A$1:$Z$111</definedName>
    <definedName name="_xlnm.Print_Area" localSheetId="55">'307'!$A$1:$Z$98</definedName>
    <definedName name="_xlnm.Print_Area" localSheetId="51">'308'!$A$1:$Z$129</definedName>
    <definedName name="_xlnm.Print_Area" localSheetId="65">'309'!$A$1:$Z$69</definedName>
    <definedName name="_xlnm.Print_Area" localSheetId="64">'310'!$A$1:$Z$107</definedName>
    <definedName name="_xlnm.Print_Area" localSheetId="72">'310 &amp; 491'!$A$1:$Z$129</definedName>
    <definedName name="_xlnm.Print_Area" localSheetId="52">'311'!$A$1:$Z$129</definedName>
    <definedName name="_xlnm.Print_Area" localSheetId="66">'313'!$A$1:$Z$60</definedName>
    <definedName name="_xlnm.Print_Area" localSheetId="57">'315'!$A$1:$Z$159</definedName>
    <definedName name="_xlnm.Print_Area" localSheetId="60">'316'!$A$1:$Z$93</definedName>
    <definedName name="_xlnm.Print_Area" localSheetId="62">'317'!$A$1:$Z$113</definedName>
    <definedName name="_xlnm.Print_Area" localSheetId="63">'320'!$A$1:$Z$42</definedName>
    <definedName name="_xlnm.Print_Area" localSheetId="67">'321'!$A$1:$Z$87</definedName>
    <definedName name="_xlnm.Print_Area" localSheetId="68">'322'!$A$1:$Z$54</definedName>
    <definedName name="_xlnm.Print_Area" localSheetId="53">'324'!$A$1:$Z$39</definedName>
    <definedName name="_xlnm.Print_Area" localSheetId="69">'325'!$A$1:$Z$89</definedName>
    <definedName name="_xlnm.Print_Area" localSheetId="58">'326'!$A$1:$Z$121</definedName>
    <definedName name="_xlnm.Print_Area" localSheetId="70">'327'!$A$1:$Z$40</definedName>
    <definedName name="_xlnm.Print_Area" localSheetId="56">'331'!$A$1:$Z$176</definedName>
    <definedName name="_xlnm.Print_Area" localSheetId="59">'332'!$A$1:$Z$96</definedName>
    <definedName name="_xlnm.Print_Area" localSheetId="54">'333'!$A$1:$Z$179</definedName>
    <definedName name="_xlnm.Print_Area" localSheetId="74">'405'!$A$1:$Z$94</definedName>
    <definedName name="_xlnm.Print_Area" localSheetId="75">'406'!$A$1:$Z$42</definedName>
    <definedName name="_xlnm.Print_Area" localSheetId="76">'411'!$A$1:$Z$90</definedName>
    <definedName name="_xlnm.Print_Area" localSheetId="77">'412'!$A$1:$Z$45</definedName>
    <definedName name="_xlnm.Print_Area" localSheetId="78">'413'!$A$1:$Z$48</definedName>
    <definedName name="_xlnm.Print_Area" localSheetId="79">'414'!$A$1:$Z$47</definedName>
    <definedName name="_xlnm.Print_Area" localSheetId="80">'415'!$A$1:$Z$96</definedName>
    <definedName name="_xlnm.Print_Area" localSheetId="81">'418'!$A$1:$Z$80</definedName>
    <definedName name="_xlnm.Print_Area" localSheetId="82">'420'!$A$1:$Z$38</definedName>
    <definedName name="_xlnm.Print_Area" localSheetId="83">'423'!$A$1:$Z$42</definedName>
    <definedName name="_xlnm.Print_Area" localSheetId="84">'424'!$A$1:$Z$40</definedName>
    <definedName name="_xlnm.Print_Area" localSheetId="85">'425'!$A$1:$Z$57</definedName>
    <definedName name="_xlnm.Print_Area" localSheetId="88">'430'!$A$1:$Z$59</definedName>
    <definedName name="_xlnm.Print_Area" localSheetId="89">'433'!$A$1:$Z$92</definedName>
    <definedName name="_xlnm.Print_Area" localSheetId="90">'435'!$A$1:$Z$48</definedName>
    <definedName name="_xlnm.Print_Area" localSheetId="91">'444'!$A$1:$Z$97</definedName>
    <definedName name="_xlnm.Print_Area" localSheetId="92">'450'!$A$1:$Z$93</definedName>
    <definedName name="_xlnm.Print_Area" localSheetId="86">'455'!$A$1:$Z$34</definedName>
    <definedName name="_xlnm.Print_Area" localSheetId="73">'491'!$A$1:$Z$118</definedName>
    <definedName name="_xlnm.Print_Area" localSheetId="87">'492'!$A$1:$Z$105</definedName>
    <definedName name="_xlnm.Print_Area" localSheetId="94">'501'!$A$1:$Z$76</definedName>
    <definedName name="_xlnm.Print_Area" localSheetId="95">Dept!$A$1:$Z$39</definedName>
    <definedName name="_xlnm.Print_Area" localSheetId="5">'Div 1'!$A$1:$Z$34</definedName>
    <definedName name="_xlnm.Print_Area" localSheetId="39">'Div 2'!$A$1:$Z$100</definedName>
    <definedName name="_xlnm.Print_Area" localSheetId="47">'Div 3'!$A$1:$Z$245</definedName>
    <definedName name="_xlnm.Print_Area" localSheetId="71">'Div 4'!$A$1:$Z$128</definedName>
    <definedName name="_xlnm.Print_Area" localSheetId="93">'Div 5'!$A$1:$Z$76</definedName>
    <definedName name="_xlnm.Print_Area" localSheetId="61">'Div 6'!$A$1:$Z$113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8">'OSR_310 &amp; 491_1NGRCS9'!$A$1:$Z$39</definedName>
    <definedName name="_xlnm.Print_Area" localSheetId="18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0">'OSR_330 (2)_...8a14c83e_1NSH7XI'!$A$1:$Z$39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5">OSR_333_69UF5U!$A$1:$Z$39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6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7">'OSR_Summary (...56e5d78f_5JEYZH'!$A$1:$Z$39</definedName>
    <definedName name="_xlnm.Print_Area" localSheetId="3">OSR_Summary_18VAVWG!$A$1:$Z$39</definedName>
    <definedName name="_xlnm.Print_Area" localSheetId="2">Summary!$A$1:$Z$284</definedName>
    <definedName name="_xlnm.Print_Titles" localSheetId="38">'100'!$1:$10</definedName>
    <definedName name="_xlnm.Print_Titles" localSheetId="40">'200'!$1:$10</definedName>
    <definedName name="_xlnm.Print_Titles" localSheetId="41">'201'!$1:$10</definedName>
    <definedName name="_xlnm.Print_Titles" localSheetId="42">'202'!$1:$10</definedName>
    <definedName name="_xlnm.Print_Titles" localSheetId="43">'203'!$1:$10</definedName>
    <definedName name="_xlnm.Print_Titles" localSheetId="44">'204'!$1:$10</definedName>
    <definedName name="_xlnm.Print_Titles" localSheetId="45">'205'!$1:$10</definedName>
    <definedName name="_xlnm.Print_Titles" localSheetId="46">'206'!$1:$10</definedName>
    <definedName name="_xlnm.Print_Titles" localSheetId="48">'300'!$1:$10</definedName>
    <definedName name="_xlnm.Print_Titles" localSheetId="49">'300 &amp; 317'!$1:$10</definedName>
    <definedName name="_xlnm.Print_Titles" localSheetId="50">'301'!$1:$10</definedName>
    <definedName name="_xlnm.Print_Titles" localSheetId="55">'307'!$1:$10</definedName>
    <definedName name="_xlnm.Print_Titles" localSheetId="51">'308'!$1:$10</definedName>
    <definedName name="_xlnm.Print_Titles" localSheetId="65">'309'!$1:$10</definedName>
    <definedName name="_xlnm.Print_Titles" localSheetId="64">'310'!$1:$10</definedName>
    <definedName name="_xlnm.Print_Titles" localSheetId="72">'310 &amp; 491'!$1:$10</definedName>
    <definedName name="_xlnm.Print_Titles" localSheetId="52">'311'!$1:$10</definedName>
    <definedName name="_xlnm.Print_Titles" localSheetId="66">'313'!$1:$10</definedName>
    <definedName name="_xlnm.Print_Titles" localSheetId="57">'315'!$1:$10</definedName>
    <definedName name="_xlnm.Print_Titles" localSheetId="60">'316'!$1:$10</definedName>
    <definedName name="_xlnm.Print_Titles" localSheetId="62">'317'!$1:$10</definedName>
    <definedName name="_xlnm.Print_Titles" localSheetId="63">'320'!$1:$10</definedName>
    <definedName name="_xlnm.Print_Titles" localSheetId="67">'321'!$1:$10</definedName>
    <definedName name="_xlnm.Print_Titles" localSheetId="68">'322'!$1:$10</definedName>
    <definedName name="_xlnm.Print_Titles" localSheetId="53">'324'!$1:$10</definedName>
    <definedName name="_xlnm.Print_Titles" localSheetId="69">'325'!$1:$10</definedName>
    <definedName name="_xlnm.Print_Titles" localSheetId="58">'326'!$1:$10</definedName>
    <definedName name="_xlnm.Print_Titles" localSheetId="70">'327'!$1:$10</definedName>
    <definedName name="_xlnm.Print_Titles" localSheetId="56">'331'!$1:$10</definedName>
    <definedName name="_xlnm.Print_Titles" localSheetId="59">'332'!$1:$10</definedName>
    <definedName name="_xlnm.Print_Titles" localSheetId="54">'333'!$1:$10</definedName>
    <definedName name="_xlnm.Print_Titles" localSheetId="74">'405'!$1:$10</definedName>
    <definedName name="_xlnm.Print_Titles" localSheetId="75">'406'!$1:$10</definedName>
    <definedName name="_xlnm.Print_Titles" localSheetId="76">'411'!$1:$10</definedName>
    <definedName name="_xlnm.Print_Titles" localSheetId="77">'412'!$1:$10</definedName>
    <definedName name="_xlnm.Print_Titles" localSheetId="78">'413'!$1:$10</definedName>
    <definedName name="_xlnm.Print_Titles" localSheetId="79">'414'!$1:$10</definedName>
    <definedName name="_xlnm.Print_Titles" localSheetId="80">'415'!$1:$10</definedName>
    <definedName name="_xlnm.Print_Titles" localSheetId="81">'418'!$1:$10</definedName>
    <definedName name="_xlnm.Print_Titles" localSheetId="82">'420'!$1:$10</definedName>
    <definedName name="_xlnm.Print_Titles" localSheetId="83">'423'!$1:$10</definedName>
    <definedName name="_xlnm.Print_Titles" localSheetId="84">'424'!$1:$10</definedName>
    <definedName name="_xlnm.Print_Titles" localSheetId="85">'425'!$1:$10</definedName>
    <definedName name="_xlnm.Print_Titles" localSheetId="88">'430'!$1:$10</definedName>
    <definedName name="_xlnm.Print_Titles" localSheetId="89">'433'!$1:$10</definedName>
    <definedName name="_xlnm.Print_Titles" localSheetId="90">'435'!$1:$10</definedName>
    <definedName name="_xlnm.Print_Titles" localSheetId="91">'444'!$1:$10</definedName>
    <definedName name="_xlnm.Print_Titles" localSheetId="92">'450'!$1:$10</definedName>
    <definedName name="_xlnm.Print_Titles" localSheetId="86">'455'!$1:$10</definedName>
    <definedName name="_xlnm.Print_Titles" localSheetId="73">'491'!$1:$10</definedName>
    <definedName name="_xlnm.Print_Titles" localSheetId="87">'492'!$1:$10</definedName>
    <definedName name="_xlnm.Print_Titles" localSheetId="94">'501'!$1:$10</definedName>
    <definedName name="_xlnm.Print_Titles" localSheetId="95">Dept!$A:$C,Dept!$1:$10</definedName>
    <definedName name="_xlnm.Print_Titles" localSheetId="5">'Div 1'!$1:$10</definedName>
    <definedName name="_xlnm.Print_Titles" localSheetId="39">'Div 2'!$1:$10</definedName>
    <definedName name="_xlnm.Print_Titles" localSheetId="47">'Div 3'!$1:$10</definedName>
    <definedName name="_xlnm.Print_Titles" localSheetId="71">'Div 4'!$1:$10</definedName>
    <definedName name="_xlnm.Print_Titles" localSheetId="93">'Div 5'!$1:$10</definedName>
    <definedName name="_xlnm.Print_Titles" localSheetId="61">'Div 6'!$1:$10</definedName>
    <definedName name="_xlnm.Print_Titles" localSheetId="14">'OSR_300 &amp; 317_1C00ID4'!$1:$10</definedName>
    <definedName name="_xlnm.Print_Titles" localSheetId="11">'OSR_300 (2)_7...54cb56fc_UFX0O2'!$1:$10</definedName>
    <definedName name="_xlnm.Print_Titles" localSheetId="15">'OSR_300 (2)_c...79cd3046_1TJM0H'!$1:$10</definedName>
    <definedName name="_xlnm.Print_Titles" localSheetId="17">'OSR_300 (2)_e...5d0da5bf_6BPGAO'!$1:$10</definedName>
    <definedName name="_xlnm.Print_Titles" localSheetId="12">OSR_300_IYZXI6!$A:$C,OSR_300_IYZXI6!$1:$10</definedName>
    <definedName name="_xlnm.Print_Titles" localSheetId="22">'OSR_308 (2)_...47685838_1YQW4QY'!$1:$10</definedName>
    <definedName name="_xlnm.Print_Titles" localSheetId="19">OSR_308_UAWDAG!$A:$C,OSR_308_UAWDAG!$1:$10</definedName>
    <definedName name="_xlnm.Print_Titles" localSheetId="28">'OSR_310 &amp; 491_1NGRCS9'!$1:$10</definedName>
    <definedName name="_xlnm.Print_Titles" localSheetId="18">'OSR_310 (2)_...6e684f08_1FLCNJG'!$1:$10</definedName>
    <definedName name="_xlnm.Print_Titles" localSheetId="27">'OSR_310 (2)_...8cac1423_1JTU33X'!$1:$10</definedName>
    <definedName name="_xlnm.Print_Titles" localSheetId="16">OSR_310_1CMTOSB!$A:$C,OSR_310_1CMTOSB!$1:$10</definedName>
    <definedName name="_xlnm.Print_Titles" localSheetId="20">'OSR_330 (2)_...8a14c83e_1NSH7XI'!$1:$10</definedName>
    <definedName name="_xlnm.Print_Titles" localSheetId="24">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5">OSR_333_69UF5U!$A:$C,OSR_333_69UF5U!$1:$10</definedName>
    <definedName name="_xlnm.Print_Titles" localSheetId="29">'OSR_491 (2)_0...c51cc666_QIOT67'!$1:$10</definedName>
    <definedName name="_xlnm.Print_Titles" localSheetId="30">OSR_491_9Z9JH5!$A:$C,OSR_491_9Z9JH5!$1:$10</definedName>
    <definedName name="_xlnm.Print_Titles" localSheetId="35">'OSR_492 (2)_...cd97c6a6_13HYXEV'!$1:$10</definedName>
    <definedName name="_xlnm.Print_Titles" localSheetId="32">OSR_492_943FP1!$A:$C,OSR_492_943FP1!$1:$10</definedName>
    <definedName name="_xlnm.Print_Titles" localSheetId="4">'OSR_Current ...69b7dd8c_1IEQKFK'!$1:$10</definedName>
    <definedName name="_xlnm.Print_Titles" localSheetId="96">OSR_Dept_Y0WUKY!$A:$C,OSR_Dept_Y0WUKY!$1:$10</definedName>
    <definedName name="_xlnm.Print_Titles" localSheetId="9">'OSR_Div 1 (2)...789fe994_2NV3KA'!$1:$10</definedName>
    <definedName name="_xlnm.Print_Titles" localSheetId="6">'OSR_Div 1_7H47HR'!$1:$10</definedName>
    <definedName name="_xlnm.Print_Titles" localSheetId="8">'OSR_Div 2_1PQ800A'!$1:$10</definedName>
    <definedName name="_xlnm.Print_Titles" localSheetId="7">'OSR_Div 3 (2)...4cb81c06_PBSMLS'!$1:$10</definedName>
    <definedName name="_xlnm.Print_Titles" localSheetId="13">'OSR_Div 3 (2)...b7db256a_40ITCB'!$1:$10</definedName>
    <definedName name="_xlnm.Print_Titles" localSheetId="10">'OSR_Div 3_18723PH'!$1:$10</definedName>
    <definedName name="_xlnm.Print_Titles" localSheetId="33">'OSR_Div 4 (2)...1a9a4454_CQFRNE'!$1:$10</definedName>
    <definedName name="_xlnm.Print_Titles" localSheetId="31">'OSR_Div 4 (2...2533da42_174R6QX'!$1:$10</definedName>
    <definedName name="_xlnm.Print_Titles" localSheetId="26">'OSR_Div 4_1740TMT'!$1:$10</definedName>
    <definedName name="_xlnm.Print_Titles" localSheetId="37">'OSR_Div 5 (2...09141158_1BG9FGV'!$1:$10</definedName>
    <definedName name="_xlnm.Print_Titles" localSheetId="34">'OSR_Div 5_16NAZO2'!$1:$10</definedName>
    <definedName name="_xlnm.Print_Titles" localSheetId="36">'OSR_Div 6_P37YY7'!$1:$10</definedName>
    <definedName name="_xlnm.Print_Titles" localSheetId="97">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H33" i="100"/>
  <c r="N33" i="100" s="1"/>
  <c r="D33" i="100"/>
  <c r="T29" i="100"/>
  <c r="Z29" i="100" s="1"/>
  <c r="P29" i="100"/>
  <c r="H29" i="100"/>
  <c r="N29" i="100" s="1"/>
  <c r="D29" i="100"/>
  <c r="T25" i="100"/>
  <c r="Z25" i="100" s="1"/>
  <c r="P25" i="100"/>
  <c r="H25" i="100"/>
  <c r="N25" i="100" s="1"/>
  <c r="D25" i="100"/>
  <c r="B25" i="100"/>
  <c r="T24" i="100"/>
  <c r="Z24" i="100" s="1"/>
  <c r="P24" i="100"/>
  <c r="X24" i="100" s="1"/>
  <c r="H24" i="100"/>
  <c r="N24" i="100" s="1"/>
  <c r="D24" i="100"/>
  <c r="T22" i="100"/>
  <c r="Z22" i="100" s="1"/>
  <c r="P22" i="100"/>
  <c r="H22" i="100"/>
  <c r="N22" i="100" s="1"/>
  <c r="D22" i="100"/>
  <c r="B22" i="100"/>
  <c r="T21" i="100"/>
  <c r="Z21" i="100" s="1"/>
  <c r="P21" i="100"/>
  <c r="H21" i="100"/>
  <c r="D21" i="100"/>
  <c r="B21" i="100"/>
  <c r="T20" i="100"/>
  <c r="Z20" i="100" s="1"/>
  <c r="P20" i="100"/>
  <c r="H20" i="100"/>
  <c r="N20" i="100" s="1"/>
  <c r="D20" i="100"/>
  <c r="T16" i="100"/>
  <c r="Z16" i="100" s="1"/>
  <c r="P16" i="100"/>
  <c r="H16" i="100"/>
  <c r="N16" i="100" s="1"/>
  <c r="D16" i="100"/>
  <c r="B16" i="100"/>
  <c r="T15" i="100"/>
  <c r="Z15" i="100" s="1"/>
  <c r="P15" i="100"/>
  <c r="H15" i="100"/>
  <c r="N15" i="100" s="1"/>
  <c r="D15" i="100"/>
  <c r="T13" i="100"/>
  <c r="Z13" i="100" s="1"/>
  <c r="P13" i="100"/>
  <c r="H13" i="100"/>
  <c r="N13" i="100" s="1"/>
  <c r="D13" i="100"/>
  <c r="B13" i="100"/>
  <c r="T12" i="100"/>
  <c r="V34" i="100" s="1"/>
  <c r="P12" i="100"/>
  <c r="R34" i="100" s="1"/>
  <c r="H12" i="100"/>
  <c r="J21" i="100" s="1"/>
  <c r="D12" i="100"/>
  <c r="D6" i="100"/>
  <c r="D5" i="100"/>
  <c r="D4" i="100"/>
  <c r="B39" i="99"/>
  <c r="B38" i="99"/>
  <c r="T34" i="99"/>
  <c r="Z34" i="99" s="1"/>
  <c r="P34" i="99"/>
  <c r="H34" i="99"/>
  <c r="D34" i="99"/>
  <c r="T33" i="99"/>
  <c r="Z33" i="99" s="1"/>
  <c r="P33" i="99"/>
  <c r="H33" i="99"/>
  <c r="N33" i="99" s="1"/>
  <c r="D33" i="99"/>
  <c r="T29" i="99"/>
  <c r="Z29" i="99" s="1"/>
  <c r="P29" i="99"/>
  <c r="H29" i="99"/>
  <c r="N29" i="99" s="1"/>
  <c r="D29" i="99"/>
  <c r="T25" i="99"/>
  <c r="P25" i="99"/>
  <c r="H25" i="99"/>
  <c r="N25" i="99" s="1"/>
  <c r="D25" i="99"/>
  <c r="B25" i="99"/>
  <c r="T24" i="99"/>
  <c r="Z24" i="99" s="1"/>
  <c r="P24" i="99"/>
  <c r="H24" i="99"/>
  <c r="N24" i="99" s="1"/>
  <c r="D24" i="99"/>
  <c r="T22" i="99"/>
  <c r="Z22" i="99" s="1"/>
  <c r="P22" i="99"/>
  <c r="H22" i="99"/>
  <c r="N22" i="99" s="1"/>
  <c r="D22" i="99"/>
  <c r="B22" i="99"/>
  <c r="T21" i="99"/>
  <c r="Z21" i="99" s="1"/>
  <c r="P21" i="99"/>
  <c r="H21" i="99"/>
  <c r="N21" i="99" s="1"/>
  <c r="D21" i="99"/>
  <c r="B21" i="99"/>
  <c r="T20" i="99"/>
  <c r="Z20" i="99" s="1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P13" i="99"/>
  <c r="H13" i="99"/>
  <c r="D13" i="99"/>
  <c r="B13" i="99"/>
  <c r="T12" i="99"/>
  <c r="V18" i="99" s="1"/>
  <c r="P12" i="99"/>
  <c r="R24" i="99" s="1"/>
  <c r="H12" i="99"/>
  <c r="J34" i="99" s="1"/>
  <c r="D12" i="99"/>
  <c r="F20" i="99" s="1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P33" i="98"/>
  <c r="H33" i="98"/>
  <c r="N33" i="98" s="1"/>
  <c r="D33" i="98"/>
  <c r="T29" i="98"/>
  <c r="P29" i="98"/>
  <c r="H29" i="98"/>
  <c r="N29" i="98" s="1"/>
  <c r="D29" i="98"/>
  <c r="T25" i="98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N21" i="98" s="1"/>
  <c r="D21" i="98"/>
  <c r="B21" i="98"/>
  <c r="T20" i="98"/>
  <c r="Z20" i="98" s="1"/>
  <c r="P20" i="98"/>
  <c r="H20" i="98"/>
  <c r="N20" i="98" s="1"/>
  <c r="D20" i="98"/>
  <c r="T16" i="98"/>
  <c r="Z16" i="98" s="1"/>
  <c r="P16" i="98"/>
  <c r="H16" i="98"/>
  <c r="N16" i="98" s="1"/>
  <c r="D16" i="98"/>
  <c r="B16" i="98"/>
  <c r="T15" i="98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36" i="98" s="1"/>
  <c r="P12" i="98"/>
  <c r="R34" i="98" s="1"/>
  <c r="H12" i="98"/>
  <c r="D12" i="98"/>
  <c r="F36" i="98" s="1"/>
  <c r="D6" i="98"/>
  <c r="D5" i="98"/>
  <c r="D4" i="98"/>
  <c r="Z68" i="97"/>
  <c r="X68" i="97"/>
  <c r="L68" i="97"/>
  <c r="N68" i="97" s="1"/>
  <c r="T64" i="97"/>
  <c r="P64" i="97"/>
  <c r="H64" i="97"/>
  <c r="D64" i="97"/>
  <c r="B64" i="97"/>
  <c r="H63" i="97"/>
  <c r="Z61" i="97"/>
  <c r="X61" i="97"/>
  <c r="N61" i="97"/>
  <c r="L61" i="97"/>
  <c r="B61" i="97"/>
  <c r="X60" i="97"/>
  <c r="T60" i="97"/>
  <c r="Z60" i="97" s="1"/>
  <c r="P60" i="97"/>
  <c r="H60" i="97"/>
  <c r="D60" i="97"/>
  <c r="B60" i="97"/>
  <c r="Z59" i="97"/>
  <c r="X59" i="97"/>
  <c r="N59" i="97"/>
  <c r="L59" i="97"/>
  <c r="B59" i="97"/>
  <c r="T58" i="97"/>
  <c r="P58" i="97"/>
  <c r="N58" i="97"/>
  <c r="H58" i="97"/>
  <c r="D58" i="97"/>
  <c r="L58" i="97" s="1"/>
  <c r="B58" i="97"/>
  <c r="Z57" i="97"/>
  <c r="X57" i="97"/>
  <c r="N57" i="97"/>
  <c r="L57" i="97"/>
  <c r="J57" i="97"/>
  <c r="B57" i="97"/>
  <c r="Z56" i="97"/>
  <c r="X56" i="97"/>
  <c r="L56" i="97"/>
  <c r="N56" i="97" s="1"/>
  <c r="B56" i="97"/>
  <c r="T55" i="97"/>
  <c r="P55" i="97"/>
  <c r="X55" i="97" s="1"/>
  <c r="Z55" i="97" s="1"/>
  <c r="L55" i="97"/>
  <c r="N55" i="97" s="1"/>
  <c r="H55" i="97"/>
  <c r="D55" i="97"/>
  <c r="B55" i="97"/>
  <c r="Z54" i="97"/>
  <c r="X54" i="97"/>
  <c r="N54" i="97"/>
  <c r="L54" i="97"/>
  <c r="B54" i="97"/>
  <c r="Z53" i="97"/>
  <c r="X53" i="97"/>
  <c r="T53" i="97"/>
  <c r="P53" i="97"/>
  <c r="H53" i="97"/>
  <c r="N53" i="97" s="1"/>
  <c r="D53" i="97"/>
  <c r="B53" i="97"/>
  <c r="X52" i="97"/>
  <c r="Z52" i="97" s="1"/>
  <c r="N52" i="97"/>
  <c r="L52" i="97"/>
  <c r="B52" i="97"/>
  <c r="X51" i="97"/>
  <c r="Z51" i="97" s="1"/>
  <c r="N51" i="97"/>
  <c r="L51" i="97"/>
  <c r="B51" i="97"/>
  <c r="Z50" i="97"/>
  <c r="X50" i="97"/>
  <c r="N50" i="97"/>
  <c r="L50" i="97"/>
  <c r="F50" i="97"/>
  <c r="B50" i="97"/>
  <c r="X49" i="97"/>
  <c r="Z49" i="97" s="1"/>
  <c r="N49" i="97"/>
  <c r="L49" i="97"/>
  <c r="B49" i="97"/>
  <c r="Z48" i="97"/>
  <c r="T48" i="97"/>
  <c r="P48" i="97"/>
  <c r="X48" i="97" s="1"/>
  <c r="H48" i="97"/>
  <c r="D48" i="97"/>
  <c r="L48" i="97" s="1"/>
  <c r="N48" i="97" s="1"/>
  <c r="B48" i="97"/>
  <c r="Z47" i="97"/>
  <c r="X47" i="97"/>
  <c r="N47" i="97"/>
  <c r="L47" i="97"/>
  <c r="B47" i="97"/>
  <c r="T46" i="97"/>
  <c r="P46" i="97"/>
  <c r="X46" i="97" s="1"/>
  <c r="Z46" i="97" s="1"/>
  <c r="L46" i="97"/>
  <c r="N46" i="97" s="1"/>
  <c r="H46" i="97"/>
  <c r="D46" i="97"/>
  <c r="B46" i="97"/>
  <c r="Z45" i="97"/>
  <c r="X45" i="97"/>
  <c r="L45" i="97"/>
  <c r="N45" i="97" s="1"/>
  <c r="B45" i="97"/>
  <c r="X44" i="97"/>
  <c r="Z44" i="97" s="1"/>
  <c r="T44" i="97"/>
  <c r="P44" i="97"/>
  <c r="H44" i="97"/>
  <c r="D44" i="97"/>
  <c r="B44" i="97"/>
  <c r="Z43" i="97"/>
  <c r="X43" i="97"/>
  <c r="N43" i="97"/>
  <c r="L43" i="97"/>
  <c r="B43" i="97"/>
  <c r="X42" i="97"/>
  <c r="Z42" i="97" s="1"/>
  <c r="N42" i="97"/>
  <c r="L42" i="97"/>
  <c r="B42" i="97"/>
  <c r="T41" i="97"/>
  <c r="P41" i="97"/>
  <c r="X41" i="97" s="1"/>
  <c r="N41" i="97"/>
  <c r="H41" i="97"/>
  <c r="D41" i="97"/>
  <c r="L41" i="97" s="1"/>
  <c r="B41" i="97"/>
  <c r="Z40" i="97"/>
  <c r="X40" i="97"/>
  <c r="L40" i="97"/>
  <c r="N40" i="97" s="1"/>
  <c r="B40" i="97"/>
  <c r="Z39" i="97"/>
  <c r="T39" i="97"/>
  <c r="P39" i="97"/>
  <c r="X39" i="97" s="1"/>
  <c r="L39" i="97"/>
  <c r="N39" i="97" s="1"/>
  <c r="H39" i="97"/>
  <c r="D39" i="97"/>
  <c r="B39" i="97"/>
  <c r="Z38" i="97"/>
  <c r="X38" i="97"/>
  <c r="N38" i="97"/>
  <c r="L38" i="97"/>
  <c r="B38" i="97"/>
  <c r="Z37" i="97"/>
  <c r="X37" i="97"/>
  <c r="T37" i="97"/>
  <c r="P37" i="97"/>
  <c r="H37" i="97"/>
  <c r="F37" i="97"/>
  <c r="D37" i="97"/>
  <c r="B37" i="97"/>
  <c r="X36" i="97"/>
  <c r="Z36" i="97" s="1"/>
  <c r="N36" i="97"/>
  <c r="L36" i="97"/>
  <c r="F36" i="97"/>
  <c r="B36" i="97"/>
  <c r="Z35" i="97"/>
  <c r="X35" i="97"/>
  <c r="N35" i="97"/>
  <c r="L35" i="97"/>
  <c r="B35" i="97"/>
  <c r="Z34" i="97"/>
  <c r="X34" i="97"/>
  <c r="L34" i="97"/>
  <c r="N34" i="97" s="1"/>
  <c r="B34" i="97"/>
  <c r="Z33" i="97"/>
  <c r="X33" i="97"/>
  <c r="N33" i="97"/>
  <c r="L33" i="97"/>
  <c r="B33" i="97"/>
  <c r="Z32" i="97"/>
  <c r="X32" i="97"/>
  <c r="L32" i="97"/>
  <c r="N32" i="97" s="1"/>
  <c r="B32" i="97"/>
  <c r="Z31" i="97"/>
  <c r="X31" i="97"/>
  <c r="N31" i="97"/>
  <c r="L31" i="97"/>
  <c r="F31" i="97"/>
  <c r="B31" i="97"/>
  <c r="T30" i="97"/>
  <c r="P30" i="97"/>
  <c r="X30" i="97" s="1"/>
  <c r="L30" i="97"/>
  <c r="N30" i="97" s="1"/>
  <c r="H30" i="97"/>
  <c r="D30" i="97"/>
  <c r="B30" i="97"/>
  <c r="X29" i="97"/>
  <c r="Z29" i="97" s="1"/>
  <c r="N29" i="97"/>
  <c r="L29" i="97"/>
  <c r="B29" i="97"/>
  <c r="Z28" i="97"/>
  <c r="X28" i="97"/>
  <c r="L28" i="97"/>
  <c r="N28" i="97" s="1"/>
  <c r="B28" i="97"/>
  <c r="Z27" i="97"/>
  <c r="X27" i="97"/>
  <c r="N27" i="97"/>
  <c r="L27" i="97"/>
  <c r="F27" i="97"/>
  <c r="B27" i="97"/>
  <c r="Z26" i="97"/>
  <c r="X26" i="97"/>
  <c r="L26" i="97"/>
  <c r="N26" i="97" s="1"/>
  <c r="J26" i="97"/>
  <c r="F26" i="97"/>
  <c r="B26" i="97"/>
  <c r="Z25" i="97"/>
  <c r="X25" i="97"/>
  <c r="L25" i="97"/>
  <c r="N25" i="97" s="1"/>
  <c r="B25" i="97"/>
  <c r="X24" i="97"/>
  <c r="Z24" i="97" s="1"/>
  <c r="L24" i="97"/>
  <c r="N24" i="97" s="1"/>
  <c r="B24" i="97"/>
  <c r="Z23" i="97"/>
  <c r="X23" i="97"/>
  <c r="N23" i="97"/>
  <c r="L23" i="97"/>
  <c r="B23" i="97"/>
  <c r="X22" i="97"/>
  <c r="Z22" i="97" s="1"/>
  <c r="N22" i="97"/>
  <c r="L22" i="97"/>
  <c r="B22" i="97"/>
  <c r="X21" i="97"/>
  <c r="Z21" i="97" s="1"/>
  <c r="V21" i="97"/>
  <c r="L21" i="97"/>
  <c r="N21" i="97" s="1"/>
  <c r="B21" i="97"/>
  <c r="X20" i="97"/>
  <c r="Z20" i="97" s="1"/>
  <c r="T20" i="97"/>
  <c r="P20" i="97"/>
  <c r="J20" i="97"/>
  <c r="H20" i="97"/>
  <c r="D20" i="97"/>
  <c r="B20" i="97"/>
  <c r="T19" i="97" a="1"/>
  <c r="T19" i="97" s="1"/>
  <c r="P19" i="97" a="1"/>
  <c r="P19" i="97" s="1"/>
  <c r="H19" i="97" a="1"/>
  <c r="H19" i="97"/>
  <c r="D19" i="97" a="1"/>
  <c r="D19" i="97" s="1"/>
  <c r="T17" i="97"/>
  <c r="D17" i="97"/>
  <c r="Z15" i="97"/>
  <c r="X15" i="97"/>
  <c r="T15" i="97"/>
  <c r="P15" i="97"/>
  <c r="L15" i="97"/>
  <c r="J15" i="97"/>
  <c r="H15" i="97"/>
  <c r="N15" i="97" s="1"/>
  <c r="F15" i="97"/>
  <c r="D15" i="97"/>
  <c r="T13" i="97"/>
  <c r="P13" i="97"/>
  <c r="X13" i="97" s="1"/>
  <c r="Z13" i="97" s="1"/>
  <c r="H13" i="97"/>
  <c r="H12" i="97" s="1"/>
  <c r="D13" i="97"/>
  <c r="B13" i="97"/>
  <c r="T12" i="97"/>
  <c r="V60" i="97" s="1"/>
  <c r="D12" i="97"/>
  <c r="F49" i="97" s="1"/>
  <c r="D6" i="97"/>
  <c r="D4" i="97"/>
  <c r="J31" i="96"/>
  <c r="Z26" i="96"/>
  <c r="X26" i="96"/>
  <c r="N26" i="96"/>
  <c r="L26" i="96"/>
  <c r="J24" i="96"/>
  <c r="T22" i="96"/>
  <c r="R22" i="96"/>
  <c r="P22" i="96"/>
  <c r="L22" i="96"/>
  <c r="H22" i="96"/>
  <c r="N22" i="96" s="1"/>
  <c r="D22" i="96"/>
  <c r="B22" i="96"/>
  <c r="Z21" i="96"/>
  <c r="X21" i="96"/>
  <c r="T21" i="96"/>
  <c r="P21" i="96"/>
  <c r="N21" i="96"/>
  <c r="L21" i="96"/>
  <c r="J21" i="96"/>
  <c r="H21" i="96"/>
  <c r="F21" i="96"/>
  <c r="D21" i="96"/>
  <c r="B21" i="96"/>
  <c r="T20" i="96"/>
  <c r="H20" i="96"/>
  <c r="F20" i="96"/>
  <c r="D20" i="96"/>
  <c r="L20" i="96" s="1"/>
  <c r="X18" i="96"/>
  <c r="T18" i="96"/>
  <c r="Z18" i="96" s="1"/>
  <c r="P18" i="96"/>
  <c r="N18" i="96"/>
  <c r="L18" i="96"/>
  <c r="H18" i="96"/>
  <c r="D18" i="96"/>
  <c r="F16" i="96"/>
  <c r="D16" i="96"/>
  <c r="X14" i="96"/>
  <c r="T14" i="96"/>
  <c r="Z14" i="96" s="1"/>
  <c r="P14" i="96"/>
  <c r="N14" i="96"/>
  <c r="L14" i="96"/>
  <c r="H14" i="96"/>
  <c r="H16" i="96" s="1"/>
  <c r="N16" i="96" s="1"/>
  <c r="D14" i="96"/>
  <c r="T12" i="96"/>
  <c r="V20" i="96" s="1"/>
  <c r="P12" i="96"/>
  <c r="L12" i="96"/>
  <c r="H12" i="96"/>
  <c r="J28" i="96" s="1"/>
  <c r="D12" i="96"/>
  <c r="F18" i="96" s="1"/>
  <c r="D6" i="96"/>
  <c r="D4" i="96"/>
  <c r="Z85" i="95"/>
  <c r="X85" i="95"/>
  <c r="N85" i="95"/>
  <c r="L85" i="95"/>
  <c r="T81" i="95"/>
  <c r="Z81" i="95" s="1"/>
  <c r="P81" i="95"/>
  <c r="X81" i="95" s="1"/>
  <c r="L81" i="95"/>
  <c r="H81" i="95"/>
  <c r="N81" i="95" s="1"/>
  <c r="D81" i="95"/>
  <c r="Z79" i="95"/>
  <c r="X79" i="95"/>
  <c r="N79" i="95"/>
  <c r="L79" i="95"/>
  <c r="B79" i="95"/>
  <c r="Z78" i="95"/>
  <c r="T78" i="95"/>
  <c r="P78" i="95"/>
  <c r="X78" i="95" s="1"/>
  <c r="N78" i="95"/>
  <c r="L78" i="95"/>
  <c r="H78" i="95"/>
  <c r="D78" i="95"/>
  <c r="B78" i="95"/>
  <c r="Z77" i="95"/>
  <c r="X77" i="95"/>
  <c r="N77" i="95"/>
  <c r="L77" i="95"/>
  <c r="B77" i="95"/>
  <c r="Z76" i="95"/>
  <c r="X76" i="95"/>
  <c r="T76" i="95"/>
  <c r="P76" i="95"/>
  <c r="H76" i="95"/>
  <c r="D76" i="95"/>
  <c r="B76" i="95"/>
  <c r="X75" i="95"/>
  <c r="Z75" i="95" s="1"/>
  <c r="N75" i="95"/>
  <c r="L75" i="95"/>
  <c r="B75" i="95"/>
  <c r="T74" i="95"/>
  <c r="P74" i="95"/>
  <c r="H74" i="95"/>
  <c r="D74" i="95"/>
  <c r="L74" i="95" s="1"/>
  <c r="N74" i="95" s="1"/>
  <c r="B74" i="95"/>
  <c r="Z73" i="95"/>
  <c r="X73" i="95"/>
  <c r="N73" i="95"/>
  <c r="L73" i="95"/>
  <c r="B73" i="95"/>
  <c r="Z72" i="95"/>
  <c r="X72" i="95"/>
  <c r="N72" i="95"/>
  <c r="L72" i="95"/>
  <c r="B72" i="95"/>
  <c r="Z71" i="95"/>
  <c r="X71" i="95"/>
  <c r="N71" i="95"/>
  <c r="L71" i="95"/>
  <c r="B71" i="95"/>
  <c r="Z70" i="95"/>
  <c r="X70" i="95"/>
  <c r="N70" i="95"/>
  <c r="L70" i="95"/>
  <c r="B70" i="95"/>
  <c r="Z69" i="95"/>
  <c r="X69" i="95"/>
  <c r="N69" i="95"/>
  <c r="L69" i="95"/>
  <c r="B69" i="95"/>
  <c r="Z68" i="95"/>
  <c r="X68" i="95"/>
  <c r="N68" i="95"/>
  <c r="L68" i="95"/>
  <c r="B68" i="95"/>
  <c r="Z67" i="95"/>
  <c r="X67" i="95"/>
  <c r="T67" i="95"/>
  <c r="P67" i="95"/>
  <c r="H67" i="95"/>
  <c r="N67" i="95" s="1"/>
  <c r="D67" i="95"/>
  <c r="B67" i="95"/>
  <c r="Z66" i="95"/>
  <c r="X66" i="95"/>
  <c r="R66" i="95"/>
  <c r="N66" i="95"/>
  <c r="L66" i="95"/>
  <c r="B66" i="95"/>
  <c r="Z65" i="95"/>
  <c r="X65" i="95"/>
  <c r="N65" i="95"/>
  <c r="L65" i="95"/>
  <c r="B65" i="95"/>
  <c r="X64" i="95"/>
  <c r="Z64" i="95" s="1"/>
  <c r="N64" i="95"/>
  <c r="L64" i="95"/>
  <c r="B64" i="95"/>
  <c r="Z63" i="95"/>
  <c r="X63" i="95"/>
  <c r="T63" i="95"/>
  <c r="P63" i="95"/>
  <c r="H63" i="95"/>
  <c r="D63" i="95"/>
  <c r="L63" i="95" s="1"/>
  <c r="B63" i="95"/>
  <c r="Z62" i="95"/>
  <c r="X62" i="95"/>
  <c r="N62" i="95"/>
  <c r="L62" i="95"/>
  <c r="B62" i="95"/>
  <c r="X61" i="95"/>
  <c r="Z61" i="95" s="1"/>
  <c r="N61" i="95"/>
  <c r="L61" i="95"/>
  <c r="B61" i="95"/>
  <c r="X60" i="95"/>
  <c r="Z60" i="95" s="1"/>
  <c r="T60" i="95"/>
  <c r="P60" i="95"/>
  <c r="H60" i="95"/>
  <c r="D60" i="95"/>
  <c r="B60" i="95"/>
  <c r="Z59" i="95"/>
  <c r="X59" i="95"/>
  <c r="N59" i="95"/>
  <c r="L59" i="95"/>
  <c r="B59" i="95"/>
  <c r="T58" i="95"/>
  <c r="P58" i="95"/>
  <c r="N58" i="95"/>
  <c r="H58" i="95"/>
  <c r="D58" i="95"/>
  <c r="L58" i="95" s="1"/>
  <c r="B58" i="95"/>
  <c r="X57" i="95"/>
  <c r="Z57" i="95" s="1"/>
  <c r="N57" i="95"/>
  <c r="L57" i="95"/>
  <c r="B57" i="95"/>
  <c r="T56" i="95"/>
  <c r="P56" i="95"/>
  <c r="X56" i="95" s="1"/>
  <c r="Z56" i="95" s="1"/>
  <c r="N56" i="95"/>
  <c r="H56" i="95"/>
  <c r="D56" i="95"/>
  <c r="L56" i="95" s="1"/>
  <c r="B56" i="95"/>
  <c r="X55" i="95"/>
  <c r="Z55" i="95" s="1"/>
  <c r="N55" i="95"/>
  <c r="L55" i="95"/>
  <c r="B55" i="95"/>
  <c r="T54" i="95"/>
  <c r="P54" i="95"/>
  <c r="X54" i="95" s="1"/>
  <c r="Z54" i="95" s="1"/>
  <c r="L54" i="95"/>
  <c r="H54" i="95"/>
  <c r="N54" i="95" s="1"/>
  <c r="D54" i="95"/>
  <c r="B54" i="95"/>
  <c r="Z53" i="95"/>
  <c r="X53" i="95"/>
  <c r="N53" i="95"/>
  <c r="L53" i="95"/>
  <c r="B53" i="95"/>
  <c r="X52" i="95"/>
  <c r="T52" i="95"/>
  <c r="P52" i="95"/>
  <c r="H52" i="95"/>
  <c r="D52" i="95"/>
  <c r="B52" i="95"/>
  <c r="Z51" i="95"/>
  <c r="X51" i="95"/>
  <c r="N51" i="95"/>
  <c r="L51" i="95"/>
  <c r="B51" i="95"/>
  <c r="T50" i="95"/>
  <c r="P50" i="95"/>
  <c r="N50" i="95"/>
  <c r="H50" i="95"/>
  <c r="D50" i="95"/>
  <c r="L50" i="95" s="1"/>
  <c r="B50" i="95"/>
  <c r="Z49" i="95"/>
  <c r="X49" i="95"/>
  <c r="N49" i="95"/>
  <c r="L49" i="95"/>
  <c r="B49" i="95"/>
  <c r="Z48" i="95"/>
  <c r="T48" i="95"/>
  <c r="P48" i="95"/>
  <c r="X48" i="95" s="1"/>
  <c r="N48" i="95"/>
  <c r="H48" i="95"/>
  <c r="D48" i="95"/>
  <c r="L48" i="95" s="1"/>
  <c r="B48" i="95"/>
  <c r="X47" i="95"/>
  <c r="Z47" i="95" s="1"/>
  <c r="N47" i="95"/>
  <c r="L47" i="95"/>
  <c r="B47" i="95"/>
  <c r="Z46" i="95"/>
  <c r="T46" i="95"/>
  <c r="P46" i="95"/>
  <c r="X46" i="95" s="1"/>
  <c r="L46" i="95"/>
  <c r="H46" i="95"/>
  <c r="D46" i="95"/>
  <c r="B46" i="95"/>
  <c r="Z45" i="95"/>
  <c r="X45" i="95"/>
  <c r="N45" i="95"/>
  <c r="L45" i="95"/>
  <c r="B45" i="95"/>
  <c r="X44" i="95"/>
  <c r="T44" i="95"/>
  <c r="Z44" i="95" s="1"/>
  <c r="P44" i="95"/>
  <c r="H44" i="95"/>
  <c r="N44" i="95" s="1"/>
  <c r="D44" i="95"/>
  <c r="B44" i="95"/>
  <c r="Z43" i="95"/>
  <c r="X43" i="95"/>
  <c r="N43" i="95"/>
  <c r="L43" i="95"/>
  <c r="B43" i="95"/>
  <c r="T42" i="95"/>
  <c r="P42" i="95"/>
  <c r="X42" i="95" s="1"/>
  <c r="N42" i="95"/>
  <c r="H42" i="95"/>
  <c r="D42" i="95"/>
  <c r="L42" i="95" s="1"/>
  <c r="B42" i="95"/>
  <c r="Z41" i="95"/>
  <c r="X41" i="95"/>
  <c r="N41" i="95"/>
  <c r="L41" i="95"/>
  <c r="B41" i="95"/>
  <c r="Z40" i="95"/>
  <c r="T40" i="95"/>
  <c r="P40" i="95"/>
  <c r="X40" i="95" s="1"/>
  <c r="N40" i="95"/>
  <c r="H40" i="95"/>
  <c r="D40" i="95"/>
  <c r="L40" i="95" s="1"/>
  <c r="B40" i="95"/>
  <c r="Z39" i="95"/>
  <c r="X39" i="95"/>
  <c r="N39" i="95"/>
  <c r="L39" i="95"/>
  <c r="B39" i="95"/>
  <c r="Z38" i="95"/>
  <c r="X38" i="95"/>
  <c r="N38" i="95"/>
  <c r="L38" i="95"/>
  <c r="B38" i="95"/>
  <c r="Z37" i="95"/>
  <c r="X37" i="95"/>
  <c r="N37" i="95"/>
  <c r="L37" i="95"/>
  <c r="F37" i="95"/>
  <c r="B37" i="95"/>
  <c r="Z36" i="95"/>
  <c r="X36" i="95"/>
  <c r="L36" i="95"/>
  <c r="N36" i="95" s="1"/>
  <c r="B36" i="95"/>
  <c r="Z35" i="95"/>
  <c r="X35" i="95"/>
  <c r="L35" i="95"/>
  <c r="N35" i="95" s="1"/>
  <c r="B35" i="95"/>
  <c r="T34" i="95"/>
  <c r="P34" i="95"/>
  <c r="X34" i="95" s="1"/>
  <c r="H34" i="95"/>
  <c r="D34" i="95"/>
  <c r="L34" i="95" s="1"/>
  <c r="N34" i="95" s="1"/>
  <c r="B34" i="95"/>
  <c r="X33" i="95"/>
  <c r="Z33" i="95" s="1"/>
  <c r="N33" i="95"/>
  <c r="L33" i="95"/>
  <c r="B33" i="95"/>
  <c r="Z32" i="95"/>
  <c r="X32" i="95"/>
  <c r="L32" i="95"/>
  <c r="N32" i="95" s="1"/>
  <c r="B32" i="95"/>
  <c r="Z31" i="95"/>
  <c r="X31" i="95"/>
  <c r="L31" i="95"/>
  <c r="N31" i="95" s="1"/>
  <c r="B31" i="95"/>
  <c r="X30" i="95"/>
  <c r="Z30" i="95" s="1"/>
  <c r="N30" i="95"/>
  <c r="L30" i="95"/>
  <c r="B30" i="95"/>
  <c r="Z29" i="95"/>
  <c r="X29" i="95"/>
  <c r="L29" i="95"/>
  <c r="N29" i="95" s="1"/>
  <c r="B29" i="95"/>
  <c r="X28" i="95"/>
  <c r="Z28" i="95" s="1"/>
  <c r="N28" i="95"/>
  <c r="L28" i="95"/>
  <c r="B28" i="95"/>
  <c r="X27" i="95"/>
  <c r="Z27" i="95" s="1"/>
  <c r="N27" i="95"/>
  <c r="L27" i="95"/>
  <c r="B27" i="95"/>
  <c r="Z26" i="95"/>
  <c r="X26" i="95"/>
  <c r="L26" i="95"/>
  <c r="N26" i="95" s="1"/>
  <c r="B26" i="95"/>
  <c r="X25" i="95"/>
  <c r="Z25" i="95" s="1"/>
  <c r="N25" i="95"/>
  <c r="L25" i="95"/>
  <c r="B25" i="95"/>
  <c r="T24" i="95"/>
  <c r="P24" i="95"/>
  <c r="X24" i="95" s="1"/>
  <c r="Z24" i="95" s="1"/>
  <c r="H24" i="95"/>
  <c r="N24" i="95" s="1"/>
  <c r="D24" i="95"/>
  <c r="L24" i="95" s="1"/>
  <c r="B24" i="95"/>
  <c r="T23" i="95" a="1"/>
  <c r="T23" i="95" s="1"/>
  <c r="P23" i="95" a="1"/>
  <c r="P23" i="95"/>
  <c r="X23" i="95" s="1"/>
  <c r="H23" i="95" a="1"/>
  <c r="H23" i="95"/>
  <c r="N23" i="95" s="1"/>
  <c r="D23" i="95" a="1"/>
  <c r="D23" i="95" s="1"/>
  <c r="L23" i="95" s="1"/>
  <c r="Z19" i="95"/>
  <c r="X19" i="95"/>
  <c r="N19" i="95"/>
  <c r="L19" i="95"/>
  <c r="B19" i="95"/>
  <c r="Z18" i="95"/>
  <c r="X18" i="95"/>
  <c r="N18" i="95"/>
  <c r="L18" i="95"/>
  <c r="B18" i="95"/>
  <c r="Z17" i="95"/>
  <c r="X17" i="95"/>
  <c r="T17" i="95"/>
  <c r="P17" i="95"/>
  <c r="L17" i="95"/>
  <c r="H17" i="95"/>
  <c r="N17" i="95" s="1"/>
  <c r="F17" i="95"/>
  <c r="D17" i="95"/>
  <c r="T15" i="95"/>
  <c r="Z15" i="95" s="1"/>
  <c r="P15" i="95"/>
  <c r="X15" i="95" s="1"/>
  <c r="H15" i="95"/>
  <c r="D15" i="95"/>
  <c r="B15" i="95"/>
  <c r="T14" i="95"/>
  <c r="Z14" i="95" s="1"/>
  <c r="P14" i="95"/>
  <c r="X14" i="95" s="1"/>
  <c r="N14" i="95"/>
  <c r="L14" i="95"/>
  <c r="H14" i="95"/>
  <c r="D14" i="95"/>
  <c r="B14" i="95"/>
  <c r="X13" i="95"/>
  <c r="T13" i="95"/>
  <c r="Z13" i="95" s="1"/>
  <c r="P13" i="95"/>
  <c r="N13" i="95"/>
  <c r="H13" i="95"/>
  <c r="D13" i="95"/>
  <c r="L13" i="95" s="1"/>
  <c r="B13" i="95"/>
  <c r="P12" i="95"/>
  <c r="D12" i="95"/>
  <c r="F52" i="95" s="1"/>
  <c r="D6" i="95"/>
  <c r="D4" i="95"/>
  <c r="X89" i="94"/>
  <c r="Z89" i="94" s="1"/>
  <c r="L89" i="94"/>
  <c r="N89" i="94" s="1"/>
  <c r="T85" i="94"/>
  <c r="Z85" i="94" s="1"/>
  <c r="P85" i="94"/>
  <c r="X85" i="94" s="1"/>
  <c r="H85" i="94"/>
  <c r="N85" i="94" s="1"/>
  <c r="D85" i="94"/>
  <c r="L85" i="94" s="1"/>
  <c r="X83" i="94"/>
  <c r="Z83" i="94" s="1"/>
  <c r="N83" i="94"/>
  <c r="L83" i="94"/>
  <c r="B83" i="94"/>
  <c r="T82" i="94"/>
  <c r="P82" i="94"/>
  <c r="X82" i="94" s="1"/>
  <c r="Z82" i="94" s="1"/>
  <c r="N82" i="94"/>
  <c r="L82" i="94"/>
  <c r="H82" i="94"/>
  <c r="D82" i="94"/>
  <c r="B82" i="94"/>
  <c r="Z81" i="94"/>
  <c r="X81" i="94"/>
  <c r="R81" i="94"/>
  <c r="N81" i="94"/>
  <c r="L81" i="94"/>
  <c r="B81" i="94"/>
  <c r="Z80" i="94"/>
  <c r="X80" i="94"/>
  <c r="T80" i="94"/>
  <c r="P80" i="94"/>
  <c r="L80" i="94"/>
  <c r="H80" i="94"/>
  <c r="N80" i="94" s="1"/>
  <c r="D80" i="94"/>
  <c r="B80" i="94"/>
  <c r="X79" i="94"/>
  <c r="Z79" i="94" s="1"/>
  <c r="L79" i="94"/>
  <c r="N79" i="94" s="1"/>
  <c r="B79" i="94"/>
  <c r="X78" i="94"/>
  <c r="T78" i="94"/>
  <c r="Z78" i="94" s="1"/>
  <c r="P78" i="94"/>
  <c r="H78" i="94"/>
  <c r="D78" i="94"/>
  <c r="L78" i="94" s="1"/>
  <c r="B78" i="94"/>
  <c r="X77" i="94"/>
  <c r="Z77" i="94" s="1"/>
  <c r="N77" i="94"/>
  <c r="L77" i="94"/>
  <c r="B77" i="94"/>
  <c r="Z76" i="94"/>
  <c r="X76" i="94"/>
  <c r="N76" i="94"/>
  <c r="L76" i="94"/>
  <c r="B76" i="94"/>
  <c r="X75" i="94"/>
  <c r="Z75" i="94" s="1"/>
  <c r="L75" i="94"/>
  <c r="N75" i="94" s="1"/>
  <c r="B75" i="94"/>
  <c r="X74" i="94"/>
  <c r="Z74" i="94" s="1"/>
  <c r="N74" i="94"/>
  <c r="L74" i="94"/>
  <c r="B74" i="94"/>
  <c r="Z73" i="94"/>
  <c r="X73" i="94"/>
  <c r="L73" i="94"/>
  <c r="N73" i="94" s="1"/>
  <c r="B73" i="94"/>
  <c r="Z72" i="94"/>
  <c r="X72" i="94"/>
  <c r="L72" i="94"/>
  <c r="N72" i="94" s="1"/>
  <c r="B72" i="94"/>
  <c r="X71" i="94"/>
  <c r="Z71" i="94" s="1"/>
  <c r="L71" i="94"/>
  <c r="N71" i="94" s="1"/>
  <c r="B71" i="94"/>
  <c r="Z70" i="94"/>
  <c r="X70" i="94"/>
  <c r="N70" i="94"/>
  <c r="L70" i="94"/>
  <c r="B70" i="94"/>
  <c r="T69" i="94"/>
  <c r="R69" i="94"/>
  <c r="P69" i="94"/>
  <c r="X69" i="94" s="1"/>
  <c r="L69" i="94"/>
  <c r="N69" i="94" s="1"/>
  <c r="H69" i="94"/>
  <c r="D69" i="94"/>
  <c r="B69" i="94"/>
  <c r="Z68" i="94"/>
  <c r="X68" i="94"/>
  <c r="N68" i="94"/>
  <c r="L68" i="94"/>
  <c r="B68" i="94"/>
  <c r="X67" i="94"/>
  <c r="Z67" i="94" s="1"/>
  <c r="T67" i="94"/>
  <c r="P67" i="94"/>
  <c r="H67" i="94"/>
  <c r="L67" i="94" s="1"/>
  <c r="D67" i="94"/>
  <c r="B67" i="94"/>
  <c r="X66" i="94"/>
  <c r="Z66" i="94" s="1"/>
  <c r="N66" i="94"/>
  <c r="L66" i="94"/>
  <c r="B66" i="94"/>
  <c r="Z65" i="94"/>
  <c r="X65" i="94"/>
  <c r="R65" i="94"/>
  <c r="L65" i="94"/>
  <c r="N65" i="94" s="1"/>
  <c r="B65" i="94"/>
  <c r="Z64" i="94"/>
  <c r="X64" i="94"/>
  <c r="N64" i="94"/>
  <c r="L64" i="94"/>
  <c r="B64" i="94"/>
  <c r="X63" i="94"/>
  <c r="Z63" i="94" s="1"/>
  <c r="L63" i="94"/>
  <c r="N63" i="94" s="1"/>
  <c r="B63" i="94"/>
  <c r="Z62" i="94"/>
  <c r="T62" i="94"/>
  <c r="P62" i="94"/>
  <c r="X62" i="94" s="1"/>
  <c r="N62" i="94"/>
  <c r="L62" i="94"/>
  <c r="H62" i="94"/>
  <c r="D62" i="94"/>
  <c r="B62" i="94"/>
  <c r="Z61" i="94"/>
  <c r="X61" i="94"/>
  <c r="L61" i="94"/>
  <c r="N61" i="94" s="1"/>
  <c r="B61" i="94"/>
  <c r="Z60" i="94"/>
  <c r="X60" i="94"/>
  <c r="V60" i="94"/>
  <c r="L60" i="94"/>
  <c r="N60" i="94" s="1"/>
  <c r="B60" i="94"/>
  <c r="X59" i="94"/>
  <c r="Z59" i="94" s="1"/>
  <c r="T59" i="94"/>
  <c r="P59" i="94"/>
  <c r="H59" i="94"/>
  <c r="D59" i="94"/>
  <c r="B59" i="94"/>
  <c r="X58" i="94"/>
  <c r="Z58" i="94" s="1"/>
  <c r="N58" i="94"/>
  <c r="L58" i="94"/>
  <c r="B58" i="94"/>
  <c r="T57" i="94"/>
  <c r="P57" i="94"/>
  <c r="H57" i="94"/>
  <c r="D57" i="94"/>
  <c r="L57" i="94" s="1"/>
  <c r="B57" i="94"/>
  <c r="X56" i="94"/>
  <c r="Z56" i="94" s="1"/>
  <c r="R56" i="94"/>
  <c r="N56" i="94"/>
  <c r="L56" i="94"/>
  <c r="B56" i="94"/>
  <c r="T55" i="94"/>
  <c r="Z55" i="94" s="1"/>
  <c r="P55" i="94"/>
  <c r="X55" i="94" s="1"/>
  <c r="H55" i="94"/>
  <c r="N55" i="94" s="1"/>
  <c r="D55" i="94"/>
  <c r="L55" i="94" s="1"/>
  <c r="B55" i="94"/>
  <c r="Z54" i="94"/>
  <c r="X54" i="94"/>
  <c r="L54" i="94"/>
  <c r="N54" i="94" s="1"/>
  <c r="B54" i="94"/>
  <c r="T53" i="94"/>
  <c r="R53" i="94"/>
  <c r="P53" i="94"/>
  <c r="X53" i="94" s="1"/>
  <c r="Z53" i="94" s="1"/>
  <c r="L53" i="94"/>
  <c r="N53" i="94" s="1"/>
  <c r="H53" i="94"/>
  <c r="D53" i="94"/>
  <c r="B53" i="94"/>
  <c r="Z52" i="94"/>
  <c r="X52" i="94"/>
  <c r="N52" i="94"/>
  <c r="L52" i="94"/>
  <c r="B52" i="94"/>
  <c r="Z51" i="94"/>
  <c r="X51" i="94"/>
  <c r="T51" i="94"/>
  <c r="P51" i="94"/>
  <c r="H51" i="94"/>
  <c r="L51" i="94" s="1"/>
  <c r="D51" i="94"/>
  <c r="B51" i="94"/>
  <c r="X50" i="94"/>
  <c r="Z50" i="94" s="1"/>
  <c r="L50" i="94"/>
  <c r="N50" i="94" s="1"/>
  <c r="B50" i="94"/>
  <c r="T49" i="94"/>
  <c r="X49" i="94" s="1"/>
  <c r="R49" i="94"/>
  <c r="P49" i="94"/>
  <c r="H49" i="94"/>
  <c r="D49" i="94"/>
  <c r="L49" i="94" s="1"/>
  <c r="B49" i="94"/>
  <c r="X48" i="94"/>
  <c r="Z48" i="94" s="1"/>
  <c r="R48" i="94"/>
  <c r="N48" i="94"/>
  <c r="L48" i="94"/>
  <c r="B48" i="94"/>
  <c r="T47" i="94"/>
  <c r="P47" i="94"/>
  <c r="X47" i="94" s="1"/>
  <c r="N47" i="94"/>
  <c r="H47" i="94"/>
  <c r="D47" i="94"/>
  <c r="L47" i="94" s="1"/>
  <c r="B47" i="94"/>
  <c r="X46" i="94"/>
  <c r="Z46" i="94" s="1"/>
  <c r="L46" i="94"/>
  <c r="N46" i="94" s="1"/>
  <c r="B46" i="94"/>
  <c r="Z45" i="94"/>
  <c r="T45" i="94"/>
  <c r="P45" i="94"/>
  <c r="X45" i="94" s="1"/>
  <c r="L45" i="94"/>
  <c r="N45" i="94" s="1"/>
  <c r="H45" i="94"/>
  <c r="D45" i="94"/>
  <c r="B45" i="94"/>
  <c r="Z44" i="94"/>
  <c r="X44" i="94"/>
  <c r="N44" i="94"/>
  <c r="L44" i="94"/>
  <c r="B44" i="94"/>
  <c r="X43" i="94"/>
  <c r="Z43" i="94" s="1"/>
  <c r="T43" i="94"/>
  <c r="P43" i="94"/>
  <c r="H43" i="94"/>
  <c r="L43" i="94" s="1"/>
  <c r="D43" i="94"/>
  <c r="B43" i="94"/>
  <c r="X42" i="94"/>
  <c r="Z42" i="94" s="1"/>
  <c r="N42" i="94"/>
  <c r="L42" i="94"/>
  <c r="B42" i="94"/>
  <c r="T41" i="94"/>
  <c r="R41" i="94"/>
  <c r="P41" i="94"/>
  <c r="H41" i="94"/>
  <c r="N41" i="94" s="1"/>
  <c r="D41" i="94"/>
  <c r="L41" i="94" s="1"/>
  <c r="B41" i="94"/>
  <c r="Z40" i="94"/>
  <c r="X40" i="94"/>
  <c r="R40" i="94"/>
  <c r="N40" i="94"/>
  <c r="L40" i="94"/>
  <c r="B40" i="94"/>
  <c r="X39" i="94"/>
  <c r="Z39" i="94" s="1"/>
  <c r="V39" i="94"/>
  <c r="L39" i="94"/>
  <c r="N39" i="94" s="1"/>
  <c r="B39" i="94"/>
  <c r="X38" i="94"/>
  <c r="Z38" i="94" s="1"/>
  <c r="N38" i="94"/>
  <c r="L38" i="94"/>
  <c r="B38" i="94"/>
  <c r="Z37" i="94"/>
  <c r="X37" i="94"/>
  <c r="R37" i="94"/>
  <c r="N37" i="94"/>
  <c r="L37" i="94"/>
  <c r="B37" i="94"/>
  <c r="Z36" i="94"/>
  <c r="X36" i="94"/>
  <c r="V36" i="94"/>
  <c r="R36" i="94"/>
  <c r="N36" i="94"/>
  <c r="L36" i="94"/>
  <c r="B36" i="94"/>
  <c r="X35" i="94"/>
  <c r="Z35" i="94" s="1"/>
  <c r="L35" i="94"/>
  <c r="N35" i="94" s="1"/>
  <c r="B35" i="94"/>
  <c r="X34" i="94"/>
  <c r="Z34" i="94" s="1"/>
  <c r="T34" i="94"/>
  <c r="R34" i="94"/>
  <c r="P34" i="94"/>
  <c r="H34" i="94"/>
  <c r="L34" i="94" s="1"/>
  <c r="D34" i="94"/>
  <c r="B34" i="94"/>
  <c r="X33" i="94"/>
  <c r="Z33" i="94" s="1"/>
  <c r="R33" i="94"/>
  <c r="N33" i="94"/>
  <c r="L33" i="94"/>
  <c r="B33" i="94"/>
  <c r="Z32" i="94"/>
  <c r="X32" i="94"/>
  <c r="V32" i="94"/>
  <c r="R32" i="94"/>
  <c r="L32" i="94"/>
  <c r="N32" i="94" s="1"/>
  <c r="B32" i="94"/>
  <c r="X31" i="94"/>
  <c r="Z31" i="94" s="1"/>
  <c r="L31" i="94"/>
  <c r="N31" i="94" s="1"/>
  <c r="B31" i="94"/>
  <c r="X30" i="94"/>
  <c r="Z30" i="94" s="1"/>
  <c r="L30" i="94"/>
  <c r="N30" i="94" s="1"/>
  <c r="B30" i="94"/>
  <c r="Z29" i="94"/>
  <c r="X29" i="94"/>
  <c r="L29" i="94"/>
  <c r="N29" i="94" s="1"/>
  <c r="B29" i="94"/>
  <c r="X28" i="94"/>
  <c r="Z28" i="94" s="1"/>
  <c r="L28" i="94"/>
  <c r="N28" i="94" s="1"/>
  <c r="B28" i="94"/>
  <c r="X27" i="94"/>
  <c r="Z27" i="94" s="1"/>
  <c r="L27" i="94"/>
  <c r="N27" i="94" s="1"/>
  <c r="B27" i="94"/>
  <c r="Z26" i="94"/>
  <c r="X26" i="94"/>
  <c r="L26" i="94"/>
  <c r="N26" i="94" s="1"/>
  <c r="B26" i="94"/>
  <c r="X25" i="94"/>
  <c r="Z25" i="94" s="1"/>
  <c r="N25" i="94"/>
  <c r="L25" i="94"/>
  <c r="B25" i="94"/>
  <c r="Z24" i="94"/>
  <c r="X24" i="94"/>
  <c r="T24" i="94"/>
  <c r="P24" i="94"/>
  <c r="H24" i="94"/>
  <c r="D24" i="94"/>
  <c r="B24" i="94"/>
  <c r="T23" i="94" a="1"/>
  <c r="T23" i="94"/>
  <c r="P23" i="94" a="1"/>
  <c r="P23" i="94" s="1"/>
  <c r="X23" i="94" s="1"/>
  <c r="H23" i="94" a="1"/>
  <c r="H23" i="94"/>
  <c r="D23" i="94" a="1"/>
  <c r="D23" i="94" s="1"/>
  <c r="L23" i="94" s="1"/>
  <c r="Z19" i="94"/>
  <c r="X19" i="94"/>
  <c r="L19" i="94"/>
  <c r="N19" i="94" s="1"/>
  <c r="B19" i="94"/>
  <c r="X18" i="94"/>
  <c r="Z18" i="94" s="1"/>
  <c r="N18" i="94"/>
  <c r="L18" i="94"/>
  <c r="B18" i="94"/>
  <c r="T17" i="94"/>
  <c r="R17" i="94"/>
  <c r="P17" i="94"/>
  <c r="X17" i="94" s="1"/>
  <c r="Z17" i="94" s="1"/>
  <c r="H17" i="94"/>
  <c r="D17" i="94"/>
  <c r="L17" i="94" s="1"/>
  <c r="N17" i="94" s="1"/>
  <c r="X15" i="94"/>
  <c r="Z15" i="94" s="1"/>
  <c r="T15" i="94"/>
  <c r="P15" i="94"/>
  <c r="H15" i="94"/>
  <c r="N15" i="94" s="1"/>
  <c r="D15" i="94"/>
  <c r="L15" i="94" s="1"/>
  <c r="B15" i="94"/>
  <c r="T14" i="94"/>
  <c r="T12" i="94" s="1"/>
  <c r="V80" i="94" s="1"/>
  <c r="P14" i="94"/>
  <c r="H14" i="94"/>
  <c r="D14" i="94"/>
  <c r="L14" i="94" s="1"/>
  <c r="B14" i="94"/>
  <c r="Z13" i="94"/>
  <c r="X13" i="94"/>
  <c r="T13" i="94"/>
  <c r="P13" i="94"/>
  <c r="H13" i="94"/>
  <c r="D13" i="94"/>
  <c r="B13" i="94"/>
  <c r="P12" i="94"/>
  <c r="R73" i="94" s="1"/>
  <c r="H12" i="94"/>
  <c r="J71" i="94" s="1"/>
  <c r="D12" i="94"/>
  <c r="F43" i="94" s="1"/>
  <c r="D6" i="94"/>
  <c r="D4" i="94"/>
  <c r="V42" i="93"/>
  <c r="J42" i="93"/>
  <c r="Z40" i="93"/>
  <c r="X40" i="93"/>
  <c r="N40" i="93"/>
  <c r="L40" i="93"/>
  <c r="J40" i="93"/>
  <c r="Z36" i="93"/>
  <c r="X36" i="93"/>
  <c r="V36" i="93"/>
  <c r="T36" i="93"/>
  <c r="P36" i="93"/>
  <c r="H36" i="93"/>
  <c r="N36" i="93" s="1"/>
  <c r="D36" i="93"/>
  <c r="X34" i="93"/>
  <c r="Z34" i="93" s="1"/>
  <c r="N34" i="93"/>
  <c r="L34" i="93"/>
  <c r="B34" i="93"/>
  <c r="V33" i="93"/>
  <c r="T33" i="93"/>
  <c r="P33" i="93"/>
  <c r="X33" i="93" s="1"/>
  <c r="H33" i="93"/>
  <c r="N33" i="93" s="1"/>
  <c r="D33" i="93"/>
  <c r="L33" i="93" s="1"/>
  <c r="B33" i="93"/>
  <c r="Z32" i="93"/>
  <c r="X32" i="93"/>
  <c r="N32" i="93"/>
  <c r="L32" i="93"/>
  <c r="B32" i="93"/>
  <c r="T31" i="93"/>
  <c r="Z31" i="93" s="1"/>
  <c r="P31" i="93"/>
  <c r="X31" i="93" s="1"/>
  <c r="N31" i="93"/>
  <c r="L31" i="93"/>
  <c r="H31" i="93"/>
  <c r="D31" i="93"/>
  <c r="B31" i="93"/>
  <c r="Z30" i="93"/>
  <c r="X30" i="93"/>
  <c r="V30" i="93"/>
  <c r="N30" i="93"/>
  <c r="L30" i="93"/>
  <c r="B30" i="93"/>
  <c r="Z29" i="93"/>
  <c r="X29" i="93"/>
  <c r="T29" i="93"/>
  <c r="P29" i="93"/>
  <c r="N29" i="93"/>
  <c r="L29" i="93"/>
  <c r="H29" i="93"/>
  <c r="D29" i="93"/>
  <c r="B29" i="93"/>
  <c r="Z28" i="93"/>
  <c r="X28" i="93"/>
  <c r="V28" i="93"/>
  <c r="N28" i="93"/>
  <c r="L28" i="93"/>
  <c r="B28" i="93"/>
  <c r="V27" i="93"/>
  <c r="T27" i="93"/>
  <c r="P27" i="93"/>
  <c r="H27" i="93"/>
  <c r="N27" i="93" s="1"/>
  <c r="D27" i="93"/>
  <c r="L27" i="93" s="1"/>
  <c r="B27" i="93"/>
  <c r="Z26" i="93"/>
  <c r="X26" i="93"/>
  <c r="R26" i="93"/>
  <c r="N26" i="93"/>
  <c r="L26" i="93"/>
  <c r="B26" i="93"/>
  <c r="V25" i="93"/>
  <c r="T25" i="93"/>
  <c r="Z25" i="93" s="1"/>
  <c r="P25" i="93"/>
  <c r="X25" i="93" s="1"/>
  <c r="H25" i="93"/>
  <c r="N25" i="93" s="1"/>
  <c r="D25" i="93"/>
  <c r="L25" i="93" s="1"/>
  <c r="B25" i="93"/>
  <c r="Z24" i="93"/>
  <c r="X24" i="93"/>
  <c r="N24" i="93"/>
  <c r="L24" i="93"/>
  <c r="B24" i="93"/>
  <c r="Z23" i="93"/>
  <c r="X23" i="93"/>
  <c r="N23" i="93"/>
  <c r="L23" i="93"/>
  <c r="J23" i="93"/>
  <c r="B23" i="93"/>
  <c r="T22" i="93"/>
  <c r="Z22" i="93" s="1"/>
  <c r="P22" i="93"/>
  <c r="N22" i="93"/>
  <c r="H22" i="93"/>
  <c r="D22" i="93"/>
  <c r="L22" i="93" s="1"/>
  <c r="B22" i="93"/>
  <c r="T21" i="93" a="1"/>
  <c r="T21" i="93" s="1"/>
  <c r="P21" i="93" a="1"/>
  <c r="P21" i="93" s="1"/>
  <c r="X21" i="93" s="1"/>
  <c r="N21" i="93"/>
  <c r="L21" i="93"/>
  <c r="H21" i="93" a="1"/>
  <c r="H21" i="93" s="1"/>
  <c r="D21" i="93" a="1"/>
  <c r="D21" i="93"/>
  <c r="J19" i="93"/>
  <c r="Z17" i="93"/>
  <c r="X17" i="93"/>
  <c r="V17" i="93"/>
  <c r="N17" i="93"/>
  <c r="L17" i="93"/>
  <c r="B17" i="93"/>
  <c r="V16" i="93"/>
  <c r="T16" i="93"/>
  <c r="Z16" i="93" s="1"/>
  <c r="P16" i="93"/>
  <c r="H16" i="93"/>
  <c r="N16" i="93" s="1"/>
  <c r="D16" i="93"/>
  <c r="Z14" i="93"/>
  <c r="T14" i="93"/>
  <c r="P14" i="93"/>
  <c r="X14" i="93" s="1"/>
  <c r="L14" i="93"/>
  <c r="H14" i="93"/>
  <c r="N14" i="93" s="1"/>
  <c r="D14" i="93"/>
  <c r="B14" i="93"/>
  <c r="T13" i="93"/>
  <c r="Z13" i="93" s="1"/>
  <c r="P13" i="93"/>
  <c r="X13" i="93" s="1"/>
  <c r="N13" i="93"/>
  <c r="L13" i="93"/>
  <c r="H13" i="93"/>
  <c r="D13" i="93"/>
  <c r="D12" i="93" s="1"/>
  <c r="B13" i="93"/>
  <c r="T12" i="93"/>
  <c r="V29" i="93" s="1"/>
  <c r="P12" i="93"/>
  <c r="H12" i="93"/>
  <c r="D6" i="93"/>
  <c r="D4" i="93"/>
  <c r="X84" i="92"/>
  <c r="Z84" i="92" s="1"/>
  <c r="N84" i="92"/>
  <c r="L84" i="92"/>
  <c r="Z80" i="92"/>
  <c r="T80" i="92"/>
  <c r="P80" i="92"/>
  <c r="X80" i="92" s="1"/>
  <c r="N80" i="92"/>
  <c r="L80" i="92"/>
  <c r="H80" i="92"/>
  <c r="D80" i="92"/>
  <c r="Z78" i="92"/>
  <c r="X78" i="92"/>
  <c r="N78" i="92"/>
  <c r="L78" i="92"/>
  <c r="B78" i="92"/>
  <c r="T77" i="92"/>
  <c r="P77" i="92"/>
  <c r="H77" i="92"/>
  <c r="N77" i="92" s="1"/>
  <c r="D77" i="92"/>
  <c r="B77" i="92"/>
  <c r="Z76" i="92"/>
  <c r="X76" i="92"/>
  <c r="L76" i="92"/>
  <c r="N76" i="92" s="1"/>
  <c r="B76" i="92"/>
  <c r="T75" i="92"/>
  <c r="P75" i="92"/>
  <c r="H75" i="92"/>
  <c r="N75" i="92" s="1"/>
  <c r="D75" i="92"/>
  <c r="L75" i="92" s="1"/>
  <c r="B75" i="92"/>
  <c r="Z74" i="92"/>
  <c r="X74" i="92"/>
  <c r="N74" i="92"/>
  <c r="L74" i="92"/>
  <c r="B74" i="92"/>
  <c r="Z73" i="92"/>
  <c r="X73" i="92"/>
  <c r="N73" i="92"/>
  <c r="L73" i="92"/>
  <c r="B73" i="92"/>
  <c r="Z72" i="92"/>
  <c r="X72" i="92"/>
  <c r="N72" i="92"/>
  <c r="L72" i="92"/>
  <c r="B72" i="92"/>
  <c r="X71" i="92"/>
  <c r="Z71" i="92" s="1"/>
  <c r="N71" i="92"/>
  <c r="L71" i="92"/>
  <c r="B71" i="92"/>
  <c r="X70" i="92"/>
  <c r="Z70" i="92" s="1"/>
  <c r="N70" i="92"/>
  <c r="L70" i="92"/>
  <c r="B70" i="92"/>
  <c r="X69" i="92"/>
  <c r="Z69" i="92" s="1"/>
  <c r="N69" i="92"/>
  <c r="L69" i="92"/>
  <c r="B69" i="92"/>
  <c r="X68" i="92"/>
  <c r="Z68" i="92" s="1"/>
  <c r="N68" i="92"/>
  <c r="L68" i="92"/>
  <c r="B68" i="92"/>
  <c r="Z67" i="92"/>
  <c r="X67" i="92"/>
  <c r="N67" i="92"/>
  <c r="L67" i="92"/>
  <c r="B67" i="92"/>
  <c r="Z66" i="92"/>
  <c r="T66" i="92"/>
  <c r="P66" i="92"/>
  <c r="X66" i="92" s="1"/>
  <c r="N66" i="92"/>
  <c r="L66" i="92"/>
  <c r="H66" i="92"/>
  <c r="D66" i="92"/>
  <c r="B66" i="92"/>
  <c r="Z65" i="92"/>
  <c r="X65" i="92"/>
  <c r="N65" i="92"/>
  <c r="L65" i="92"/>
  <c r="B65" i="92"/>
  <c r="X64" i="92"/>
  <c r="Z64" i="92" s="1"/>
  <c r="L64" i="92"/>
  <c r="N64" i="92" s="1"/>
  <c r="B64" i="92"/>
  <c r="X63" i="92"/>
  <c r="Z63" i="92" s="1"/>
  <c r="L63" i="92"/>
  <c r="N63" i="92" s="1"/>
  <c r="B63" i="92"/>
  <c r="Z62" i="92"/>
  <c r="T62" i="92"/>
  <c r="P62" i="92"/>
  <c r="X62" i="92" s="1"/>
  <c r="N62" i="92"/>
  <c r="L62" i="92"/>
  <c r="H62" i="92"/>
  <c r="D62" i="92"/>
  <c r="B62" i="92"/>
  <c r="X61" i="92"/>
  <c r="Z61" i="92" s="1"/>
  <c r="N61" i="92"/>
  <c r="L61" i="92"/>
  <c r="B61" i="92"/>
  <c r="Z60" i="92"/>
  <c r="X60" i="92"/>
  <c r="N60" i="92"/>
  <c r="L60" i="92"/>
  <c r="B60" i="92"/>
  <c r="X59" i="92"/>
  <c r="Z59" i="92" s="1"/>
  <c r="T59" i="92"/>
  <c r="P59" i="92"/>
  <c r="N59" i="92"/>
  <c r="L59" i="92"/>
  <c r="H59" i="92"/>
  <c r="D59" i="92"/>
  <c r="B59" i="92"/>
  <c r="X58" i="92"/>
  <c r="Z58" i="92" s="1"/>
  <c r="N58" i="92"/>
  <c r="L58" i="92"/>
  <c r="B58" i="92"/>
  <c r="X57" i="92"/>
  <c r="Z57" i="92" s="1"/>
  <c r="T57" i="92"/>
  <c r="P57" i="92"/>
  <c r="H57" i="92"/>
  <c r="N57" i="92" s="1"/>
  <c r="D57" i="92"/>
  <c r="L57" i="92" s="1"/>
  <c r="B57" i="92"/>
  <c r="X56" i="92"/>
  <c r="Z56" i="92" s="1"/>
  <c r="N56" i="92"/>
  <c r="L56" i="92"/>
  <c r="B56" i="92"/>
  <c r="T55" i="92"/>
  <c r="P55" i="92"/>
  <c r="X55" i="92" s="1"/>
  <c r="H55" i="92"/>
  <c r="N55" i="92" s="1"/>
  <c r="D55" i="92"/>
  <c r="L55" i="92" s="1"/>
  <c r="B55" i="92"/>
  <c r="Z54" i="92"/>
  <c r="X54" i="92"/>
  <c r="L54" i="92"/>
  <c r="N54" i="92" s="1"/>
  <c r="B54" i="92"/>
  <c r="T53" i="92"/>
  <c r="P53" i="92"/>
  <c r="X53" i="92" s="1"/>
  <c r="H53" i="92"/>
  <c r="D53" i="92"/>
  <c r="L53" i="92" s="1"/>
  <c r="N53" i="92" s="1"/>
  <c r="B53" i="92"/>
  <c r="Z52" i="92"/>
  <c r="X52" i="92"/>
  <c r="N52" i="92"/>
  <c r="L52" i="92"/>
  <c r="B52" i="92"/>
  <c r="Z51" i="92"/>
  <c r="X51" i="92"/>
  <c r="T51" i="92"/>
  <c r="P51" i="92"/>
  <c r="H51" i="92"/>
  <c r="D51" i="92"/>
  <c r="B51" i="92"/>
  <c r="Z50" i="92"/>
  <c r="X50" i="92"/>
  <c r="N50" i="92"/>
  <c r="L50" i="92"/>
  <c r="B50" i="92"/>
  <c r="Z49" i="92"/>
  <c r="X49" i="92"/>
  <c r="T49" i="92"/>
  <c r="P49" i="92"/>
  <c r="N49" i="92"/>
  <c r="H49" i="92"/>
  <c r="D49" i="92"/>
  <c r="L49" i="92" s="1"/>
  <c r="B49" i="92"/>
  <c r="X48" i="92"/>
  <c r="Z48" i="92" s="1"/>
  <c r="L48" i="92"/>
  <c r="N48" i="92" s="1"/>
  <c r="B48" i="92"/>
  <c r="X47" i="92"/>
  <c r="Z47" i="92" s="1"/>
  <c r="T47" i="92"/>
  <c r="P47" i="92"/>
  <c r="H47" i="92"/>
  <c r="D47" i="92"/>
  <c r="L47" i="92" s="1"/>
  <c r="B47" i="92"/>
  <c r="Z46" i="92"/>
  <c r="X46" i="92"/>
  <c r="N46" i="92"/>
  <c r="L46" i="92"/>
  <c r="B46" i="92"/>
  <c r="T45" i="92"/>
  <c r="Z45" i="92" s="1"/>
  <c r="P45" i="92"/>
  <c r="H45" i="92"/>
  <c r="D45" i="92"/>
  <c r="B45" i="92"/>
  <c r="Z44" i="92"/>
  <c r="X44" i="92"/>
  <c r="N44" i="92"/>
  <c r="L44" i="92"/>
  <c r="B44" i="92"/>
  <c r="Z43" i="92"/>
  <c r="T43" i="92"/>
  <c r="P43" i="92"/>
  <c r="X43" i="92" s="1"/>
  <c r="N43" i="92"/>
  <c r="H43" i="92"/>
  <c r="D43" i="92"/>
  <c r="L43" i="92" s="1"/>
  <c r="B43" i="92"/>
  <c r="Z42" i="92"/>
  <c r="X42" i="92"/>
  <c r="N42" i="92"/>
  <c r="L42" i="92"/>
  <c r="B42" i="92"/>
  <c r="T41" i="92"/>
  <c r="P41" i="92"/>
  <c r="X41" i="92" s="1"/>
  <c r="Z41" i="92" s="1"/>
  <c r="N41" i="92"/>
  <c r="L41" i="92"/>
  <c r="H41" i="92"/>
  <c r="D41" i="92"/>
  <c r="B41" i="92"/>
  <c r="Z40" i="92"/>
  <c r="X40" i="92"/>
  <c r="N40" i="92"/>
  <c r="L40" i="92"/>
  <c r="B40" i="92"/>
  <c r="Z39" i="92"/>
  <c r="X39" i="92"/>
  <c r="N39" i="92"/>
  <c r="L39" i="92"/>
  <c r="B39" i="92"/>
  <c r="Z38" i="92"/>
  <c r="X38" i="92"/>
  <c r="N38" i="92"/>
  <c r="L38" i="92"/>
  <c r="B38" i="92"/>
  <c r="Z37" i="92"/>
  <c r="X37" i="92"/>
  <c r="N37" i="92"/>
  <c r="L37" i="92"/>
  <c r="B37" i="92"/>
  <c r="X36" i="92"/>
  <c r="Z36" i="92" s="1"/>
  <c r="N36" i="92"/>
  <c r="L36" i="92"/>
  <c r="B36" i="92"/>
  <c r="Z35" i="92"/>
  <c r="X35" i="92"/>
  <c r="L35" i="92"/>
  <c r="N35" i="92" s="1"/>
  <c r="B35" i="92"/>
  <c r="T34" i="92"/>
  <c r="P34" i="92"/>
  <c r="X34" i="92" s="1"/>
  <c r="Z34" i="92" s="1"/>
  <c r="L34" i="92"/>
  <c r="H34" i="92"/>
  <c r="N34" i="92" s="1"/>
  <c r="D34" i="92"/>
  <c r="B34" i="92"/>
  <c r="Z33" i="92"/>
  <c r="X33" i="92"/>
  <c r="L33" i="92"/>
  <c r="N33" i="92" s="1"/>
  <c r="B33" i="92"/>
  <c r="X32" i="92"/>
  <c r="Z32" i="92" s="1"/>
  <c r="N32" i="92"/>
  <c r="L32" i="92"/>
  <c r="B32" i="92"/>
  <c r="Z31" i="92"/>
  <c r="X31" i="92"/>
  <c r="L31" i="92"/>
  <c r="N31" i="92" s="1"/>
  <c r="B31" i="92"/>
  <c r="Z30" i="92"/>
  <c r="X30" i="92"/>
  <c r="L30" i="92"/>
  <c r="N30" i="92" s="1"/>
  <c r="B30" i="92"/>
  <c r="X29" i="92"/>
  <c r="Z29" i="92" s="1"/>
  <c r="N29" i="92"/>
  <c r="L29" i="92"/>
  <c r="B29" i="92"/>
  <c r="Z28" i="92"/>
  <c r="X28" i="92"/>
  <c r="L28" i="92"/>
  <c r="N28" i="92" s="1"/>
  <c r="B28" i="92"/>
  <c r="X27" i="92"/>
  <c r="Z27" i="92" s="1"/>
  <c r="N27" i="92"/>
  <c r="L27" i="92"/>
  <c r="B27" i="92"/>
  <c r="Z26" i="92"/>
  <c r="X26" i="92"/>
  <c r="N26" i="92"/>
  <c r="L26" i="92"/>
  <c r="B26" i="92"/>
  <c r="Z25" i="92"/>
  <c r="X25" i="92"/>
  <c r="L25" i="92"/>
  <c r="N25" i="92" s="1"/>
  <c r="B25" i="92"/>
  <c r="X24" i="92"/>
  <c r="T24" i="92"/>
  <c r="Z24" i="92" s="1"/>
  <c r="P24" i="92"/>
  <c r="L24" i="92"/>
  <c r="N24" i="92" s="1"/>
  <c r="H24" i="92"/>
  <c r="D24" i="92"/>
  <c r="B24" i="92"/>
  <c r="T23" i="92" a="1"/>
  <c r="T23" i="92"/>
  <c r="P23" i="92" a="1"/>
  <c r="P23" i="92" s="1"/>
  <c r="X23" i="92" s="1"/>
  <c r="H23" i="92" a="1"/>
  <c r="H23" i="92" s="1"/>
  <c r="D23" i="92" a="1"/>
  <c r="D23" i="92" s="1"/>
  <c r="L23" i="92" s="1"/>
  <c r="Z19" i="92"/>
  <c r="X19" i="92"/>
  <c r="N19" i="92"/>
  <c r="L19" i="92"/>
  <c r="B19" i="92"/>
  <c r="X18" i="92"/>
  <c r="Z18" i="92" s="1"/>
  <c r="N18" i="92"/>
  <c r="L18" i="92"/>
  <c r="B18" i="92"/>
  <c r="T17" i="92"/>
  <c r="P17" i="92"/>
  <c r="X17" i="92" s="1"/>
  <c r="N17" i="92"/>
  <c r="H17" i="92"/>
  <c r="D17" i="92"/>
  <c r="L17" i="92" s="1"/>
  <c r="T15" i="92"/>
  <c r="X15" i="92" s="1"/>
  <c r="Z15" i="92" s="1"/>
  <c r="P15" i="92"/>
  <c r="H15" i="92"/>
  <c r="D15" i="92"/>
  <c r="L15" i="92" s="1"/>
  <c r="N15" i="92" s="1"/>
  <c r="B15" i="92"/>
  <c r="T14" i="92"/>
  <c r="P14" i="92"/>
  <c r="X14" i="92" s="1"/>
  <c r="Z14" i="92" s="1"/>
  <c r="H14" i="92"/>
  <c r="N14" i="92" s="1"/>
  <c r="D14" i="92"/>
  <c r="B14" i="92"/>
  <c r="T13" i="92"/>
  <c r="P13" i="92"/>
  <c r="L13" i="92"/>
  <c r="H13" i="92"/>
  <c r="D13" i="92"/>
  <c r="B13" i="92"/>
  <c r="D6" i="92"/>
  <c r="D4" i="92"/>
  <c r="V56" i="91"/>
  <c r="F56" i="91"/>
  <c r="Z51" i="91"/>
  <c r="X51" i="91"/>
  <c r="V51" i="91"/>
  <c r="N51" i="91"/>
  <c r="L51" i="91"/>
  <c r="V49" i="91"/>
  <c r="F49" i="91"/>
  <c r="D49" i="91"/>
  <c r="T47" i="91"/>
  <c r="Z47" i="91" s="1"/>
  <c r="P47" i="91"/>
  <c r="N47" i="91"/>
  <c r="L47" i="91"/>
  <c r="H47" i="91"/>
  <c r="D47" i="91"/>
  <c r="Z45" i="91"/>
  <c r="X45" i="91"/>
  <c r="V45" i="91"/>
  <c r="N45" i="91"/>
  <c r="L45" i="91"/>
  <c r="B45" i="91"/>
  <c r="X44" i="91"/>
  <c r="V44" i="91"/>
  <c r="T44" i="91"/>
  <c r="Z44" i="91" s="1"/>
  <c r="P44" i="91"/>
  <c r="H44" i="91"/>
  <c r="N44" i="91" s="1"/>
  <c r="F44" i="91"/>
  <c r="D44" i="91"/>
  <c r="B44" i="91"/>
  <c r="X43" i="91"/>
  <c r="Z43" i="91" s="1"/>
  <c r="N43" i="91"/>
  <c r="L43" i="91"/>
  <c r="B43" i="91"/>
  <c r="T42" i="91"/>
  <c r="P42" i="91"/>
  <c r="N42" i="91"/>
  <c r="H42" i="91"/>
  <c r="D42" i="91"/>
  <c r="L42" i="91" s="1"/>
  <c r="B42" i="91"/>
  <c r="X41" i="91"/>
  <c r="Z41" i="91" s="1"/>
  <c r="N41" i="91"/>
  <c r="L41" i="91"/>
  <c r="F41" i="91"/>
  <c r="B41" i="91"/>
  <c r="T40" i="91"/>
  <c r="P40" i="91"/>
  <c r="X40" i="91" s="1"/>
  <c r="Z40" i="91" s="1"/>
  <c r="H40" i="91"/>
  <c r="D40" i="91"/>
  <c r="L40" i="91" s="1"/>
  <c r="N40" i="91" s="1"/>
  <c r="B40" i="91"/>
  <c r="Z39" i="91"/>
  <c r="X39" i="91"/>
  <c r="N39" i="91"/>
  <c r="L39" i="91"/>
  <c r="B39" i="91"/>
  <c r="Z38" i="91"/>
  <c r="X38" i="91"/>
  <c r="N38" i="91"/>
  <c r="L38" i="91"/>
  <c r="F38" i="91"/>
  <c r="B38" i="91"/>
  <c r="X37" i="91"/>
  <c r="Z37" i="91" s="1"/>
  <c r="N37" i="91"/>
  <c r="L37" i="91"/>
  <c r="J37" i="91"/>
  <c r="F37" i="91"/>
  <c r="B37" i="91"/>
  <c r="T36" i="91"/>
  <c r="P36" i="91"/>
  <c r="X36" i="91" s="1"/>
  <c r="Z36" i="91" s="1"/>
  <c r="N36" i="91"/>
  <c r="H36" i="91"/>
  <c r="D36" i="91"/>
  <c r="L36" i="91" s="1"/>
  <c r="B36" i="91"/>
  <c r="X35" i="91"/>
  <c r="Z35" i="91" s="1"/>
  <c r="L35" i="91"/>
  <c r="N35" i="91" s="1"/>
  <c r="B35" i="91"/>
  <c r="Z34" i="91"/>
  <c r="T34" i="91"/>
  <c r="P34" i="91"/>
  <c r="X34" i="91" s="1"/>
  <c r="L34" i="91"/>
  <c r="H34" i="91"/>
  <c r="D34" i="91"/>
  <c r="B34" i="91"/>
  <c r="Z33" i="91"/>
  <c r="X33" i="91"/>
  <c r="V33" i="91"/>
  <c r="N33" i="91"/>
  <c r="L33" i="91"/>
  <c r="B33" i="91"/>
  <c r="X32" i="91"/>
  <c r="V32" i="91"/>
  <c r="T32" i="91"/>
  <c r="P32" i="91"/>
  <c r="H32" i="91"/>
  <c r="N32" i="91" s="1"/>
  <c r="F32" i="91"/>
  <c r="D32" i="91"/>
  <c r="B32" i="91"/>
  <c r="Z31" i="91"/>
  <c r="X31" i="91"/>
  <c r="N31" i="91"/>
  <c r="L31" i="91"/>
  <c r="B31" i="91"/>
  <c r="T30" i="91"/>
  <c r="Z30" i="91" s="1"/>
  <c r="P30" i="91"/>
  <c r="H30" i="91"/>
  <c r="N30" i="91" s="1"/>
  <c r="D30" i="91"/>
  <c r="L30" i="91" s="1"/>
  <c r="B30" i="91"/>
  <c r="Z29" i="91"/>
  <c r="X29" i="91"/>
  <c r="N29" i="91"/>
  <c r="L29" i="91"/>
  <c r="F29" i="91"/>
  <c r="B29" i="91"/>
  <c r="T28" i="91"/>
  <c r="Z28" i="91" s="1"/>
  <c r="P28" i="91"/>
  <c r="X28" i="91" s="1"/>
  <c r="N28" i="91"/>
  <c r="H28" i="91"/>
  <c r="D28" i="91"/>
  <c r="L28" i="91" s="1"/>
  <c r="B28" i="91"/>
  <c r="X27" i="91"/>
  <c r="Z27" i="91" s="1"/>
  <c r="N27" i="91"/>
  <c r="L27" i="91"/>
  <c r="B27" i="91"/>
  <c r="Z26" i="91"/>
  <c r="X26" i="91"/>
  <c r="N26" i="91"/>
  <c r="L26" i="91"/>
  <c r="F26" i="91"/>
  <c r="B26" i="91"/>
  <c r="Z25" i="91"/>
  <c r="X25" i="91"/>
  <c r="N25" i="91"/>
  <c r="L25" i="91"/>
  <c r="F25" i="91"/>
  <c r="B25" i="91"/>
  <c r="Z24" i="91"/>
  <c r="X24" i="91"/>
  <c r="V24" i="91"/>
  <c r="L24" i="91"/>
  <c r="N24" i="91" s="1"/>
  <c r="B24" i="91"/>
  <c r="X23" i="91"/>
  <c r="Z23" i="91" s="1"/>
  <c r="N23" i="91"/>
  <c r="L23" i="91"/>
  <c r="B23" i="91"/>
  <c r="Z22" i="91"/>
  <c r="X22" i="91"/>
  <c r="N22" i="91"/>
  <c r="L22" i="91"/>
  <c r="B22" i="91"/>
  <c r="Z21" i="91"/>
  <c r="X21" i="91"/>
  <c r="V21" i="91"/>
  <c r="N21" i="91"/>
  <c r="L21" i="91"/>
  <c r="F21" i="91"/>
  <c r="B21" i="91"/>
  <c r="X20" i="91"/>
  <c r="Z20" i="91" s="1"/>
  <c r="V20" i="91"/>
  <c r="N20" i="91"/>
  <c r="L20" i="91"/>
  <c r="B20" i="91"/>
  <c r="V19" i="91"/>
  <c r="T19" i="91"/>
  <c r="P19" i="91"/>
  <c r="X19" i="91" s="1"/>
  <c r="Z19" i="91" s="1"/>
  <c r="H19" i="91"/>
  <c r="D19" i="91"/>
  <c r="B19" i="91"/>
  <c r="T18" i="91" a="1"/>
  <c r="T18" i="91" s="1"/>
  <c r="P18" i="91" a="1"/>
  <c r="P18" i="91" s="1"/>
  <c r="H18" i="91" a="1"/>
  <c r="H18" i="91" s="1"/>
  <c r="F18" i="91"/>
  <c r="D18" i="91" a="1"/>
  <c r="D18" i="91" s="1"/>
  <c r="Z16" i="91"/>
  <c r="T16" i="91"/>
  <c r="D16" i="91"/>
  <c r="Z14" i="91"/>
  <c r="V14" i="91"/>
  <c r="T14" i="91"/>
  <c r="P14" i="91"/>
  <c r="X14" i="91" s="1"/>
  <c r="L14" i="91"/>
  <c r="H14" i="91"/>
  <c r="N14" i="91" s="1"/>
  <c r="F14" i="91"/>
  <c r="D14" i="91"/>
  <c r="Z12" i="91"/>
  <c r="T12" i="91"/>
  <c r="V39" i="91" s="1"/>
  <c r="P12" i="91"/>
  <c r="H12" i="91"/>
  <c r="J29" i="91" s="1"/>
  <c r="D12" i="91"/>
  <c r="F24" i="91" s="1"/>
  <c r="D6" i="91"/>
  <c r="D4" i="91"/>
  <c r="Z49" i="90"/>
  <c r="X49" i="90"/>
  <c r="N49" i="90"/>
  <c r="L49" i="90"/>
  <c r="J49" i="90"/>
  <c r="T45" i="90"/>
  <c r="Z45" i="90" s="1"/>
  <c r="P45" i="90"/>
  <c r="X45" i="90" s="1"/>
  <c r="H45" i="90"/>
  <c r="N45" i="90" s="1"/>
  <c r="D45" i="90"/>
  <c r="L45" i="90" s="1"/>
  <c r="X43" i="90"/>
  <c r="Z43" i="90" s="1"/>
  <c r="N43" i="90"/>
  <c r="L43" i="90"/>
  <c r="J43" i="90"/>
  <c r="B43" i="90"/>
  <c r="Z42" i="90"/>
  <c r="T42" i="90"/>
  <c r="P42" i="90"/>
  <c r="X42" i="90" s="1"/>
  <c r="N42" i="90"/>
  <c r="L42" i="90"/>
  <c r="J42" i="90"/>
  <c r="H42" i="90"/>
  <c r="D42" i="90"/>
  <c r="B42" i="90"/>
  <c r="Z41" i="90"/>
  <c r="X41" i="90"/>
  <c r="R41" i="90"/>
  <c r="N41" i="90"/>
  <c r="L41" i="90"/>
  <c r="B41" i="90"/>
  <c r="Z40" i="90"/>
  <c r="X40" i="90"/>
  <c r="T40" i="90"/>
  <c r="P40" i="90"/>
  <c r="N40" i="90"/>
  <c r="L40" i="90"/>
  <c r="H40" i="90"/>
  <c r="D40" i="90"/>
  <c r="B40" i="90"/>
  <c r="Z39" i="90"/>
  <c r="X39" i="90"/>
  <c r="N39" i="90"/>
  <c r="L39" i="90"/>
  <c r="B39" i="90"/>
  <c r="Z38" i="90"/>
  <c r="X38" i="90"/>
  <c r="T38" i="90"/>
  <c r="R38" i="90"/>
  <c r="P38" i="90"/>
  <c r="H38" i="90"/>
  <c r="N38" i="90" s="1"/>
  <c r="D38" i="90"/>
  <c r="L38" i="90" s="1"/>
  <c r="B38" i="90"/>
  <c r="X37" i="90"/>
  <c r="Z37" i="90" s="1"/>
  <c r="N37" i="90"/>
  <c r="L37" i="90"/>
  <c r="F37" i="90"/>
  <c r="B37" i="90"/>
  <c r="Z36" i="90"/>
  <c r="X36" i="90"/>
  <c r="N36" i="90"/>
  <c r="L36" i="90"/>
  <c r="J36" i="90"/>
  <c r="B36" i="90"/>
  <c r="T35" i="90"/>
  <c r="P35" i="90"/>
  <c r="X35" i="90" s="1"/>
  <c r="H35" i="90"/>
  <c r="N35" i="90" s="1"/>
  <c r="D35" i="90"/>
  <c r="L35" i="90" s="1"/>
  <c r="B35" i="90"/>
  <c r="Z34" i="90"/>
  <c r="X34" i="90"/>
  <c r="N34" i="90"/>
  <c r="L34" i="90"/>
  <c r="B34" i="90"/>
  <c r="T33" i="90"/>
  <c r="Z33" i="90" s="1"/>
  <c r="P33" i="90"/>
  <c r="X33" i="90" s="1"/>
  <c r="N33" i="90"/>
  <c r="L33" i="90"/>
  <c r="H33" i="90"/>
  <c r="D33" i="90"/>
  <c r="B33" i="90"/>
  <c r="Z32" i="90"/>
  <c r="X32" i="90"/>
  <c r="N32" i="90"/>
  <c r="L32" i="90"/>
  <c r="B32" i="90"/>
  <c r="X31" i="90"/>
  <c r="Z31" i="90" s="1"/>
  <c r="T31" i="90"/>
  <c r="P31" i="90"/>
  <c r="H31" i="90"/>
  <c r="D31" i="90"/>
  <c r="B31" i="90"/>
  <c r="Z30" i="90"/>
  <c r="X30" i="90"/>
  <c r="N30" i="90"/>
  <c r="L30" i="90"/>
  <c r="B30" i="90"/>
  <c r="Z29" i="90"/>
  <c r="T29" i="90"/>
  <c r="X29" i="90" s="1"/>
  <c r="P29" i="90"/>
  <c r="J29" i="90"/>
  <c r="H29" i="90"/>
  <c r="N29" i="90" s="1"/>
  <c r="D29" i="90"/>
  <c r="L29" i="90" s="1"/>
  <c r="B29" i="90"/>
  <c r="Z28" i="90"/>
  <c r="X28" i="90"/>
  <c r="R28" i="90"/>
  <c r="N28" i="90"/>
  <c r="L28" i="90"/>
  <c r="J28" i="90"/>
  <c r="B28" i="90"/>
  <c r="T27" i="90"/>
  <c r="P27" i="90"/>
  <c r="X27" i="90" s="1"/>
  <c r="H27" i="90"/>
  <c r="N27" i="90" s="1"/>
  <c r="D27" i="90"/>
  <c r="L27" i="90" s="1"/>
  <c r="B27" i="90"/>
  <c r="Z26" i="90"/>
  <c r="X26" i="90"/>
  <c r="N26" i="90"/>
  <c r="L26" i="90"/>
  <c r="B26" i="90"/>
  <c r="X25" i="90"/>
  <c r="Z25" i="90" s="1"/>
  <c r="N25" i="90"/>
  <c r="L25" i="90"/>
  <c r="B25" i="90"/>
  <c r="Z24" i="90"/>
  <c r="X24" i="90"/>
  <c r="R24" i="90"/>
  <c r="N24" i="90"/>
  <c r="L24" i="90"/>
  <c r="J24" i="90"/>
  <c r="B24" i="90"/>
  <c r="X23" i="90"/>
  <c r="Z23" i="90" s="1"/>
  <c r="N23" i="90"/>
  <c r="L23" i="90"/>
  <c r="B23" i="90"/>
  <c r="X22" i="90"/>
  <c r="Z22" i="90" s="1"/>
  <c r="N22" i="90"/>
  <c r="L22" i="90"/>
  <c r="B22" i="90"/>
  <c r="T21" i="90"/>
  <c r="P21" i="90"/>
  <c r="J21" i="90"/>
  <c r="H21" i="90"/>
  <c r="N21" i="90" s="1"/>
  <c r="D21" i="90"/>
  <c r="L21" i="90" s="1"/>
  <c r="B21" i="90"/>
  <c r="T20" i="90" a="1"/>
  <c r="T20" i="90" s="1"/>
  <c r="P20" i="90" a="1"/>
  <c r="P20" i="90" s="1"/>
  <c r="J20" i="90"/>
  <c r="H20" i="90" a="1"/>
  <c r="H20" i="90" s="1"/>
  <c r="D20" i="90" a="1"/>
  <c r="D20" i="90" s="1"/>
  <c r="Z16" i="90"/>
  <c r="X16" i="90"/>
  <c r="N16" i="90"/>
  <c r="L16" i="90"/>
  <c r="J16" i="90"/>
  <c r="B16" i="90"/>
  <c r="X15" i="90"/>
  <c r="T15" i="90"/>
  <c r="P15" i="90"/>
  <c r="N15" i="90"/>
  <c r="H15" i="90"/>
  <c r="L15" i="90" s="1"/>
  <c r="D15" i="90"/>
  <c r="T13" i="90"/>
  <c r="P13" i="90"/>
  <c r="P12" i="90" s="1"/>
  <c r="N13" i="90"/>
  <c r="L13" i="90"/>
  <c r="H13" i="90"/>
  <c r="D13" i="90"/>
  <c r="D12" i="90" s="1"/>
  <c r="B13" i="90"/>
  <c r="N12" i="90"/>
  <c r="H12" i="90"/>
  <c r="J54" i="90" s="1"/>
  <c r="D6" i="90"/>
  <c r="D4" i="90"/>
  <c r="V37" i="89"/>
  <c r="Z32" i="89"/>
  <c r="X32" i="89"/>
  <c r="V32" i="89"/>
  <c r="N32" i="89"/>
  <c r="L32" i="89"/>
  <c r="V30" i="89"/>
  <c r="F30" i="89"/>
  <c r="T28" i="89"/>
  <c r="Z28" i="89" s="1"/>
  <c r="P28" i="89"/>
  <c r="X28" i="89" s="1"/>
  <c r="N28" i="89"/>
  <c r="H28" i="89"/>
  <c r="D28" i="89"/>
  <c r="L28" i="89" s="1"/>
  <c r="Z26" i="89"/>
  <c r="X26" i="89"/>
  <c r="V26" i="89"/>
  <c r="N26" i="89"/>
  <c r="L26" i="89"/>
  <c r="F26" i="89"/>
  <c r="B26" i="89"/>
  <c r="X25" i="89"/>
  <c r="T25" i="89"/>
  <c r="Z25" i="89" s="1"/>
  <c r="P25" i="89"/>
  <c r="N25" i="89"/>
  <c r="H25" i="89"/>
  <c r="L25" i="89" s="1"/>
  <c r="D25" i="89"/>
  <c r="B25" i="89"/>
  <c r="X24" i="89"/>
  <c r="Z24" i="89" s="1"/>
  <c r="N24" i="89"/>
  <c r="L24" i="89"/>
  <c r="B24" i="89"/>
  <c r="Z23" i="89"/>
  <c r="T23" i="89"/>
  <c r="X23" i="89" s="1"/>
  <c r="P23" i="89"/>
  <c r="J23" i="89"/>
  <c r="H23" i="89"/>
  <c r="N23" i="89" s="1"/>
  <c r="D23" i="89"/>
  <c r="L23" i="89" s="1"/>
  <c r="B23" i="89"/>
  <c r="Z22" i="89"/>
  <c r="X22" i="89"/>
  <c r="R22" i="89"/>
  <c r="N22" i="89"/>
  <c r="L22" i="89"/>
  <c r="J22" i="89"/>
  <c r="B22" i="89"/>
  <c r="V21" i="89"/>
  <c r="T21" i="89"/>
  <c r="P21" i="89"/>
  <c r="X21" i="89" s="1"/>
  <c r="H21" i="89"/>
  <c r="N21" i="89" s="1"/>
  <c r="F21" i="89"/>
  <c r="D21" i="89"/>
  <c r="L21" i="89" s="1"/>
  <c r="B21" i="89"/>
  <c r="Z20" i="89"/>
  <c r="X20" i="89"/>
  <c r="L20" i="89"/>
  <c r="N20" i="89" s="1"/>
  <c r="B20" i="89"/>
  <c r="T19" i="89"/>
  <c r="R19" i="89"/>
  <c r="P19" i="89"/>
  <c r="X19" i="89" s="1"/>
  <c r="L19" i="89"/>
  <c r="H19" i="89"/>
  <c r="N19" i="89" s="1"/>
  <c r="D19" i="89"/>
  <c r="B19" i="89"/>
  <c r="V18" i="89"/>
  <c r="T18" i="89" a="1"/>
  <c r="T18" i="89"/>
  <c r="P18" i="89" a="1"/>
  <c r="P18" i="89"/>
  <c r="X18" i="89" s="1"/>
  <c r="Z18" i="89" s="1"/>
  <c r="J18" i="89"/>
  <c r="H18" i="89" a="1"/>
  <c r="H18" i="89"/>
  <c r="D18" i="89" a="1"/>
  <c r="D18" i="89"/>
  <c r="L18" i="89" s="1"/>
  <c r="N18" i="89" s="1"/>
  <c r="V16" i="89"/>
  <c r="R16" i="89"/>
  <c r="T14" i="89"/>
  <c r="Z14" i="89" s="1"/>
  <c r="R14" i="89"/>
  <c r="P14" i="89"/>
  <c r="X14" i="89" s="1"/>
  <c r="N14" i="89"/>
  <c r="H14" i="89"/>
  <c r="D14" i="89"/>
  <c r="L14" i="89" s="1"/>
  <c r="T12" i="89"/>
  <c r="P12" i="89"/>
  <c r="R32" i="89" s="1"/>
  <c r="H12" i="89"/>
  <c r="J19" i="89" s="1"/>
  <c r="D12" i="89"/>
  <c r="D6" i="89"/>
  <c r="D4" i="89"/>
  <c r="R36" i="88"/>
  <c r="Z34" i="88"/>
  <c r="X34" i="88"/>
  <c r="N34" i="88"/>
  <c r="L34" i="88"/>
  <c r="R32" i="88"/>
  <c r="Z30" i="88"/>
  <c r="X30" i="88"/>
  <c r="T30" i="88"/>
  <c r="R30" i="88"/>
  <c r="P30" i="88"/>
  <c r="H30" i="88"/>
  <c r="D30" i="88"/>
  <c r="L30" i="88" s="1"/>
  <c r="B30" i="88"/>
  <c r="T29" i="88"/>
  <c r="Z29" i="88" s="1"/>
  <c r="R29" i="88"/>
  <c r="P29" i="88"/>
  <c r="X29" i="88" s="1"/>
  <c r="D29" i="88"/>
  <c r="Z27" i="88"/>
  <c r="X27" i="88"/>
  <c r="R27" i="88"/>
  <c r="L27" i="88"/>
  <c r="N27" i="88" s="1"/>
  <c r="B27" i="88"/>
  <c r="Z26" i="88"/>
  <c r="X26" i="88"/>
  <c r="T26" i="88"/>
  <c r="P26" i="88"/>
  <c r="L26" i="88"/>
  <c r="N26" i="88" s="1"/>
  <c r="H26" i="88"/>
  <c r="D26" i="88"/>
  <c r="B26" i="88"/>
  <c r="X25" i="88"/>
  <c r="Z25" i="88" s="1"/>
  <c r="N25" i="88"/>
  <c r="L25" i="88"/>
  <c r="B25" i="88"/>
  <c r="X24" i="88"/>
  <c r="Z24" i="88" s="1"/>
  <c r="T24" i="88"/>
  <c r="R24" i="88"/>
  <c r="P24" i="88"/>
  <c r="H24" i="88"/>
  <c r="N24" i="88" s="1"/>
  <c r="D24" i="88"/>
  <c r="L24" i="88" s="1"/>
  <c r="B24" i="88"/>
  <c r="Z23" i="88"/>
  <c r="X23" i="88"/>
  <c r="R23" i="88"/>
  <c r="N23" i="88"/>
  <c r="L23" i="88"/>
  <c r="B23" i="88"/>
  <c r="T22" i="88"/>
  <c r="Z22" i="88" s="1"/>
  <c r="P22" i="88"/>
  <c r="X22" i="88" s="1"/>
  <c r="N22" i="88"/>
  <c r="H22" i="88"/>
  <c r="D22" i="88"/>
  <c r="L22" i="88" s="1"/>
  <c r="B22" i="88"/>
  <c r="X21" i="88"/>
  <c r="Z21" i="88" s="1"/>
  <c r="N21" i="88"/>
  <c r="L21" i="88"/>
  <c r="J21" i="88"/>
  <c r="B21" i="88"/>
  <c r="Z20" i="88"/>
  <c r="X20" i="88"/>
  <c r="N20" i="88"/>
  <c r="L20" i="88"/>
  <c r="B20" i="88"/>
  <c r="T19" i="88"/>
  <c r="Z19" i="88" s="1"/>
  <c r="R19" i="88"/>
  <c r="P19" i="88"/>
  <c r="X19" i="88" s="1"/>
  <c r="N19" i="88"/>
  <c r="L19" i="88"/>
  <c r="H19" i="88"/>
  <c r="D19" i="88"/>
  <c r="B19" i="88"/>
  <c r="V18" i="88"/>
  <c r="T18" i="88" a="1"/>
  <c r="T18" i="88"/>
  <c r="P18" i="88" a="1"/>
  <c r="P18" i="88"/>
  <c r="X18" i="88" s="1"/>
  <c r="Z18" i="88" s="1"/>
  <c r="H18" i="88" a="1"/>
  <c r="H18" i="88"/>
  <c r="D18" i="88" a="1"/>
  <c r="D18" i="88"/>
  <c r="L18" i="88" s="1"/>
  <c r="N18" i="88" s="1"/>
  <c r="V16" i="88"/>
  <c r="T14" i="88"/>
  <c r="Z14" i="88" s="1"/>
  <c r="R14" i="88"/>
  <c r="P14" i="88"/>
  <c r="X14" i="88" s="1"/>
  <c r="N14" i="88"/>
  <c r="H14" i="88"/>
  <c r="F14" i="88"/>
  <c r="D14" i="88"/>
  <c r="L14" i="88" s="1"/>
  <c r="T12" i="88"/>
  <c r="P12" i="88"/>
  <c r="R26" i="88" s="1"/>
  <c r="H12" i="88"/>
  <c r="D12" i="88"/>
  <c r="F26" i="88" s="1"/>
  <c r="D6" i="88"/>
  <c r="D4" i="88"/>
  <c r="Z30" i="87"/>
  <c r="X30" i="87"/>
  <c r="L30" i="87"/>
  <c r="N30" i="87" s="1"/>
  <c r="Z26" i="87"/>
  <c r="X26" i="87"/>
  <c r="T26" i="87"/>
  <c r="R26" i="87"/>
  <c r="P26" i="87"/>
  <c r="H26" i="87"/>
  <c r="N26" i="87" s="1"/>
  <c r="D26" i="87"/>
  <c r="Z24" i="87"/>
  <c r="X24" i="87"/>
  <c r="N24" i="87"/>
  <c r="L24" i="87"/>
  <c r="B24" i="87"/>
  <c r="T23" i="87"/>
  <c r="R23" i="87"/>
  <c r="P23" i="87"/>
  <c r="X23" i="87" s="1"/>
  <c r="N23" i="87"/>
  <c r="H23" i="87"/>
  <c r="D23" i="87"/>
  <c r="L23" i="87" s="1"/>
  <c r="B23" i="87"/>
  <c r="X22" i="87"/>
  <c r="Z22" i="87" s="1"/>
  <c r="V22" i="87"/>
  <c r="N22" i="87"/>
  <c r="L22" i="87"/>
  <c r="B22" i="87"/>
  <c r="T21" i="87"/>
  <c r="P21" i="87"/>
  <c r="X21" i="87" s="1"/>
  <c r="Z21" i="87" s="1"/>
  <c r="N21" i="87"/>
  <c r="H21" i="87"/>
  <c r="L21" i="87" s="1"/>
  <c r="D21" i="87"/>
  <c r="B21" i="87"/>
  <c r="X20" i="87"/>
  <c r="Z20" i="87" s="1"/>
  <c r="V20" i="87"/>
  <c r="T20" i="87" a="1"/>
  <c r="T20" i="87"/>
  <c r="P20" i="87" a="1"/>
  <c r="P20" i="87" s="1"/>
  <c r="H20" i="87" a="1"/>
  <c r="H20" i="87" s="1"/>
  <c r="D20" i="87" a="1"/>
  <c r="D20" i="87" s="1"/>
  <c r="T18" i="87"/>
  <c r="T28" i="87" s="1"/>
  <c r="T32" i="87" s="1"/>
  <c r="T35" i="87" s="1"/>
  <c r="R18" i="87"/>
  <c r="Z16" i="87"/>
  <c r="V16" i="87"/>
  <c r="T16" i="87"/>
  <c r="R16" i="87"/>
  <c r="P16" i="87"/>
  <c r="X16" i="87" s="1"/>
  <c r="N16" i="87"/>
  <c r="L16" i="87"/>
  <c r="H16" i="87"/>
  <c r="D16" i="87"/>
  <c r="Z14" i="87"/>
  <c r="X14" i="87"/>
  <c r="T14" i="87"/>
  <c r="P14" i="87"/>
  <c r="H14" i="87"/>
  <c r="L14" i="87" s="1"/>
  <c r="D14" i="87"/>
  <c r="B14" i="87"/>
  <c r="Z13" i="87"/>
  <c r="X13" i="87"/>
  <c r="T13" i="87"/>
  <c r="P13" i="87"/>
  <c r="L13" i="87"/>
  <c r="N13" i="87" s="1"/>
  <c r="H13" i="87"/>
  <c r="D13" i="87"/>
  <c r="B13" i="87"/>
  <c r="T12" i="87"/>
  <c r="P12" i="87"/>
  <c r="R32" i="87" s="1"/>
  <c r="D12" i="87"/>
  <c r="D6" i="87"/>
  <c r="D4" i="87"/>
  <c r="Z72" i="86"/>
  <c r="X72" i="86"/>
  <c r="N72" i="86"/>
  <c r="L72" i="86"/>
  <c r="X68" i="86"/>
  <c r="Z68" i="86" s="1"/>
  <c r="T68" i="86"/>
  <c r="P68" i="86"/>
  <c r="H68" i="86"/>
  <c r="D68" i="86"/>
  <c r="B68" i="86"/>
  <c r="T67" i="86"/>
  <c r="Z67" i="86" s="1"/>
  <c r="R67" i="86"/>
  <c r="P67" i="86"/>
  <c r="X67" i="86" s="1"/>
  <c r="D67" i="86"/>
  <c r="Z65" i="86"/>
  <c r="X65" i="86"/>
  <c r="N65" i="86"/>
  <c r="L65" i="86"/>
  <c r="B65" i="86"/>
  <c r="Z64" i="86"/>
  <c r="T64" i="86"/>
  <c r="P64" i="86"/>
  <c r="X64" i="86" s="1"/>
  <c r="N64" i="86"/>
  <c r="L64" i="86"/>
  <c r="H64" i="86"/>
  <c r="D64" i="86"/>
  <c r="B64" i="86"/>
  <c r="Z63" i="86"/>
  <c r="X63" i="86"/>
  <c r="R63" i="86"/>
  <c r="N63" i="86"/>
  <c r="L63" i="86"/>
  <c r="B63" i="86"/>
  <c r="X62" i="86"/>
  <c r="Z62" i="86" s="1"/>
  <c r="T62" i="86"/>
  <c r="P62" i="86"/>
  <c r="H62" i="86"/>
  <c r="D62" i="86"/>
  <c r="B62" i="86"/>
  <c r="Z61" i="86"/>
  <c r="X61" i="86"/>
  <c r="N61" i="86"/>
  <c r="L61" i="86"/>
  <c r="B61" i="86"/>
  <c r="Z60" i="86"/>
  <c r="X60" i="86"/>
  <c r="R60" i="86"/>
  <c r="N60" i="86"/>
  <c r="L60" i="86"/>
  <c r="B60" i="86"/>
  <c r="Z59" i="86"/>
  <c r="X59" i="86"/>
  <c r="R59" i="86"/>
  <c r="N59" i="86"/>
  <c r="L59" i="86"/>
  <c r="B59" i="86"/>
  <c r="Z58" i="86"/>
  <c r="X58" i="86"/>
  <c r="N58" i="86"/>
  <c r="L58" i="86"/>
  <c r="B58" i="86"/>
  <c r="Z57" i="86"/>
  <c r="X57" i="86"/>
  <c r="N57" i="86"/>
  <c r="L57" i="86"/>
  <c r="B57" i="86"/>
  <c r="Z56" i="86"/>
  <c r="X56" i="86"/>
  <c r="N56" i="86"/>
  <c r="L56" i="86"/>
  <c r="F56" i="86"/>
  <c r="B56" i="86"/>
  <c r="Z55" i="86"/>
  <c r="X55" i="86"/>
  <c r="N55" i="86"/>
  <c r="L55" i="86"/>
  <c r="J55" i="86"/>
  <c r="B55" i="86"/>
  <c r="T54" i="86"/>
  <c r="Z54" i="86" s="1"/>
  <c r="P54" i="86"/>
  <c r="X54" i="86" s="1"/>
  <c r="N54" i="86"/>
  <c r="H54" i="86"/>
  <c r="D54" i="86"/>
  <c r="L54" i="86" s="1"/>
  <c r="B54" i="86"/>
  <c r="Z53" i="86"/>
  <c r="X53" i="86"/>
  <c r="N53" i="86"/>
  <c r="L53" i="86"/>
  <c r="B53" i="86"/>
  <c r="Z52" i="86"/>
  <c r="T52" i="86"/>
  <c r="P52" i="86"/>
  <c r="X52" i="86" s="1"/>
  <c r="N52" i="86"/>
  <c r="L52" i="86"/>
  <c r="J52" i="86"/>
  <c r="H52" i="86"/>
  <c r="D52" i="86"/>
  <c r="B52" i="86"/>
  <c r="Z51" i="86"/>
  <c r="X51" i="86"/>
  <c r="R51" i="86"/>
  <c r="N51" i="86"/>
  <c r="L51" i="86"/>
  <c r="B51" i="86"/>
  <c r="Z50" i="86"/>
  <c r="X50" i="86"/>
  <c r="T50" i="86"/>
  <c r="P50" i="86"/>
  <c r="H50" i="86"/>
  <c r="F50" i="86"/>
  <c r="D50" i="86"/>
  <c r="B50" i="86"/>
  <c r="Z49" i="86"/>
  <c r="X49" i="86"/>
  <c r="N49" i="86"/>
  <c r="L49" i="86"/>
  <c r="B49" i="86"/>
  <c r="X48" i="86"/>
  <c r="Z48" i="86" s="1"/>
  <c r="R48" i="86"/>
  <c r="N48" i="86"/>
  <c r="L48" i="86"/>
  <c r="B48" i="86"/>
  <c r="T47" i="86"/>
  <c r="P47" i="86"/>
  <c r="H47" i="86"/>
  <c r="N47" i="86" s="1"/>
  <c r="F47" i="86"/>
  <c r="D47" i="86"/>
  <c r="L47" i="86" s="1"/>
  <c r="B47" i="86"/>
  <c r="X46" i="86"/>
  <c r="Z46" i="86" s="1"/>
  <c r="N46" i="86"/>
  <c r="L46" i="86"/>
  <c r="J46" i="86"/>
  <c r="B46" i="86"/>
  <c r="T45" i="86"/>
  <c r="Z45" i="86" s="1"/>
  <c r="R45" i="86"/>
  <c r="P45" i="86"/>
  <c r="X45" i="86" s="1"/>
  <c r="H45" i="86"/>
  <c r="N45" i="86" s="1"/>
  <c r="D45" i="86"/>
  <c r="L45" i="86" s="1"/>
  <c r="B45" i="86"/>
  <c r="Z44" i="86"/>
  <c r="X44" i="86"/>
  <c r="L44" i="86"/>
  <c r="N44" i="86" s="1"/>
  <c r="F44" i="86"/>
  <c r="B44" i="86"/>
  <c r="T43" i="86"/>
  <c r="Z43" i="86" s="1"/>
  <c r="P43" i="86"/>
  <c r="X43" i="86" s="1"/>
  <c r="N43" i="86"/>
  <c r="L43" i="86"/>
  <c r="H43" i="86"/>
  <c r="D43" i="86"/>
  <c r="B43" i="86"/>
  <c r="Z42" i="86"/>
  <c r="X42" i="86"/>
  <c r="N42" i="86"/>
  <c r="L42" i="86"/>
  <c r="B42" i="86"/>
  <c r="Z41" i="86"/>
  <c r="X41" i="86"/>
  <c r="T41" i="86"/>
  <c r="P41" i="86"/>
  <c r="J41" i="86"/>
  <c r="H41" i="86"/>
  <c r="N41" i="86" s="1"/>
  <c r="D41" i="86"/>
  <c r="B41" i="86"/>
  <c r="X40" i="86"/>
  <c r="Z40" i="86" s="1"/>
  <c r="R40" i="86"/>
  <c r="N40" i="86"/>
  <c r="L40" i="86"/>
  <c r="B40" i="86"/>
  <c r="Z39" i="86"/>
  <c r="X39" i="86"/>
  <c r="R39" i="86"/>
  <c r="L39" i="86"/>
  <c r="N39" i="86" s="1"/>
  <c r="B39" i="86"/>
  <c r="X38" i="86"/>
  <c r="Z38" i="86" s="1"/>
  <c r="T38" i="86"/>
  <c r="P38" i="86"/>
  <c r="H38" i="86"/>
  <c r="F38" i="86"/>
  <c r="D38" i="86"/>
  <c r="B38" i="86"/>
  <c r="Z37" i="86"/>
  <c r="X37" i="86"/>
  <c r="N37" i="86"/>
  <c r="L37" i="86"/>
  <c r="B37" i="86"/>
  <c r="T36" i="86"/>
  <c r="R36" i="86"/>
  <c r="P36" i="86"/>
  <c r="H36" i="86"/>
  <c r="N36" i="86" s="1"/>
  <c r="D36" i="86"/>
  <c r="L36" i="86" s="1"/>
  <c r="B36" i="86"/>
  <c r="Z35" i="86"/>
  <c r="X35" i="86"/>
  <c r="N35" i="86"/>
  <c r="L35" i="86"/>
  <c r="J35" i="86"/>
  <c r="F35" i="86"/>
  <c r="B35" i="86"/>
  <c r="T34" i="86"/>
  <c r="Z34" i="86" s="1"/>
  <c r="P34" i="86"/>
  <c r="X34" i="86" s="1"/>
  <c r="N34" i="86"/>
  <c r="H34" i="86"/>
  <c r="D34" i="86"/>
  <c r="L34" i="86" s="1"/>
  <c r="B34" i="86"/>
  <c r="Z33" i="86"/>
  <c r="X33" i="86"/>
  <c r="N33" i="86"/>
  <c r="L33" i="86"/>
  <c r="B33" i="86"/>
  <c r="Z32" i="86"/>
  <c r="X32" i="86"/>
  <c r="N32" i="86"/>
  <c r="L32" i="86"/>
  <c r="F32" i="86"/>
  <c r="B32" i="86"/>
  <c r="Z31" i="86"/>
  <c r="X31" i="86"/>
  <c r="N31" i="86"/>
  <c r="L31" i="86"/>
  <c r="J31" i="86"/>
  <c r="F31" i="86"/>
  <c r="B31" i="86"/>
  <c r="X30" i="86"/>
  <c r="Z30" i="86" s="1"/>
  <c r="R30" i="86"/>
  <c r="N30" i="86"/>
  <c r="L30" i="86"/>
  <c r="J30" i="86"/>
  <c r="B30" i="86"/>
  <c r="T29" i="86"/>
  <c r="R29" i="86"/>
  <c r="P29" i="86"/>
  <c r="X29" i="86" s="1"/>
  <c r="H29" i="86"/>
  <c r="N29" i="86" s="1"/>
  <c r="D29" i="86"/>
  <c r="L29" i="86" s="1"/>
  <c r="B29" i="86"/>
  <c r="Z28" i="86"/>
  <c r="X28" i="86"/>
  <c r="N28" i="86"/>
  <c r="L28" i="86"/>
  <c r="F28" i="86"/>
  <c r="B28" i="86"/>
  <c r="Z27" i="86"/>
  <c r="X27" i="86"/>
  <c r="N27" i="86"/>
  <c r="L27" i="86"/>
  <c r="J27" i="86"/>
  <c r="F27" i="86"/>
  <c r="B27" i="86"/>
  <c r="Z26" i="86"/>
  <c r="X26" i="86"/>
  <c r="R26" i="86"/>
  <c r="N26" i="86"/>
  <c r="L26" i="86"/>
  <c r="J26" i="86"/>
  <c r="B26" i="86"/>
  <c r="X25" i="86"/>
  <c r="Z25" i="86" s="1"/>
  <c r="N25" i="86"/>
  <c r="L25" i="86"/>
  <c r="B25" i="86"/>
  <c r="Z24" i="86"/>
  <c r="X24" i="86"/>
  <c r="R24" i="86"/>
  <c r="N24" i="86"/>
  <c r="L24" i="86"/>
  <c r="B24" i="86"/>
  <c r="Z23" i="86"/>
  <c r="X23" i="86"/>
  <c r="V23" i="86"/>
  <c r="R23" i="86"/>
  <c r="N23" i="86"/>
  <c r="L23" i="86"/>
  <c r="B23" i="86"/>
  <c r="Z22" i="86"/>
  <c r="X22" i="86"/>
  <c r="N22" i="86"/>
  <c r="L22" i="86"/>
  <c r="B22" i="86"/>
  <c r="X21" i="86"/>
  <c r="Z21" i="86" s="1"/>
  <c r="N21" i="86"/>
  <c r="L21" i="86"/>
  <c r="J21" i="86"/>
  <c r="B21" i="86"/>
  <c r="Z20" i="86"/>
  <c r="T20" i="86"/>
  <c r="P20" i="86"/>
  <c r="X20" i="86" s="1"/>
  <c r="N20" i="86"/>
  <c r="L20" i="86"/>
  <c r="J20" i="86"/>
  <c r="H20" i="86"/>
  <c r="D20" i="86"/>
  <c r="B20" i="86"/>
  <c r="T19" i="86" a="1"/>
  <c r="T19" i="86" s="1"/>
  <c r="P19" i="86" a="1"/>
  <c r="P19" i="86" s="1"/>
  <c r="J19" i="86"/>
  <c r="H19" i="86" a="1"/>
  <c r="H19" i="86" s="1"/>
  <c r="D19" i="86" a="1"/>
  <c r="D19" i="86" s="1"/>
  <c r="V17" i="86"/>
  <c r="T17" i="86"/>
  <c r="J17" i="86"/>
  <c r="F17" i="86"/>
  <c r="D17" i="86"/>
  <c r="Z15" i="86"/>
  <c r="X15" i="86"/>
  <c r="R15" i="86"/>
  <c r="N15" i="86"/>
  <c r="L15" i="86"/>
  <c r="J15" i="86"/>
  <c r="F15" i="86"/>
  <c r="B15" i="86"/>
  <c r="T14" i="86"/>
  <c r="Z14" i="86" s="1"/>
  <c r="R14" i="86"/>
  <c r="P14" i="86"/>
  <c r="X14" i="86" s="1"/>
  <c r="N14" i="86"/>
  <c r="H14" i="86"/>
  <c r="D14" i="86"/>
  <c r="L14" i="86" s="1"/>
  <c r="X12" i="86"/>
  <c r="T12" i="86"/>
  <c r="V51" i="86" s="1"/>
  <c r="P12" i="86"/>
  <c r="R58" i="86" s="1"/>
  <c r="L12" i="86"/>
  <c r="H12" i="86"/>
  <c r="J61" i="86" s="1"/>
  <c r="D12" i="86"/>
  <c r="F72" i="86" s="1"/>
  <c r="D6" i="86"/>
  <c r="D4" i="86"/>
  <c r="Z88" i="85"/>
  <c r="X88" i="85"/>
  <c r="L88" i="85"/>
  <c r="N88" i="85" s="1"/>
  <c r="T84" i="85"/>
  <c r="P84" i="85"/>
  <c r="H84" i="85"/>
  <c r="N84" i="85" s="1"/>
  <c r="D84" i="85"/>
  <c r="B84" i="85"/>
  <c r="P83" i="85"/>
  <c r="Z81" i="85"/>
  <c r="X81" i="85"/>
  <c r="L81" i="85"/>
  <c r="N81" i="85" s="1"/>
  <c r="B81" i="85"/>
  <c r="X80" i="85"/>
  <c r="Z80" i="85" s="1"/>
  <c r="V80" i="85"/>
  <c r="T80" i="85"/>
  <c r="P80" i="85"/>
  <c r="H80" i="85"/>
  <c r="D80" i="85"/>
  <c r="B80" i="85"/>
  <c r="Z79" i="85"/>
  <c r="X79" i="85"/>
  <c r="N79" i="85"/>
  <c r="L79" i="85"/>
  <c r="B79" i="85"/>
  <c r="T78" i="85"/>
  <c r="P78" i="85"/>
  <c r="H78" i="85"/>
  <c r="N78" i="85" s="1"/>
  <c r="D78" i="85"/>
  <c r="L78" i="85" s="1"/>
  <c r="B78" i="85"/>
  <c r="X77" i="85"/>
  <c r="Z77" i="85" s="1"/>
  <c r="N77" i="85"/>
  <c r="L77" i="85"/>
  <c r="B77" i="85"/>
  <c r="X76" i="85"/>
  <c r="T76" i="85"/>
  <c r="P76" i="85"/>
  <c r="N76" i="85"/>
  <c r="H76" i="85"/>
  <c r="D76" i="85"/>
  <c r="L76" i="85" s="1"/>
  <c r="B76" i="85"/>
  <c r="Z75" i="85"/>
  <c r="X75" i="85"/>
  <c r="N75" i="85"/>
  <c r="L75" i="85"/>
  <c r="B75" i="85"/>
  <c r="Z74" i="85"/>
  <c r="X74" i="85"/>
  <c r="N74" i="85"/>
  <c r="L74" i="85"/>
  <c r="B74" i="85"/>
  <c r="Z73" i="85"/>
  <c r="X73" i="85"/>
  <c r="N73" i="85"/>
  <c r="L73" i="85"/>
  <c r="B73" i="85"/>
  <c r="X72" i="85"/>
  <c r="Z72" i="85" s="1"/>
  <c r="N72" i="85"/>
  <c r="L72" i="85"/>
  <c r="B72" i="85"/>
  <c r="Z71" i="85"/>
  <c r="X71" i="85"/>
  <c r="N71" i="85"/>
  <c r="L71" i="85"/>
  <c r="B71" i="85"/>
  <c r="X70" i="85"/>
  <c r="Z70" i="85" s="1"/>
  <c r="N70" i="85"/>
  <c r="L70" i="85"/>
  <c r="B70" i="85"/>
  <c r="Z69" i="85"/>
  <c r="X69" i="85"/>
  <c r="V69" i="85"/>
  <c r="N69" i="85"/>
  <c r="L69" i="85"/>
  <c r="B69" i="85"/>
  <c r="T68" i="85"/>
  <c r="P68" i="85"/>
  <c r="X68" i="85" s="1"/>
  <c r="H68" i="85"/>
  <c r="D68" i="85"/>
  <c r="L68" i="85" s="1"/>
  <c r="B68" i="85"/>
  <c r="Z67" i="85"/>
  <c r="X67" i="85"/>
  <c r="L67" i="85"/>
  <c r="N67" i="85" s="1"/>
  <c r="B67" i="85"/>
  <c r="T66" i="85"/>
  <c r="P66" i="85"/>
  <c r="H66" i="85"/>
  <c r="D66" i="85"/>
  <c r="L66" i="85" s="1"/>
  <c r="N66" i="85" s="1"/>
  <c r="B66" i="85"/>
  <c r="X65" i="85"/>
  <c r="Z65" i="85" s="1"/>
  <c r="N65" i="85"/>
  <c r="L65" i="85"/>
  <c r="B65" i="85"/>
  <c r="Z64" i="85"/>
  <c r="X64" i="85"/>
  <c r="L64" i="85"/>
  <c r="N64" i="85" s="1"/>
  <c r="B64" i="85"/>
  <c r="X63" i="85"/>
  <c r="Z63" i="85" s="1"/>
  <c r="N63" i="85"/>
  <c r="L63" i="85"/>
  <c r="B63" i="85"/>
  <c r="Z62" i="85"/>
  <c r="X62" i="85"/>
  <c r="N62" i="85"/>
  <c r="L62" i="85"/>
  <c r="B62" i="85"/>
  <c r="V61" i="85"/>
  <c r="T61" i="85"/>
  <c r="Z61" i="85" s="1"/>
  <c r="P61" i="85"/>
  <c r="X61" i="85" s="1"/>
  <c r="H61" i="85"/>
  <c r="D61" i="85"/>
  <c r="L61" i="85" s="1"/>
  <c r="N61" i="85" s="1"/>
  <c r="B61" i="85"/>
  <c r="Z60" i="85"/>
  <c r="X60" i="85"/>
  <c r="L60" i="85"/>
  <c r="N60" i="85" s="1"/>
  <c r="B60" i="85"/>
  <c r="X59" i="85"/>
  <c r="Z59" i="85" s="1"/>
  <c r="N59" i="85"/>
  <c r="L59" i="85"/>
  <c r="B59" i="85"/>
  <c r="T58" i="85"/>
  <c r="P58" i="85"/>
  <c r="X58" i="85" s="1"/>
  <c r="H58" i="85"/>
  <c r="D58" i="85"/>
  <c r="L58" i="85" s="1"/>
  <c r="N58" i="85" s="1"/>
  <c r="B58" i="85"/>
  <c r="X57" i="85"/>
  <c r="Z57" i="85" s="1"/>
  <c r="N57" i="85"/>
  <c r="L57" i="85"/>
  <c r="B57" i="85"/>
  <c r="T56" i="85"/>
  <c r="P56" i="85"/>
  <c r="X56" i="85" s="1"/>
  <c r="Z56" i="85" s="1"/>
  <c r="N56" i="85"/>
  <c r="L56" i="85"/>
  <c r="H56" i="85"/>
  <c r="D56" i="85"/>
  <c r="B56" i="85"/>
  <c r="Z55" i="85"/>
  <c r="X55" i="85"/>
  <c r="N55" i="85"/>
  <c r="L55" i="85"/>
  <c r="B55" i="85"/>
  <c r="Z54" i="85"/>
  <c r="X54" i="85"/>
  <c r="T54" i="85"/>
  <c r="P54" i="85"/>
  <c r="L54" i="85"/>
  <c r="H54" i="85"/>
  <c r="D54" i="85"/>
  <c r="B54" i="85"/>
  <c r="Z53" i="85"/>
  <c r="X53" i="85"/>
  <c r="V53" i="85"/>
  <c r="N53" i="85"/>
  <c r="L53" i="85"/>
  <c r="B53" i="85"/>
  <c r="X52" i="85"/>
  <c r="T52" i="85"/>
  <c r="P52" i="85"/>
  <c r="H52" i="85"/>
  <c r="N52" i="85" s="1"/>
  <c r="D52" i="85"/>
  <c r="L52" i="85" s="1"/>
  <c r="B52" i="85"/>
  <c r="Z51" i="85"/>
  <c r="X51" i="85"/>
  <c r="N51" i="85"/>
  <c r="L51" i="85"/>
  <c r="B51" i="85"/>
  <c r="T50" i="85"/>
  <c r="P50" i="85"/>
  <c r="X50" i="85" s="1"/>
  <c r="H50" i="85"/>
  <c r="D50" i="85"/>
  <c r="L50" i="85" s="1"/>
  <c r="N50" i="85" s="1"/>
  <c r="B50" i="85"/>
  <c r="X49" i="85"/>
  <c r="Z49" i="85" s="1"/>
  <c r="N49" i="85"/>
  <c r="L49" i="85"/>
  <c r="B49" i="85"/>
  <c r="T48" i="85"/>
  <c r="P48" i="85"/>
  <c r="X48" i="85" s="1"/>
  <c r="Z48" i="85" s="1"/>
  <c r="L48" i="85"/>
  <c r="H48" i="85"/>
  <c r="N48" i="85" s="1"/>
  <c r="D48" i="85"/>
  <c r="B48" i="85"/>
  <c r="Z47" i="85"/>
  <c r="X47" i="85"/>
  <c r="N47" i="85"/>
  <c r="L47" i="85"/>
  <c r="B47" i="85"/>
  <c r="X46" i="85"/>
  <c r="Z46" i="85" s="1"/>
  <c r="N46" i="85"/>
  <c r="L46" i="85"/>
  <c r="B46" i="85"/>
  <c r="X45" i="85"/>
  <c r="Z45" i="85" s="1"/>
  <c r="T45" i="85"/>
  <c r="P45" i="85"/>
  <c r="N45" i="85"/>
  <c r="H45" i="85"/>
  <c r="L45" i="85" s="1"/>
  <c r="D45" i="85"/>
  <c r="B45" i="85"/>
  <c r="X44" i="85"/>
  <c r="Z44" i="85" s="1"/>
  <c r="N44" i="85"/>
  <c r="L44" i="85"/>
  <c r="B44" i="85"/>
  <c r="Z43" i="85"/>
  <c r="V43" i="85"/>
  <c r="T43" i="85"/>
  <c r="X43" i="85" s="1"/>
  <c r="P43" i="85"/>
  <c r="H43" i="85"/>
  <c r="N43" i="85" s="1"/>
  <c r="D43" i="85"/>
  <c r="L43" i="85" s="1"/>
  <c r="B43" i="85"/>
  <c r="Z42" i="85"/>
  <c r="X42" i="85"/>
  <c r="L42" i="85"/>
  <c r="N42" i="85" s="1"/>
  <c r="B42" i="85"/>
  <c r="V41" i="85"/>
  <c r="T41" i="85"/>
  <c r="Z41" i="85" s="1"/>
  <c r="P41" i="85"/>
  <c r="X41" i="85" s="1"/>
  <c r="H41" i="85"/>
  <c r="D41" i="85"/>
  <c r="L41" i="85" s="1"/>
  <c r="N41" i="85" s="1"/>
  <c r="B41" i="85"/>
  <c r="Z40" i="85"/>
  <c r="X40" i="85"/>
  <c r="L40" i="85"/>
  <c r="N40" i="85" s="1"/>
  <c r="B40" i="85"/>
  <c r="T39" i="85"/>
  <c r="P39" i="85"/>
  <c r="X39" i="85" s="1"/>
  <c r="Z39" i="85" s="1"/>
  <c r="N39" i="85"/>
  <c r="L39" i="85"/>
  <c r="H39" i="85"/>
  <c r="D39" i="85"/>
  <c r="B39" i="85"/>
  <c r="Z38" i="85"/>
  <c r="X38" i="85"/>
  <c r="N38" i="85"/>
  <c r="L38" i="85"/>
  <c r="B38" i="85"/>
  <c r="Z37" i="85"/>
  <c r="X37" i="85"/>
  <c r="N37" i="85"/>
  <c r="L37" i="85"/>
  <c r="B37" i="85"/>
  <c r="Z36" i="85"/>
  <c r="X36" i="85"/>
  <c r="L36" i="85"/>
  <c r="N36" i="85" s="1"/>
  <c r="B36" i="85"/>
  <c r="X35" i="85"/>
  <c r="Z35" i="85" s="1"/>
  <c r="N35" i="85"/>
  <c r="L35" i="85"/>
  <c r="B35" i="85"/>
  <c r="Z34" i="85"/>
  <c r="X34" i="85"/>
  <c r="R34" i="85"/>
  <c r="L34" i="85"/>
  <c r="N34" i="85" s="1"/>
  <c r="B34" i="85"/>
  <c r="V33" i="85"/>
  <c r="T33" i="85"/>
  <c r="Z33" i="85" s="1"/>
  <c r="R33" i="85"/>
  <c r="P33" i="85"/>
  <c r="X33" i="85" s="1"/>
  <c r="H33" i="85"/>
  <c r="D33" i="85"/>
  <c r="L33" i="85" s="1"/>
  <c r="N33" i="85" s="1"/>
  <c r="B33" i="85"/>
  <c r="Z32" i="85"/>
  <c r="X32" i="85"/>
  <c r="L32" i="85"/>
  <c r="N32" i="85" s="1"/>
  <c r="B32" i="85"/>
  <c r="X31" i="85"/>
  <c r="Z31" i="85" s="1"/>
  <c r="N31" i="85"/>
  <c r="L31" i="85"/>
  <c r="B31" i="85"/>
  <c r="Z30" i="85"/>
  <c r="X30" i="85"/>
  <c r="L30" i="85"/>
  <c r="N30" i="85" s="1"/>
  <c r="B30" i="85"/>
  <c r="Z29" i="85"/>
  <c r="X29" i="85"/>
  <c r="V29" i="85"/>
  <c r="N29" i="85"/>
  <c r="L29" i="85"/>
  <c r="B29" i="85"/>
  <c r="X28" i="85"/>
  <c r="Z28" i="85" s="1"/>
  <c r="N28" i="85"/>
  <c r="L28" i="85"/>
  <c r="B28" i="85"/>
  <c r="Z27" i="85"/>
  <c r="X27" i="85"/>
  <c r="V27" i="85"/>
  <c r="L27" i="85"/>
  <c r="N27" i="85" s="1"/>
  <c r="B27" i="85"/>
  <c r="X26" i="85"/>
  <c r="Z26" i="85" s="1"/>
  <c r="N26" i="85"/>
  <c r="L26" i="85"/>
  <c r="B26" i="85"/>
  <c r="Z25" i="85"/>
  <c r="X25" i="85"/>
  <c r="L25" i="85"/>
  <c r="N25" i="85" s="1"/>
  <c r="B25" i="85"/>
  <c r="Z24" i="85"/>
  <c r="X24" i="85"/>
  <c r="L24" i="85"/>
  <c r="N24" i="85" s="1"/>
  <c r="B24" i="85"/>
  <c r="T23" i="85"/>
  <c r="P23" i="85"/>
  <c r="X23" i="85" s="1"/>
  <c r="Z23" i="85" s="1"/>
  <c r="N23" i="85"/>
  <c r="L23" i="85"/>
  <c r="H23" i="85"/>
  <c r="D23" i="85"/>
  <c r="B23" i="85"/>
  <c r="T22" i="85" a="1"/>
  <c r="T22" i="85" s="1"/>
  <c r="P22" i="85" a="1"/>
  <c r="P22" i="85"/>
  <c r="X22" i="85" s="1"/>
  <c r="L22" i="85"/>
  <c r="H22" i="85" a="1"/>
  <c r="H22" i="85" s="1"/>
  <c r="D22" i="85" a="1"/>
  <c r="D22" i="85"/>
  <c r="Z18" i="85"/>
  <c r="X18" i="85"/>
  <c r="L18" i="85"/>
  <c r="N18" i="85" s="1"/>
  <c r="B18" i="85"/>
  <c r="X17" i="85"/>
  <c r="Z17" i="85" s="1"/>
  <c r="V17" i="85"/>
  <c r="N17" i="85"/>
  <c r="L17" i="85"/>
  <c r="B17" i="85"/>
  <c r="X16" i="85"/>
  <c r="T16" i="85"/>
  <c r="P16" i="85"/>
  <c r="H16" i="85"/>
  <c r="D16" i="85"/>
  <c r="X14" i="85"/>
  <c r="Z14" i="85" s="1"/>
  <c r="T14" i="85"/>
  <c r="P14" i="85"/>
  <c r="H14" i="85"/>
  <c r="D14" i="85"/>
  <c r="B14" i="85"/>
  <c r="T13" i="85"/>
  <c r="P13" i="85"/>
  <c r="X13" i="85" s="1"/>
  <c r="Z13" i="85" s="1"/>
  <c r="H13" i="85"/>
  <c r="D13" i="85"/>
  <c r="B13" i="85"/>
  <c r="T12" i="85"/>
  <c r="V67" i="85" s="1"/>
  <c r="P12" i="85"/>
  <c r="R42" i="85" s="1"/>
  <c r="D6" i="85"/>
  <c r="D4" i="85"/>
  <c r="X39" i="84"/>
  <c r="Z39" i="84" s="1"/>
  <c r="L39" i="84"/>
  <c r="N39" i="84" s="1"/>
  <c r="Z35" i="84"/>
  <c r="T35" i="84"/>
  <c r="P35" i="84"/>
  <c r="X35" i="84" s="1"/>
  <c r="L35" i="84"/>
  <c r="H35" i="84"/>
  <c r="N35" i="84" s="1"/>
  <c r="D35" i="84"/>
  <c r="X33" i="84"/>
  <c r="Z33" i="84" s="1"/>
  <c r="N33" i="84"/>
  <c r="L33" i="84"/>
  <c r="B33" i="84"/>
  <c r="Z32" i="84"/>
  <c r="X32" i="84"/>
  <c r="N32" i="84"/>
  <c r="L32" i="84"/>
  <c r="B32" i="84"/>
  <c r="X31" i="84"/>
  <c r="T31" i="84"/>
  <c r="Z31" i="84" s="1"/>
  <c r="P31" i="84"/>
  <c r="L31" i="84"/>
  <c r="H31" i="84"/>
  <c r="N31" i="84" s="1"/>
  <c r="D31" i="84"/>
  <c r="B31" i="84"/>
  <c r="X30" i="84"/>
  <c r="Z30" i="84" s="1"/>
  <c r="N30" i="84"/>
  <c r="L30" i="84"/>
  <c r="B30" i="84"/>
  <c r="T29" i="84"/>
  <c r="P29" i="84"/>
  <c r="H29" i="84"/>
  <c r="N29" i="84" s="1"/>
  <c r="D29" i="84"/>
  <c r="B29" i="84"/>
  <c r="Z28" i="84"/>
  <c r="X28" i="84"/>
  <c r="N28" i="84"/>
  <c r="L28" i="84"/>
  <c r="B28" i="84"/>
  <c r="T27" i="84"/>
  <c r="P27" i="84"/>
  <c r="X27" i="84" s="1"/>
  <c r="N27" i="84"/>
  <c r="H27" i="84"/>
  <c r="D27" i="84"/>
  <c r="L27" i="84" s="1"/>
  <c r="B27" i="84"/>
  <c r="Z26" i="84"/>
  <c r="X26" i="84"/>
  <c r="L26" i="84"/>
  <c r="N26" i="84" s="1"/>
  <c r="J26" i="84"/>
  <c r="B26" i="84"/>
  <c r="T25" i="84"/>
  <c r="P25" i="84"/>
  <c r="X25" i="84" s="1"/>
  <c r="Z25" i="84" s="1"/>
  <c r="L25" i="84"/>
  <c r="H25" i="84"/>
  <c r="D25" i="84"/>
  <c r="B25" i="84"/>
  <c r="Z24" i="84"/>
  <c r="X24" i="84"/>
  <c r="N24" i="84"/>
  <c r="L24" i="84"/>
  <c r="B24" i="84"/>
  <c r="X23" i="84"/>
  <c r="T23" i="84"/>
  <c r="P23" i="84"/>
  <c r="L23" i="84"/>
  <c r="H23" i="84"/>
  <c r="N23" i="84" s="1"/>
  <c r="D23" i="84"/>
  <c r="B23" i="84"/>
  <c r="X22" i="84"/>
  <c r="Z22" i="84" s="1"/>
  <c r="N22" i="84"/>
  <c r="L22" i="84"/>
  <c r="B22" i="84"/>
  <c r="X21" i="84"/>
  <c r="T21" i="84"/>
  <c r="P21" i="84"/>
  <c r="H21" i="84"/>
  <c r="N21" i="84" s="1"/>
  <c r="D21" i="84"/>
  <c r="B21" i="84"/>
  <c r="T20" i="84" a="1"/>
  <c r="T20" i="84"/>
  <c r="P20" i="84" a="1"/>
  <c r="P20" i="84" s="1"/>
  <c r="H20" i="84" a="1"/>
  <c r="H20" i="84"/>
  <c r="D20" i="84" a="1"/>
  <c r="D20" i="84" s="1"/>
  <c r="J18" i="84"/>
  <c r="Z16" i="84"/>
  <c r="X16" i="84"/>
  <c r="V16" i="84"/>
  <c r="N16" i="84"/>
  <c r="L16" i="84"/>
  <c r="B16" i="84"/>
  <c r="T15" i="84"/>
  <c r="P15" i="84"/>
  <c r="H15" i="84"/>
  <c r="N15" i="84" s="1"/>
  <c r="D15" i="84"/>
  <c r="T13" i="84"/>
  <c r="P13" i="84"/>
  <c r="L13" i="84"/>
  <c r="H13" i="84"/>
  <c r="N13" i="84" s="1"/>
  <c r="D13" i="84"/>
  <c r="D12" i="84" s="1"/>
  <c r="B13" i="84"/>
  <c r="T12" i="84"/>
  <c r="N12" i="84"/>
  <c r="H12" i="84"/>
  <c r="D6" i="84"/>
  <c r="D4" i="84"/>
  <c r="Z40" i="83"/>
  <c r="X40" i="83"/>
  <c r="N40" i="83"/>
  <c r="L40" i="83"/>
  <c r="R38" i="83"/>
  <c r="J38" i="83"/>
  <c r="T36" i="83"/>
  <c r="P36" i="83"/>
  <c r="N36" i="83"/>
  <c r="L36" i="83"/>
  <c r="H36" i="83"/>
  <c r="D36" i="83"/>
  <c r="Z34" i="83"/>
  <c r="X34" i="83"/>
  <c r="R34" i="83"/>
  <c r="N34" i="83"/>
  <c r="L34" i="83"/>
  <c r="B34" i="83"/>
  <c r="X33" i="83"/>
  <c r="T33" i="83"/>
  <c r="R33" i="83"/>
  <c r="P33" i="83"/>
  <c r="H33" i="83"/>
  <c r="N33" i="83" s="1"/>
  <c r="D33" i="83"/>
  <c r="L33" i="83" s="1"/>
  <c r="B33" i="83"/>
  <c r="X32" i="83"/>
  <c r="Z32" i="83" s="1"/>
  <c r="N32" i="83"/>
  <c r="L32" i="83"/>
  <c r="B32" i="83"/>
  <c r="X31" i="83"/>
  <c r="T31" i="83"/>
  <c r="P31" i="83"/>
  <c r="N31" i="83"/>
  <c r="L31" i="83"/>
  <c r="H31" i="83"/>
  <c r="D31" i="83"/>
  <c r="B31" i="83"/>
  <c r="Z30" i="83"/>
  <c r="X30" i="83"/>
  <c r="R30" i="83"/>
  <c r="N30" i="83"/>
  <c r="L30" i="83"/>
  <c r="J30" i="83"/>
  <c r="B30" i="83"/>
  <c r="T29" i="83"/>
  <c r="Z29" i="83" s="1"/>
  <c r="P29" i="83"/>
  <c r="X29" i="83" s="1"/>
  <c r="N29" i="83"/>
  <c r="H29" i="83"/>
  <c r="F29" i="83"/>
  <c r="D29" i="83"/>
  <c r="L29" i="83" s="1"/>
  <c r="B29" i="83"/>
  <c r="Z28" i="83"/>
  <c r="X28" i="83"/>
  <c r="L28" i="83"/>
  <c r="N28" i="83" s="1"/>
  <c r="B28" i="83"/>
  <c r="T27" i="83"/>
  <c r="R27" i="83"/>
  <c r="P27" i="83"/>
  <c r="X27" i="83" s="1"/>
  <c r="Z27" i="83" s="1"/>
  <c r="L27" i="83"/>
  <c r="H27" i="83"/>
  <c r="N27" i="83" s="1"/>
  <c r="D27" i="83"/>
  <c r="B27" i="83"/>
  <c r="Z26" i="83"/>
  <c r="X26" i="83"/>
  <c r="N26" i="83"/>
  <c r="L26" i="83"/>
  <c r="F26" i="83"/>
  <c r="B26" i="83"/>
  <c r="X25" i="83"/>
  <c r="T25" i="83"/>
  <c r="Z25" i="83" s="1"/>
  <c r="P25" i="83"/>
  <c r="N25" i="83"/>
  <c r="H25" i="83"/>
  <c r="L25" i="83" s="1"/>
  <c r="D25" i="83"/>
  <c r="B25" i="83"/>
  <c r="X24" i="83"/>
  <c r="Z24" i="83" s="1"/>
  <c r="N24" i="83"/>
  <c r="L24" i="83"/>
  <c r="B24" i="83"/>
  <c r="Z23" i="83"/>
  <c r="X23" i="83"/>
  <c r="R23" i="83"/>
  <c r="N23" i="83"/>
  <c r="L23" i="83"/>
  <c r="B23" i="83"/>
  <c r="Z22" i="83"/>
  <c r="X22" i="83"/>
  <c r="N22" i="83"/>
  <c r="L22" i="83"/>
  <c r="F22" i="83"/>
  <c r="B22" i="83"/>
  <c r="X21" i="83"/>
  <c r="Z21" i="83" s="1"/>
  <c r="N21" i="83"/>
  <c r="L21" i="83"/>
  <c r="J21" i="83"/>
  <c r="B21" i="83"/>
  <c r="Z20" i="83"/>
  <c r="X20" i="83"/>
  <c r="N20" i="83"/>
  <c r="L20" i="83"/>
  <c r="B20" i="83"/>
  <c r="T19" i="83"/>
  <c r="R19" i="83"/>
  <c r="P19" i="83"/>
  <c r="X19" i="83" s="1"/>
  <c r="Z19" i="83" s="1"/>
  <c r="L19" i="83"/>
  <c r="H19" i="83"/>
  <c r="N19" i="83" s="1"/>
  <c r="D19" i="83"/>
  <c r="B19" i="83"/>
  <c r="T18" i="83" a="1"/>
  <c r="T18" i="83" s="1"/>
  <c r="P18" i="83" a="1"/>
  <c r="P18" i="83"/>
  <c r="X18" i="83" s="1"/>
  <c r="J18" i="83"/>
  <c r="H18" i="83" a="1"/>
  <c r="H18" i="83" s="1"/>
  <c r="D18" i="83" a="1"/>
  <c r="D18" i="83"/>
  <c r="F16" i="83"/>
  <c r="T14" i="83"/>
  <c r="Z14" i="83" s="1"/>
  <c r="P14" i="83"/>
  <c r="N14" i="83"/>
  <c r="H14" i="83"/>
  <c r="D14" i="83"/>
  <c r="L14" i="83" s="1"/>
  <c r="T12" i="83"/>
  <c r="V18" i="83" s="1"/>
  <c r="P12" i="83"/>
  <c r="R31" i="83" s="1"/>
  <c r="H12" i="83"/>
  <c r="J31" i="83" s="1"/>
  <c r="D12" i="83"/>
  <c r="F32" i="83" s="1"/>
  <c r="D6" i="83"/>
  <c r="D4" i="83"/>
  <c r="J42" i="82"/>
  <c r="Z37" i="82"/>
  <c r="X37" i="82"/>
  <c r="N37" i="82"/>
  <c r="L37" i="82"/>
  <c r="J35" i="82"/>
  <c r="Z33" i="82"/>
  <c r="X33" i="82"/>
  <c r="T33" i="82"/>
  <c r="P33" i="82"/>
  <c r="H33" i="82"/>
  <c r="N33" i="82" s="1"/>
  <c r="D33" i="82"/>
  <c r="Z31" i="82"/>
  <c r="X31" i="82"/>
  <c r="L31" i="82"/>
  <c r="N31" i="82" s="1"/>
  <c r="B31" i="82"/>
  <c r="T30" i="82"/>
  <c r="P30" i="82"/>
  <c r="X30" i="82" s="1"/>
  <c r="Z30" i="82" s="1"/>
  <c r="L30" i="82"/>
  <c r="H30" i="82"/>
  <c r="N30" i="82" s="1"/>
  <c r="D30" i="82"/>
  <c r="B30" i="82"/>
  <c r="Z29" i="82"/>
  <c r="X29" i="82"/>
  <c r="V29" i="82"/>
  <c r="N29" i="82"/>
  <c r="L29" i="82"/>
  <c r="F29" i="82"/>
  <c r="B29" i="82"/>
  <c r="X28" i="82"/>
  <c r="V28" i="82"/>
  <c r="T28" i="82"/>
  <c r="Z28" i="82" s="1"/>
  <c r="P28" i="82"/>
  <c r="N28" i="82"/>
  <c r="H28" i="82"/>
  <c r="L28" i="82" s="1"/>
  <c r="D28" i="82"/>
  <c r="B28" i="82"/>
  <c r="X27" i="82"/>
  <c r="Z27" i="82" s="1"/>
  <c r="N27" i="82"/>
  <c r="L27" i="82"/>
  <c r="B27" i="82"/>
  <c r="Z26" i="82"/>
  <c r="X26" i="82"/>
  <c r="N26" i="82"/>
  <c r="L26" i="82"/>
  <c r="B26" i="82"/>
  <c r="V25" i="82"/>
  <c r="T25" i="82"/>
  <c r="P25" i="82"/>
  <c r="X25" i="82" s="1"/>
  <c r="N25" i="82"/>
  <c r="L25" i="82"/>
  <c r="H25" i="82"/>
  <c r="F25" i="82"/>
  <c r="D25" i="82"/>
  <c r="B25" i="82"/>
  <c r="X24" i="82"/>
  <c r="Z24" i="82" s="1"/>
  <c r="V24" i="82"/>
  <c r="N24" i="82"/>
  <c r="L24" i="82"/>
  <c r="B24" i="82"/>
  <c r="X23" i="82"/>
  <c r="Z23" i="82" s="1"/>
  <c r="T23" i="82"/>
  <c r="P23" i="82"/>
  <c r="H23" i="82"/>
  <c r="D23" i="82"/>
  <c r="B23" i="82"/>
  <c r="Z22" i="82"/>
  <c r="X22" i="82"/>
  <c r="N22" i="82"/>
  <c r="L22" i="82"/>
  <c r="F22" i="82"/>
  <c r="B22" i="82"/>
  <c r="V21" i="82"/>
  <c r="T21" i="82"/>
  <c r="P21" i="82"/>
  <c r="H21" i="82"/>
  <c r="D21" i="82"/>
  <c r="L21" i="82" s="1"/>
  <c r="N21" i="82" s="1"/>
  <c r="B21" i="82"/>
  <c r="Z20" i="82"/>
  <c r="X20" i="82"/>
  <c r="V20" i="82"/>
  <c r="N20" i="82"/>
  <c r="L20" i="82"/>
  <c r="J20" i="82"/>
  <c r="B20" i="82"/>
  <c r="Z19" i="82"/>
  <c r="T19" i="82"/>
  <c r="P19" i="82"/>
  <c r="X19" i="82" s="1"/>
  <c r="J19" i="82"/>
  <c r="H19" i="82"/>
  <c r="N19" i="82" s="1"/>
  <c r="D19" i="82"/>
  <c r="L19" i="82" s="1"/>
  <c r="B19" i="82"/>
  <c r="Z18" i="82"/>
  <c r="T18" i="82" a="1"/>
  <c r="T18" i="82" s="1"/>
  <c r="P18" i="82" a="1"/>
  <c r="P18" i="82"/>
  <c r="X18" i="82" s="1"/>
  <c r="N18" i="82"/>
  <c r="H18" i="82" a="1"/>
  <c r="H18" i="82" s="1"/>
  <c r="D18" i="82" a="1"/>
  <c r="D18" i="82"/>
  <c r="L18" i="82" s="1"/>
  <c r="Z16" i="82"/>
  <c r="T16" i="82"/>
  <c r="T35" i="82" s="1"/>
  <c r="T39" i="82" s="1"/>
  <c r="J16" i="82"/>
  <c r="D16" i="82"/>
  <c r="Z14" i="82"/>
  <c r="V14" i="82"/>
  <c r="T14" i="82"/>
  <c r="P14" i="82"/>
  <c r="X14" i="82" s="1"/>
  <c r="L14" i="82"/>
  <c r="J14" i="82"/>
  <c r="H14" i="82"/>
  <c r="N14" i="82" s="1"/>
  <c r="D14" i="82"/>
  <c r="Z12" i="82"/>
  <c r="T12" i="82"/>
  <c r="V42" i="82" s="1"/>
  <c r="P12" i="82"/>
  <c r="R33" i="82" s="1"/>
  <c r="N12" i="82"/>
  <c r="H12" i="82"/>
  <c r="J30" i="82" s="1"/>
  <c r="D12" i="82"/>
  <c r="F28" i="82" s="1"/>
  <c r="D6" i="82"/>
  <c r="D4" i="82"/>
  <c r="V84" i="81"/>
  <c r="F84" i="81"/>
  <c r="Z82" i="81"/>
  <c r="X82" i="81"/>
  <c r="N82" i="81"/>
  <c r="L82" i="81"/>
  <c r="J82" i="81"/>
  <c r="V78" i="81"/>
  <c r="T78" i="81"/>
  <c r="P78" i="81"/>
  <c r="X78" i="81" s="1"/>
  <c r="Z78" i="81" s="1"/>
  <c r="N78" i="81"/>
  <c r="H78" i="81"/>
  <c r="D78" i="81"/>
  <c r="L78" i="81" s="1"/>
  <c r="B78" i="81"/>
  <c r="T77" i="81"/>
  <c r="P77" i="81"/>
  <c r="J77" i="81"/>
  <c r="H77" i="81"/>
  <c r="N77" i="81" s="1"/>
  <c r="D77" i="81"/>
  <c r="L77" i="81" s="1"/>
  <c r="B77" i="81"/>
  <c r="T76" i="81"/>
  <c r="J76" i="81"/>
  <c r="D76" i="81"/>
  <c r="Z74" i="81"/>
  <c r="X74" i="81"/>
  <c r="N74" i="81"/>
  <c r="L74" i="81"/>
  <c r="F74" i="81"/>
  <c r="B74" i="81"/>
  <c r="T73" i="81"/>
  <c r="P73" i="81"/>
  <c r="H73" i="81"/>
  <c r="D73" i="81"/>
  <c r="L73" i="81" s="1"/>
  <c r="N73" i="81" s="1"/>
  <c r="B73" i="81"/>
  <c r="X72" i="81"/>
  <c r="Z72" i="81" s="1"/>
  <c r="N72" i="81"/>
  <c r="L72" i="81"/>
  <c r="J72" i="81"/>
  <c r="B72" i="81"/>
  <c r="Z71" i="81"/>
  <c r="X71" i="81"/>
  <c r="N71" i="81"/>
  <c r="L71" i="81"/>
  <c r="B71" i="81"/>
  <c r="T70" i="81"/>
  <c r="R70" i="81"/>
  <c r="P70" i="81"/>
  <c r="X70" i="81" s="1"/>
  <c r="Z70" i="81" s="1"/>
  <c r="N70" i="81"/>
  <c r="L70" i="81"/>
  <c r="H70" i="81"/>
  <c r="D70" i="81"/>
  <c r="B70" i="81"/>
  <c r="Z69" i="81"/>
  <c r="X69" i="81"/>
  <c r="V69" i="81"/>
  <c r="L69" i="81"/>
  <c r="N69" i="81" s="1"/>
  <c r="B69" i="81"/>
  <c r="X68" i="81"/>
  <c r="T68" i="81"/>
  <c r="P68" i="81"/>
  <c r="N68" i="81"/>
  <c r="H68" i="81"/>
  <c r="L68" i="81" s="1"/>
  <c r="D68" i="81"/>
  <c r="B68" i="81"/>
  <c r="X67" i="81"/>
  <c r="Z67" i="81" s="1"/>
  <c r="N67" i="81"/>
  <c r="L67" i="81"/>
  <c r="B67" i="81"/>
  <c r="Z66" i="81"/>
  <c r="X66" i="81"/>
  <c r="R66" i="81"/>
  <c r="N66" i="81"/>
  <c r="L66" i="81"/>
  <c r="B66" i="81"/>
  <c r="Z65" i="81"/>
  <c r="X65" i="81"/>
  <c r="V65" i="81"/>
  <c r="N65" i="81"/>
  <c r="L65" i="81"/>
  <c r="B65" i="81"/>
  <c r="X64" i="81"/>
  <c r="T64" i="81"/>
  <c r="P64" i="81"/>
  <c r="N64" i="81"/>
  <c r="H64" i="81"/>
  <c r="L64" i="81" s="1"/>
  <c r="D64" i="81"/>
  <c r="B64" i="81"/>
  <c r="X63" i="81"/>
  <c r="Z63" i="81" s="1"/>
  <c r="N63" i="81"/>
  <c r="L63" i="81"/>
  <c r="B63" i="81"/>
  <c r="Z62" i="81"/>
  <c r="T62" i="81"/>
  <c r="X62" i="81" s="1"/>
  <c r="P62" i="81"/>
  <c r="N62" i="81"/>
  <c r="J62" i="81"/>
  <c r="H62" i="81"/>
  <c r="D62" i="81"/>
  <c r="L62" i="81" s="1"/>
  <c r="B62" i="81"/>
  <c r="Z61" i="81"/>
  <c r="X61" i="81"/>
  <c r="R61" i="81"/>
  <c r="N61" i="81"/>
  <c r="L61" i="81"/>
  <c r="J61" i="81"/>
  <c r="B61" i="81"/>
  <c r="X60" i="81"/>
  <c r="Z60" i="81" s="1"/>
  <c r="V60" i="81"/>
  <c r="L60" i="81"/>
  <c r="N60" i="81" s="1"/>
  <c r="B60" i="81"/>
  <c r="X59" i="81"/>
  <c r="Z59" i="81" s="1"/>
  <c r="N59" i="81"/>
  <c r="L59" i="81"/>
  <c r="B59" i="81"/>
  <c r="Z58" i="81"/>
  <c r="T58" i="81"/>
  <c r="X58" i="81" s="1"/>
  <c r="P58" i="81"/>
  <c r="J58" i="81"/>
  <c r="H58" i="81"/>
  <c r="D58" i="81"/>
  <c r="L58" i="81" s="1"/>
  <c r="N58" i="81" s="1"/>
  <c r="B58" i="81"/>
  <c r="X57" i="81"/>
  <c r="Z57" i="81" s="1"/>
  <c r="R57" i="81"/>
  <c r="N57" i="81"/>
  <c r="L57" i="81"/>
  <c r="J57" i="81"/>
  <c r="B57" i="81"/>
  <c r="X56" i="81"/>
  <c r="Z56" i="81" s="1"/>
  <c r="V56" i="81"/>
  <c r="N56" i="81"/>
  <c r="L56" i="81"/>
  <c r="B56" i="81"/>
  <c r="X55" i="81"/>
  <c r="Z55" i="81" s="1"/>
  <c r="N55" i="81"/>
  <c r="L55" i="81"/>
  <c r="B55" i="81"/>
  <c r="Z54" i="81"/>
  <c r="X54" i="81"/>
  <c r="R54" i="81"/>
  <c r="N54" i="81"/>
  <c r="L54" i="81"/>
  <c r="B54" i="81"/>
  <c r="V53" i="81"/>
  <c r="T53" i="81"/>
  <c r="P53" i="81"/>
  <c r="X53" i="81" s="1"/>
  <c r="L53" i="81"/>
  <c r="N53" i="81" s="1"/>
  <c r="H53" i="81"/>
  <c r="D53" i="81"/>
  <c r="B53" i="81"/>
  <c r="Z52" i="81"/>
  <c r="X52" i="81"/>
  <c r="V52" i="81"/>
  <c r="N52" i="81"/>
  <c r="L52" i="81"/>
  <c r="B52" i="81"/>
  <c r="Z51" i="81"/>
  <c r="X51" i="81"/>
  <c r="T51" i="81"/>
  <c r="R51" i="81"/>
  <c r="P51" i="81"/>
  <c r="H51" i="81"/>
  <c r="D51" i="81"/>
  <c r="B51" i="81"/>
  <c r="Z50" i="81"/>
  <c r="X50" i="81"/>
  <c r="N50" i="81"/>
  <c r="L50" i="81"/>
  <c r="F50" i="81"/>
  <c r="B50" i="81"/>
  <c r="T49" i="81"/>
  <c r="P49" i="81"/>
  <c r="H49" i="81"/>
  <c r="D49" i="81"/>
  <c r="L49" i="81" s="1"/>
  <c r="N49" i="81" s="1"/>
  <c r="B49" i="81"/>
  <c r="X48" i="81"/>
  <c r="Z48" i="81" s="1"/>
  <c r="N48" i="81"/>
  <c r="L48" i="81"/>
  <c r="J48" i="81"/>
  <c r="B48" i="81"/>
  <c r="Z47" i="81"/>
  <c r="T47" i="81"/>
  <c r="P47" i="81"/>
  <c r="X47" i="81" s="1"/>
  <c r="J47" i="81"/>
  <c r="H47" i="81"/>
  <c r="N47" i="81" s="1"/>
  <c r="D47" i="81"/>
  <c r="L47" i="81" s="1"/>
  <c r="B47" i="81"/>
  <c r="Z46" i="81"/>
  <c r="X46" i="81"/>
  <c r="R46" i="81"/>
  <c r="N46" i="81"/>
  <c r="L46" i="81"/>
  <c r="B46" i="81"/>
  <c r="V45" i="81"/>
  <c r="T45" i="81"/>
  <c r="Z45" i="81" s="1"/>
  <c r="P45" i="81"/>
  <c r="X45" i="81" s="1"/>
  <c r="N45" i="81"/>
  <c r="L45" i="81"/>
  <c r="H45" i="81"/>
  <c r="F45" i="81"/>
  <c r="D45" i="81"/>
  <c r="B45" i="81"/>
  <c r="X44" i="81"/>
  <c r="Z44" i="81" s="1"/>
  <c r="V44" i="81"/>
  <c r="L44" i="81"/>
  <c r="N44" i="81" s="1"/>
  <c r="B44" i="81"/>
  <c r="X43" i="81"/>
  <c r="Z43" i="81" s="1"/>
  <c r="T43" i="81"/>
  <c r="R43" i="81"/>
  <c r="P43" i="81"/>
  <c r="H43" i="81"/>
  <c r="D43" i="81"/>
  <c r="B43" i="81"/>
  <c r="Z42" i="81"/>
  <c r="X42" i="81"/>
  <c r="N42" i="81"/>
  <c r="L42" i="81"/>
  <c r="B42" i="81"/>
  <c r="T41" i="81"/>
  <c r="P41" i="81"/>
  <c r="N41" i="81"/>
  <c r="H41" i="81"/>
  <c r="D41" i="81"/>
  <c r="L41" i="81" s="1"/>
  <c r="B41" i="81"/>
  <c r="X40" i="81"/>
  <c r="Z40" i="81" s="1"/>
  <c r="L40" i="81"/>
  <c r="N40" i="81" s="1"/>
  <c r="J40" i="81"/>
  <c r="B40" i="81"/>
  <c r="Z39" i="81"/>
  <c r="X39" i="81"/>
  <c r="L39" i="81"/>
  <c r="N39" i="81" s="1"/>
  <c r="B39" i="81"/>
  <c r="T38" i="81"/>
  <c r="R38" i="81"/>
  <c r="P38" i="81"/>
  <c r="X38" i="81" s="1"/>
  <c r="Z38" i="81" s="1"/>
  <c r="L38" i="81"/>
  <c r="N38" i="81" s="1"/>
  <c r="H38" i="81"/>
  <c r="D38" i="81"/>
  <c r="B38" i="81"/>
  <c r="X37" i="81"/>
  <c r="Z37" i="81" s="1"/>
  <c r="V37" i="81"/>
  <c r="L37" i="81"/>
  <c r="N37" i="81" s="1"/>
  <c r="B37" i="81"/>
  <c r="X36" i="81"/>
  <c r="Z36" i="81" s="1"/>
  <c r="T36" i="81"/>
  <c r="P36" i="81"/>
  <c r="H36" i="81"/>
  <c r="L36" i="81" s="1"/>
  <c r="D36" i="81"/>
  <c r="B36" i="81"/>
  <c r="X35" i="81"/>
  <c r="Z35" i="81" s="1"/>
  <c r="N35" i="81"/>
  <c r="L35" i="81"/>
  <c r="B35" i="81"/>
  <c r="T34" i="81"/>
  <c r="X34" i="81" s="1"/>
  <c r="P34" i="81"/>
  <c r="N34" i="81"/>
  <c r="J34" i="81"/>
  <c r="H34" i="81"/>
  <c r="D34" i="81"/>
  <c r="L34" i="81" s="1"/>
  <c r="B34" i="81"/>
  <c r="Z33" i="81"/>
  <c r="X33" i="81"/>
  <c r="R33" i="81"/>
  <c r="N33" i="81"/>
  <c r="L33" i="81"/>
  <c r="J33" i="81"/>
  <c r="B33" i="81"/>
  <c r="X32" i="81"/>
  <c r="Z32" i="81" s="1"/>
  <c r="V32" i="81"/>
  <c r="N32" i="81"/>
  <c r="L32" i="81"/>
  <c r="B32" i="81"/>
  <c r="X31" i="81"/>
  <c r="Z31" i="81" s="1"/>
  <c r="N31" i="81"/>
  <c r="L31" i="81"/>
  <c r="B31" i="81"/>
  <c r="Z30" i="81"/>
  <c r="X30" i="81"/>
  <c r="R30" i="81"/>
  <c r="N30" i="81"/>
  <c r="L30" i="81"/>
  <c r="B30" i="81"/>
  <c r="Z29" i="81"/>
  <c r="X29" i="81"/>
  <c r="V29" i="81"/>
  <c r="L29" i="81"/>
  <c r="N29" i="81" s="1"/>
  <c r="B29" i="81"/>
  <c r="X28" i="81"/>
  <c r="T28" i="81"/>
  <c r="P28" i="81"/>
  <c r="N28" i="81"/>
  <c r="H28" i="81"/>
  <c r="D28" i="81"/>
  <c r="L28" i="81" s="1"/>
  <c r="B28" i="81"/>
  <c r="X27" i="81"/>
  <c r="Z27" i="81" s="1"/>
  <c r="N27" i="81"/>
  <c r="L27" i="81"/>
  <c r="B27" i="81"/>
  <c r="Z26" i="81"/>
  <c r="X26" i="81"/>
  <c r="R26" i="81"/>
  <c r="N26" i="81"/>
  <c r="L26" i="81"/>
  <c r="B26" i="81"/>
  <c r="Z25" i="81"/>
  <c r="X25" i="81"/>
  <c r="V25" i="81"/>
  <c r="L25" i="81"/>
  <c r="N25" i="81" s="1"/>
  <c r="B25" i="81"/>
  <c r="X24" i="81"/>
  <c r="Z24" i="81" s="1"/>
  <c r="L24" i="81"/>
  <c r="N24" i="81" s="1"/>
  <c r="J24" i="81"/>
  <c r="B24" i="81"/>
  <c r="Z23" i="81"/>
  <c r="X23" i="81"/>
  <c r="L23" i="81"/>
  <c r="N23" i="81" s="1"/>
  <c r="B23" i="81"/>
  <c r="Z22" i="81"/>
  <c r="X22" i="81"/>
  <c r="N22" i="81"/>
  <c r="L22" i="81"/>
  <c r="F22" i="81"/>
  <c r="B22" i="81"/>
  <c r="X21" i="81"/>
  <c r="Z21" i="81" s="1"/>
  <c r="R21" i="81"/>
  <c r="N21" i="81"/>
  <c r="L21" i="81"/>
  <c r="J21" i="81"/>
  <c r="B21" i="81"/>
  <c r="X20" i="81"/>
  <c r="Z20" i="81" s="1"/>
  <c r="V20" i="81"/>
  <c r="L20" i="81"/>
  <c r="N20" i="81" s="1"/>
  <c r="B20" i="81"/>
  <c r="X19" i="81"/>
  <c r="Z19" i="81" s="1"/>
  <c r="T19" i="81"/>
  <c r="R19" i="81"/>
  <c r="P19" i="81"/>
  <c r="H19" i="81"/>
  <c r="D19" i="81"/>
  <c r="B19" i="81"/>
  <c r="T18" i="81" a="1"/>
  <c r="T18" i="81"/>
  <c r="P18" i="81" a="1"/>
  <c r="P18" i="81"/>
  <c r="X18" i="81" s="1"/>
  <c r="H18" i="81" a="1"/>
  <c r="H18" i="81"/>
  <c r="D18" i="81" a="1"/>
  <c r="D18" i="81"/>
  <c r="R16" i="81"/>
  <c r="Z14" i="81"/>
  <c r="V14" i="81"/>
  <c r="T14" i="81"/>
  <c r="T16" i="81" s="1"/>
  <c r="P14" i="81"/>
  <c r="X14" i="81" s="1"/>
  <c r="N14" i="81"/>
  <c r="J14" i="81"/>
  <c r="H14" i="81"/>
  <c r="D14" i="81"/>
  <c r="L14" i="81" s="1"/>
  <c r="Z12" i="81"/>
  <c r="T12" i="81"/>
  <c r="V87" i="81" s="1"/>
  <c r="P12" i="81"/>
  <c r="R76" i="81" s="1"/>
  <c r="N12" i="81"/>
  <c r="H12" i="81"/>
  <c r="J70" i="81" s="1"/>
  <c r="D12" i="81"/>
  <c r="F53" i="81" s="1"/>
  <c r="D6" i="81"/>
  <c r="D4" i="81"/>
  <c r="V39" i="80"/>
  <c r="Z34" i="80"/>
  <c r="X34" i="80"/>
  <c r="V34" i="80"/>
  <c r="N34" i="80"/>
  <c r="L34" i="80"/>
  <c r="V32" i="80"/>
  <c r="Z30" i="80"/>
  <c r="X30" i="80"/>
  <c r="T30" i="80"/>
  <c r="P30" i="80"/>
  <c r="H30" i="80"/>
  <c r="N30" i="80" s="1"/>
  <c r="D30" i="80"/>
  <c r="X28" i="80"/>
  <c r="Z28" i="80" s="1"/>
  <c r="V28" i="80"/>
  <c r="N28" i="80"/>
  <c r="L28" i="80"/>
  <c r="B28" i="80"/>
  <c r="X27" i="80"/>
  <c r="Z27" i="80" s="1"/>
  <c r="T27" i="80"/>
  <c r="R27" i="80"/>
  <c r="P27" i="80"/>
  <c r="H27" i="80"/>
  <c r="N27" i="80" s="1"/>
  <c r="D27" i="80"/>
  <c r="B27" i="80"/>
  <c r="Z26" i="80"/>
  <c r="X26" i="80"/>
  <c r="N26" i="80"/>
  <c r="L26" i="80"/>
  <c r="B26" i="80"/>
  <c r="T25" i="80"/>
  <c r="P25" i="80"/>
  <c r="X25" i="80" s="1"/>
  <c r="N25" i="80"/>
  <c r="H25" i="80"/>
  <c r="D25" i="80"/>
  <c r="L25" i="80" s="1"/>
  <c r="B25" i="80"/>
  <c r="X24" i="80"/>
  <c r="Z24" i="80" s="1"/>
  <c r="V24" i="80"/>
  <c r="N24" i="80"/>
  <c r="L24" i="80"/>
  <c r="J24" i="80"/>
  <c r="B24" i="80"/>
  <c r="Z23" i="80"/>
  <c r="T23" i="80"/>
  <c r="P23" i="80"/>
  <c r="X23" i="80" s="1"/>
  <c r="J23" i="80"/>
  <c r="H23" i="80"/>
  <c r="N23" i="80" s="1"/>
  <c r="D23" i="80"/>
  <c r="B23" i="80"/>
  <c r="Z22" i="80"/>
  <c r="X22" i="80"/>
  <c r="R22" i="80"/>
  <c r="N22" i="80"/>
  <c r="L22" i="80"/>
  <c r="B22" i="80"/>
  <c r="V21" i="80"/>
  <c r="T21" i="80"/>
  <c r="P21" i="80"/>
  <c r="L21" i="80"/>
  <c r="N21" i="80" s="1"/>
  <c r="H21" i="80"/>
  <c r="D21" i="80"/>
  <c r="B21" i="80"/>
  <c r="X20" i="80"/>
  <c r="Z20" i="80" s="1"/>
  <c r="V20" i="80"/>
  <c r="N20" i="80"/>
  <c r="L20" i="80"/>
  <c r="B20" i="80"/>
  <c r="X19" i="80"/>
  <c r="Z19" i="80" s="1"/>
  <c r="T19" i="80"/>
  <c r="R19" i="80"/>
  <c r="P19" i="80"/>
  <c r="H19" i="80"/>
  <c r="N19" i="80" s="1"/>
  <c r="D19" i="80"/>
  <c r="B19" i="80"/>
  <c r="T18" i="80" a="1"/>
  <c r="T18" i="80"/>
  <c r="P18" i="80" a="1"/>
  <c r="P18" i="80"/>
  <c r="H18" i="80" a="1"/>
  <c r="H18" i="80"/>
  <c r="D18" i="80" a="1"/>
  <c r="D18" i="80"/>
  <c r="L18" i="80" s="1"/>
  <c r="R16" i="80"/>
  <c r="J16" i="80"/>
  <c r="V14" i="80"/>
  <c r="T14" i="80"/>
  <c r="T16" i="80" s="1"/>
  <c r="R14" i="80"/>
  <c r="P14" i="80"/>
  <c r="X14" i="80" s="1"/>
  <c r="N14" i="80"/>
  <c r="J14" i="80"/>
  <c r="H14" i="80"/>
  <c r="D14" i="80"/>
  <c r="L14" i="80" s="1"/>
  <c r="Z12" i="80"/>
  <c r="T12" i="80"/>
  <c r="V36" i="80" s="1"/>
  <c r="P12" i="80"/>
  <c r="R24" i="80" s="1"/>
  <c r="N12" i="80"/>
  <c r="H12" i="80"/>
  <c r="J34" i="80" s="1"/>
  <c r="D12" i="80"/>
  <c r="F39" i="80" s="1"/>
  <c r="D6" i="80"/>
  <c r="D4" i="80"/>
  <c r="Z86" i="79"/>
  <c r="X86" i="79"/>
  <c r="N86" i="79"/>
  <c r="L86" i="79"/>
  <c r="Z82" i="79"/>
  <c r="X82" i="79"/>
  <c r="T82" i="79"/>
  <c r="P82" i="79"/>
  <c r="H82" i="79"/>
  <c r="D82" i="79"/>
  <c r="B82" i="79"/>
  <c r="X81" i="79"/>
  <c r="T81" i="79"/>
  <c r="Z81" i="79" s="1"/>
  <c r="P81" i="79"/>
  <c r="D81" i="79"/>
  <c r="Z79" i="79"/>
  <c r="X79" i="79"/>
  <c r="L79" i="79"/>
  <c r="N79" i="79" s="1"/>
  <c r="B79" i="79"/>
  <c r="T78" i="79"/>
  <c r="P78" i="79"/>
  <c r="X78" i="79" s="1"/>
  <c r="Z78" i="79" s="1"/>
  <c r="L78" i="79"/>
  <c r="N78" i="79" s="1"/>
  <c r="H78" i="79"/>
  <c r="D78" i="79"/>
  <c r="B78" i="79"/>
  <c r="Z77" i="79"/>
  <c r="X77" i="79"/>
  <c r="N77" i="79"/>
  <c r="L77" i="79"/>
  <c r="B77" i="79"/>
  <c r="Z76" i="79"/>
  <c r="X76" i="79"/>
  <c r="T76" i="79"/>
  <c r="P76" i="79"/>
  <c r="H76" i="79"/>
  <c r="D76" i="79"/>
  <c r="B76" i="79"/>
  <c r="X75" i="79"/>
  <c r="Z75" i="79" s="1"/>
  <c r="N75" i="79"/>
  <c r="L75" i="79"/>
  <c r="B75" i="79"/>
  <c r="T74" i="79"/>
  <c r="P74" i="79"/>
  <c r="N74" i="79"/>
  <c r="H74" i="79"/>
  <c r="D74" i="79"/>
  <c r="L74" i="79" s="1"/>
  <c r="B74" i="79"/>
  <c r="Z73" i="79"/>
  <c r="X73" i="79"/>
  <c r="N73" i="79"/>
  <c r="L73" i="79"/>
  <c r="B73" i="79"/>
  <c r="Z72" i="79"/>
  <c r="X72" i="79"/>
  <c r="V72" i="79"/>
  <c r="N72" i="79"/>
  <c r="L72" i="79"/>
  <c r="B72" i="79"/>
  <c r="Z71" i="79"/>
  <c r="X71" i="79"/>
  <c r="N71" i="79"/>
  <c r="L71" i="79"/>
  <c r="B71" i="79"/>
  <c r="Z70" i="79"/>
  <c r="X70" i="79"/>
  <c r="N70" i="79"/>
  <c r="L70" i="79"/>
  <c r="B70" i="79"/>
  <c r="Z69" i="79"/>
  <c r="X69" i="79"/>
  <c r="N69" i="79"/>
  <c r="L69" i="79"/>
  <c r="B69" i="79"/>
  <c r="Z68" i="79"/>
  <c r="X68" i="79"/>
  <c r="N68" i="79"/>
  <c r="L68" i="79"/>
  <c r="B68" i="79"/>
  <c r="Z67" i="79"/>
  <c r="X67" i="79"/>
  <c r="N67" i="79"/>
  <c r="L67" i="79"/>
  <c r="B67" i="79"/>
  <c r="Z66" i="79"/>
  <c r="X66" i="79"/>
  <c r="N66" i="79"/>
  <c r="L66" i="79"/>
  <c r="B66" i="79"/>
  <c r="Z65" i="79"/>
  <c r="X65" i="79"/>
  <c r="N65" i="79"/>
  <c r="L65" i="79"/>
  <c r="B65" i="79"/>
  <c r="T64" i="79"/>
  <c r="P64" i="79"/>
  <c r="X64" i="79" s="1"/>
  <c r="Z64" i="79" s="1"/>
  <c r="N64" i="79"/>
  <c r="H64" i="79"/>
  <c r="D64" i="79"/>
  <c r="L64" i="79" s="1"/>
  <c r="B64" i="79"/>
  <c r="Z63" i="79"/>
  <c r="X63" i="79"/>
  <c r="N63" i="79"/>
  <c r="L63" i="79"/>
  <c r="B63" i="79"/>
  <c r="Z62" i="79"/>
  <c r="T62" i="79"/>
  <c r="P62" i="79"/>
  <c r="X62" i="79" s="1"/>
  <c r="N62" i="79"/>
  <c r="L62" i="79"/>
  <c r="H62" i="79"/>
  <c r="D62" i="79"/>
  <c r="B62" i="79"/>
  <c r="Z61" i="79"/>
  <c r="X61" i="79"/>
  <c r="N61" i="79"/>
  <c r="L61" i="79"/>
  <c r="B61" i="79"/>
  <c r="Z60" i="79"/>
  <c r="X60" i="79"/>
  <c r="N60" i="79"/>
  <c r="L60" i="79"/>
  <c r="B60" i="79"/>
  <c r="Z59" i="79"/>
  <c r="X59" i="79"/>
  <c r="L59" i="79"/>
  <c r="N59" i="79" s="1"/>
  <c r="B59" i="79"/>
  <c r="Z58" i="79"/>
  <c r="X58" i="79"/>
  <c r="N58" i="79"/>
  <c r="L58" i="79"/>
  <c r="B58" i="79"/>
  <c r="T57" i="79"/>
  <c r="P57" i="79"/>
  <c r="N57" i="79"/>
  <c r="H57" i="79"/>
  <c r="D57" i="79"/>
  <c r="L57" i="79" s="1"/>
  <c r="B57" i="79"/>
  <c r="X56" i="79"/>
  <c r="Z56" i="79" s="1"/>
  <c r="N56" i="79"/>
  <c r="L56" i="79"/>
  <c r="B56" i="79"/>
  <c r="X55" i="79"/>
  <c r="Z55" i="79" s="1"/>
  <c r="N55" i="79"/>
  <c r="L55" i="79"/>
  <c r="B55" i="79"/>
  <c r="T54" i="79"/>
  <c r="P54" i="79"/>
  <c r="X54" i="79" s="1"/>
  <c r="Z54" i="79" s="1"/>
  <c r="N54" i="79"/>
  <c r="L54" i="79"/>
  <c r="H54" i="79"/>
  <c r="D54" i="79"/>
  <c r="B54" i="79"/>
  <c r="X53" i="79"/>
  <c r="Z53" i="79" s="1"/>
  <c r="L53" i="79"/>
  <c r="N53" i="79" s="1"/>
  <c r="B53" i="79"/>
  <c r="X52" i="79"/>
  <c r="Z52" i="79" s="1"/>
  <c r="T52" i="79"/>
  <c r="P52" i="79"/>
  <c r="N52" i="79"/>
  <c r="H52" i="79"/>
  <c r="L52" i="79" s="1"/>
  <c r="D52" i="79"/>
  <c r="B52" i="79"/>
  <c r="Z51" i="79"/>
  <c r="X51" i="79"/>
  <c r="N51" i="79"/>
  <c r="L51" i="79"/>
  <c r="B51" i="79"/>
  <c r="Z50" i="79"/>
  <c r="T50" i="79"/>
  <c r="X50" i="79" s="1"/>
  <c r="P50" i="79"/>
  <c r="H50" i="79"/>
  <c r="N50" i="79" s="1"/>
  <c r="D50" i="79"/>
  <c r="L50" i="79" s="1"/>
  <c r="B50" i="79"/>
  <c r="X49" i="79"/>
  <c r="Z49" i="79" s="1"/>
  <c r="N49" i="79"/>
  <c r="L49" i="79"/>
  <c r="B49" i="79"/>
  <c r="T48" i="79"/>
  <c r="Z48" i="79" s="1"/>
  <c r="P48" i="79"/>
  <c r="X48" i="79" s="1"/>
  <c r="N48" i="79"/>
  <c r="H48" i="79"/>
  <c r="D48" i="79"/>
  <c r="L48" i="79" s="1"/>
  <c r="B48" i="79"/>
  <c r="Z47" i="79"/>
  <c r="X47" i="79"/>
  <c r="N47" i="79"/>
  <c r="L47" i="79"/>
  <c r="B47" i="79"/>
  <c r="Z46" i="79"/>
  <c r="T46" i="79"/>
  <c r="P46" i="79"/>
  <c r="X46" i="79" s="1"/>
  <c r="N46" i="79"/>
  <c r="L46" i="79"/>
  <c r="H46" i="79"/>
  <c r="D46" i="79"/>
  <c r="B46" i="79"/>
  <c r="X45" i="79"/>
  <c r="Z45" i="79" s="1"/>
  <c r="L45" i="79"/>
  <c r="N45" i="79" s="1"/>
  <c r="B45" i="79"/>
  <c r="X44" i="79"/>
  <c r="Z44" i="79" s="1"/>
  <c r="L44" i="79"/>
  <c r="N44" i="79" s="1"/>
  <c r="B44" i="79"/>
  <c r="T43" i="79"/>
  <c r="P43" i="79"/>
  <c r="X43" i="79" s="1"/>
  <c r="Z43" i="79" s="1"/>
  <c r="L43" i="79"/>
  <c r="H43" i="79"/>
  <c r="D43" i="79"/>
  <c r="B43" i="79"/>
  <c r="Z42" i="79"/>
  <c r="X42" i="79"/>
  <c r="N42" i="79"/>
  <c r="L42" i="79"/>
  <c r="B42" i="79"/>
  <c r="T41" i="79"/>
  <c r="Z41" i="79" s="1"/>
  <c r="P41" i="79"/>
  <c r="H41" i="79"/>
  <c r="N41" i="79" s="1"/>
  <c r="D41" i="79"/>
  <c r="L41" i="79" s="1"/>
  <c r="B41" i="79"/>
  <c r="Z40" i="79"/>
  <c r="X40" i="79"/>
  <c r="N40" i="79"/>
  <c r="L40" i="79"/>
  <c r="B40" i="79"/>
  <c r="Z39" i="79"/>
  <c r="T39" i="79"/>
  <c r="X39" i="79" s="1"/>
  <c r="P39" i="79"/>
  <c r="H39" i="79"/>
  <c r="N39" i="79" s="1"/>
  <c r="D39" i="79"/>
  <c r="B39" i="79"/>
  <c r="Z38" i="79"/>
  <c r="X38" i="79"/>
  <c r="N38" i="79"/>
  <c r="L38" i="79"/>
  <c r="B38" i="79"/>
  <c r="T37" i="79"/>
  <c r="Z37" i="79" s="1"/>
  <c r="P37" i="79"/>
  <c r="X37" i="79" s="1"/>
  <c r="H37" i="79"/>
  <c r="N37" i="79" s="1"/>
  <c r="D37" i="79"/>
  <c r="B37" i="79"/>
  <c r="Z36" i="79"/>
  <c r="X36" i="79"/>
  <c r="N36" i="79"/>
  <c r="L36" i="79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B33" i="79"/>
  <c r="Z32" i="79"/>
  <c r="T32" i="79"/>
  <c r="P32" i="79"/>
  <c r="X32" i="79" s="1"/>
  <c r="N32" i="79"/>
  <c r="H32" i="79"/>
  <c r="D32" i="79"/>
  <c r="L32" i="79" s="1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F27" i="79"/>
  <c r="B27" i="79"/>
  <c r="Z26" i="79"/>
  <c r="X26" i="79"/>
  <c r="N26" i="79"/>
  <c r="L26" i="79"/>
  <c r="B26" i="79"/>
  <c r="Z25" i="79"/>
  <c r="X25" i="79"/>
  <c r="N25" i="79"/>
  <c r="L25" i="79"/>
  <c r="B25" i="79"/>
  <c r="X24" i="79"/>
  <c r="Z24" i="79" s="1"/>
  <c r="N24" i="79"/>
  <c r="L24" i="79"/>
  <c r="B24" i="79"/>
  <c r="T23" i="79"/>
  <c r="P23" i="79"/>
  <c r="N23" i="79"/>
  <c r="H23" i="79"/>
  <c r="D23" i="79"/>
  <c r="L23" i="79" s="1"/>
  <c r="B23" i="79"/>
  <c r="T22" i="79" a="1"/>
  <c r="T22" i="79" s="1"/>
  <c r="P22" i="79" a="1"/>
  <c r="P22" i="79" s="1"/>
  <c r="X22" i="79" s="1"/>
  <c r="H22" i="79" a="1"/>
  <c r="H22" i="79" s="1"/>
  <c r="D22" i="79" a="1"/>
  <c r="D22" i="79" s="1"/>
  <c r="L22" i="79" s="1"/>
  <c r="Z18" i="79"/>
  <c r="X18" i="79"/>
  <c r="N18" i="79"/>
  <c r="L18" i="79"/>
  <c r="B18" i="79"/>
  <c r="X17" i="79"/>
  <c r="Z17" i="79" s="1"/>
  <c r="N17" i="79"/>
  <c r="L17" i="79"/>
  <c r="B17" i="79"/>
  <c r="T16" i="79"/>
  <c r="P16" i="79"/>
  <c r="X16" i="79" s="1"/>
  <c r="Z16" i="79" s="1"/>
  <c r="N16" i="79"/>
  <c r="H16" i="79"/>
  <c r="D16" i="79"/>
  <c r="L16" i="79" s="1"/>
  <c r="X14" i="79"/>
  <c r="T14" i="79"/>
  <c r="Z14" i="79" s="1"/>
  <c r="P14" i="79"/>
  <c r="N14" i="79"/>
  <c r="H14" i="79"/>
  <c r="D14" i="79"/>
  <c r="L14" i="79" s="1"/>
  <c r="B14" i="79"/>
  <c r="Z13" i="79"/>
  <c r="T13" i="79"/>
  <c r="P13" i="79"/>
  <c r="L13" i="79"/>
  <c r="H13" i="79"/>
  <c r="H12" i="79" s="1"/>
  <c r="D13" i="79"/>
  <c r="B13" i="79"/>
  <c r="T12" i="79"/>
  <c r="V84" i="79" s="1"/>
  <c r="D12" i="79"/>
  <c r="D6" i="79"/>
  <c r="D4" i="79"/>
  <c r="Z32" i="78"/>
  <c r="X32" i="78"/>
  <c r="L32" i="78"/>
  <c r="N32" i="78" s="1"/>
  <c r="X28" i="78"/>
  <c r="T28" i="78"/>
  <c r="Z28" i="78" s="1"/>
  <c r="P28" i="78"/>
  <c r="H28" i="78"/>
  <c r="D28" i="78"/>
  <c r="Z26" i="78"/>
  <c r="X26" i="78"/>
  <c r="N26" i="78"/>
  <c r="L26" i="78"/>
  <c r="B26" i="78"/>
  <c r="X25" i="78"/>
  <c r="Z25" i="78" s="1"/>
  <c r="T25" i="78"/>
  <c r="R25" i="78"/>
  <c r="P25" i="78"/>
  <c r="L25" i="78"/>
  <c r="H25" i="78"/>
  <c r="N25" i="78" s="1"/>
  <c r="D25" i="78"/>
  <c r="B25" i="78"/>
  <c r="Z24" i="78"/>
  <c r="X24" i="78"/>
  <c r="N24" i="78"/>
  <c r="L24" i="78"/>
  <c r="B24" i="78"/>
  <c r="X23" i="78"/>
  <c r="T23" i="78"/>
  <c r="P23" i="78"/>
  <c r="N23" i="78"/>
  <c r="H23" i="78"/>
  <c r="D23" i="78"/>
  <c r="L23" i="78" s="1"/>
  <c r="B23" i="78"/>
  <c r="X22" i="78"/>
  <c r="T22" i="78" a="1"/>
  <c r="T22" i="78"/>
  <c r="P22" i="78" a="1"/>
  <c r="P22" i="78" s="1"/>
  <c r="H22" i="78" a="1"/>
  <c r="H22" i="78"/>
  <c r="D22" i="78" a="1"/>
  <c r="D22" i="78" s="1"/>
  <c r="L22" i="78" s="1"/>
  <c r="Z18" i="78"/>
  <c r="X18" i="78"/>
  <c r="N18" i="78"/>
  <c r="L18" i="78"/>
  <c r="B18" i="78"/>
  <c r="X17" i="78"/>
  <c r="Z17" i="78" s="1"/>
  <c r="N17" i="78"/>
  <c r="L17" i="78"/>
  <c r="B17" i="78"/>
  <c r="T16" i="78"/>
  <c r="P16" i="78"/>
  <c r="N16" i="78"/>
  <c r="H16" i="78"/>
  <c r="D16" i="78"/>
  <c r="L16" i="78" s="1"/>
  <c r="T14" i="78"/>
  <c r="P14" i="78"/>
  <c r="X14" i="78" s="1"/>
  <c r="H14" i="78"/>
  <c r="D14" i="78"/>
  <c r="L14" i="78" s="1"/>
  <c r="N14" i="78" s="1"/>
  <c r="B14" i="78"/>
  <c r="X13" i="78"/>
  <c r="T13" i="78"/>
  <c r="Z13" i="78" s="1"/>
  <c r="P13" i="78"/>
  <c r="P12" i="78" s="1"/>
  <c r="H13" i="78"/>
  <c r="D13" i="78"/>
  <c r="L13" i="78" s="1"/>
  <c r="B13" i="78"/>
  <c r="D6" i="78"/>
  <c r="D4" i="78"/>
  <c r="Z113" i="77"/>
  <c r="X113" i="77"/>
  <c r="N113" i="77"/>
  <c r="L113" i="77"/>
  <c r="T109" i="77"/>
  <c r="Z109" i="77" s="1"/>
  <c r="P109" i="77"/>
  <c r="X109" i="77" s="1"/>
  <c r="L109" i="77"/>
  <c r="H109" i="77"/>
  <c r="N109" i="77" s="1"/>
  <c r="D109" i="77"/>
  <c r="Z107" i="77"/>
  <c r="X107" i="77"/>
  <c r="N107" i="77"/>
  <c r="L107" i="77"/>
  <c r="B107" i="77"/>
  <c r="T106" i="77"/>
  <c r="Z106" i="77" s="1"/>
  <c r="P106" i="77"/>
  <c r="X106" i="77" s="1"/>
  <c r="L106" i="77"/>
  <c r="N106" i="77" s="1"/>
  <c r="H106" i="77"/>
  <c r="D106" i="77"/>
  <c r="B106" i="77"/>
  <c r="Z105" i="77"/>
  <c r="X105" i="77"/>
  <c r="N105" i="77"/>
  <c r="L105" i="77"/>
  <c r="B105" i="77"/>
  <c r="X104" i="77"/>
  <c r="Z104" i="77" s="1"/>
  <c r="T104" i="77"/>
  <c r="P104" i="77"/>
  <c r="L104" i="77"/>
  <c r="H104" i="77"/>
  <c r="N104" i="77" s="1"/>
  <c r="D104" i="77"/>
  <c r="B104" i="77"/>
  <c r="Z103" i="77"/>
  <c r="X103" i="77"/>
  <c r="N103" i="77"/>
  <c r="L103" i="77"/>
  <c r="B103" i="77"/>
  <c r="X102" i="77"/>
  <c r="T102" i="77"/>
  <c r="P102" i="77"/>
  <c r="H102" i="77"/>
  <c r="D102" i="77"/>
  <c r="B102" i="77"/>
  <c r="Z101" i="77"/>
  <c r="X101" i="77"/>
  <c r="N101" i="77"/>
  <c r="L101" i="77"/>
  <c r="B101" i="77"/>
  <c r="Z100" i="77"/>
  <c r="X100" i="77"/>
  <c r="N100" i="77"/>
  <c r="L100" i="77"/>
  <c r="B100" i="77"/>
  <c r="Z99" i="77"/>
  <c r="X99" i="77"/>
  <c r="N99" i="77"/>
  <c r="L99" i="77"/>
  <c r="B99" i="77"/>
  <c r="X98" i="77"/>
  <c r="Z98" i="77" s="1"/>
  <c r="N98" i="77"/>
  <c r="L98" i="77"/>
  <c r="B98" i="77"/>
  <c r="T97" i="77"/>
  <c r="P97" i="77"/>
  <c r="X97" i="77" s="1"/>
  <c r="Z97" i="77" s="1"/>
  <c r="H97" i="77"/>
  <c r="N97" i="77" s="1"/>
  <c r="D97" i="77"/>
  <c r="L97" i="77" s="1"/>
  <c r="B97" i="77"/>
  <c r="Z96" i="77"/>
  <c r="X96" i="77"/>
  <c r="N96" i="77"/>
  <c r="L96" i="77"/>
  <c r="B96" i="77"/>
  <c r="Z95" i="77"/>
  <c r="X95" i="77"/>
  <c r="N95" i="77"/>
  <c r="L95" i="77"/>
  <c r="B95" i="77"/>
  <c r="T94" i="77"/>
  <c r="P94" i="77"/>
  <c r="H94" i="77"/>
  <c r="N94" i="77" s="1"/>
  <c r="D94" i="77"/>
  <c r="L94" i="77" s="1"/>
  <c r="B94" i="77"/>
  <c r="X93" i="77"/>
  <c r="Z93" i="77" s="1"/>
  <c r="N93" i="77"/>
  <c r="L93" i="77"/>
  <c r="B93" i="77"/>
  <c r="Z92" i="77"/>
  <c r="X92" i="77"/>
  <c r="L92" i="77"/>
  <c r="N92" i="77" s="1"/>
  <c r="B92" i="77"/>
  <c r="Z91" i="77"/>
  <c r="X91" i="77"/>
  <c r="N91" i="77"/>
  <c r="L91" i="77"/>
  <c r="B91" i="77"/>
  <c r="T90" i="77"/>
  <c r="P90" i="77"/>
  <c r="H90" i="77"/>
  <c r="N90" i="77" s="1"/>
  <c r="D90" i="77"/>
  <c r="L90" i="77" s="1"/>
  <c r="B90" i="77"/>
  <c r="X89" i="77"/>
  <c r="Z89" i="77" s="1"/>
  <c r="N89" i="77"/>
  <c r="L89" i="77"/>
  <c r="B89" i="77"/>
  <c r="Z88" i="77"/>
  <c r="X88" i="77"/>
  <c r="N88" i="77"/>
  <c r="L88" i="77"/>
  <c r="B88" i="77"/>
  <c r="Z87" i="77"/>
  <c r="X87" i="77"/>
  <c r="N87" i="77"/>
  <c r="L87" i="77"/>
  <c r="B87" i="77"/>
  <c r="T86" i="77"/>
  <c r="P86" i="77"/>
  <c r="H86" i="77"/>
  <c r="N86" i="77" s="1"/>
  <c r="D86" i="77"/>
  <c r="B86" i="77"/>
  <c r="X85" i="77"/>
  <c r="Z85" i="77" s="1"/>
  <c r="N85" i="77"/>
  <c r="L85" i="77"/>
  <c r="B85" i="77"/>
  <c r="T84" i="77"/>
  <c r="P84" i="77"/>
  <c r="H84" i="77"/>
  <c r="D84" i="77"/>
  <c r="L84" i="77" s="1"/>
  <c r="B84" i="77"/>
  <c r="Z83" i="77"/>
  <c r="X83" i="77"/>
  <c r="N83" i="77"/>
  <c r="L83" i="77"/>
  <c r="B83" i="77"/>
  <c r="T82" i="77"/>
  <c r="Z82" i="77" s="1"/>
  <c r="P82" i="77"/>
  <c r="X82" i="77" s="1"/>
  <c r="N82" i="77"/>
  <c r="L82" i="77"/>
  <c r="H82" i="77"/>
  <c r="D82" i="77"/>
  <c r="B82" i="77"/>
  <c r="Z81" i="77"/>
  <c r="X81" i="77"/>
  <c r="L81" i="77"/>
  <c r="N81" i="77" s="1"/>
  <c r="B81" i="77"/>
  <c r="X80" i="77"/>
  <c r="Z80" i="77" s="1"/>
  <c r="T80" i="77"/>
  <c r="P80" i="77"/>
  <c r="L80" i="77"/>
  <c r="H80" i="77"/>
  <c r="D80" i="77"/>
  <c r="B80" i="77"/>
  <c r="Z79" i="77"/>
  <c r="X79" i="77"/>
  <c r="N79" i="77"/>
  <c r="L79" i="77"/>
  <c r="B79" i="77"/>
  <c r="T78" i="77"/>
  <c r="P78" i="77"/>
  <c r="H78" i="77"/>
  <c r="D78" i="77"/>
  <c r="L78" i="77" s="1"/>
  <c r="B78" i="77"/>
  <c r="X77" i="77"/>
  <c r="Z77" i="77" s="1"/>
  <c r="N77" i="77"/>
  <c r="L77" i="77"/>
  <c r="B77" i="77"/>
  <c r="T76" i="77"/>
  <c r="P76" i="77"/>
  <c r="H76" i="77"/>
  <c r="N76" i="77" s="1"/>
  <c r="D76" i="77"/>
  <c r="L76" i="77" s="1"/>
  <c r="B76" i="77"/>
  <c r="Z75" i="77"/>
  <c r="X75" i="77"/>
  <c r="N75" i="77"/>
  <c r="L75" i="77"/>
  <c r="B75" i="77"/>
  <c r="T74" i="77"/>
  <c r="Z74" i="77" s="1"/>
  <c r="P74" i="77"/>
  <c r="X74" i="77" s="1"/>
  <c r="N74" i="77"/>
  <c r="L74" i="77"/>
  <c r="H74" i="77"/>
  <c r="D74" i="77"/>
  <c r="B74" i="77"/>
  <c r="Z73" i="77"/>
  <c r="X73" i="77"/>
  <c r="L73" i="77"/>
  <c r="N73" i="77" s="1"/>
  <c r="B73" i="77"/>
  <c r="X72" i="77"/>
  <c r="Z72" i="77" s="1"/>
  <c r="T72" i="77"/>
  <c r="P72" i="77"/>
  <c r="H72" i="77"/>
  <c r="D72" i="77"/>
  <c r="B72" i="77"/>
  <c r="Z71" i="77"/>
  <c r="X71" i="77"/>
  <c r="N71" i="77"/>
  <c r="L71" i="77"/>
  <c r="B71" i="77"/>
  <c r="X70" i="77"/>
  <c r="T70" i="77"/>
  <c r="P70" i="77"/>
  <c r="N70" i="77"/>
  <c r="H70" i="77"/>
  <c r="D70" i="77"/>
  <c r="L70" i="77" s="1"/>
  <c r="B70" i="77"/>
  <c r="X69" i="77"/>
  <c r="Z69" i="77" s="1"/>
  <c r="N69" i="77"/>
  <c r="L69" i="77"/>
  <c r="B69" i="77"/>
  <c r="T68" i="77"/>
  <c r="Z68" i="77" s="1"/>
  <c r="P68" i="77"/>
  <c r="X68" i="77" s="1"/>
  <c r="H68" i="77"/>
  <c r="N68" i="77" s="1"/>
  <c r="D68" i="77"/>
  <c r="L68" i="77" s="1"/>
  <c r="B68" i="77"/>
  <c r="Z67" i="77"/>
  <c r="X67" i="77"/>
  <c r="N67" i="77"/>
  <c r="L67" i="77"/>
  <c r="B67" i="77"/>
  <c r="Z66" i="77"/>
  <c r="X66" i="77"/>
  <c r="L66" i="77"/>
  <c r="N66" i="77" s="1"/>
  <c r="B66" i="77"/>
  <c r="X65" i="77"/>
  <c r="Z65" i="77" s="1"/>
  <c r="N65" i="77"/>
  <c r="L65" i="77"/>
  <c r="B65" i="77"/>
  <c r="Z64" i="77"/>
  <c r="X64" i="77"/>
  <c r="L64" i="77"/>
  <c r="N64" i="77" s="1"/>
  <c r="B64" i="77"/>
  <c r="Z63" i="77"/>
  <c r="X63" i="77"/>
  <c r="N63" i="77"/>
  <c r="L63" i="77"/>
  <c r="B63" i="77"/>
  <c r="X62" i="77"/>
  <c r="Z62" i="77" s="1"/>
  <c r="N62" i="77"/>
  <c r="L62" i="77"/>
  <c r="B62" i="77"/>
  <c r="Z61" i="77"/>
  <c r="T61" i="77"/>
  <c r="P61" i="77"/>
  <c r="X61" i="77" s="1"/>
  <c r="H61" i="77"/>
  <c r="D61" i="77"/>
  <c r="L61" i="77" s="1"/>
  <c r="N61" i="77" s="1"/>
  <c r="B61" i="77"/>
  <c r="Z60" i="77"/>
  <c r="X60" i="77"/>
  <c r="L60" i="77"/>
  <c r="N60" i="77" s="1"/>
  <c r="B60" i="77"/>
  <c r="Z59" i="77"/>
  <c r="X59" i="77"/>
  <c r="N59" i="77"/>
  <c r="L59" i="77"/>
  <c r="B59" i="77"/>
  <c r="X58" i="77"/>
  <c r="Z58" i="77" s="1"/>
  <c r="N58" i="77"/>
  <c r="L58" i="77"/>
  <c r="B58" i="77"/>
  <c r="Z57" i="77"/>
  <c r="X57" i="77"/>
  <c r="L57" i="77"/>
  <c r="N57" i="77" s="1"/>
  <c r="B57" i="77"/>
  <c r="X56" i="77"/>
  <c r="Z56" i="77" s="1"/>
  <c r="N56" i="77"/>
  <c r="L56" i="77"/>
  <c r="B56" i="77"/>
  <c r="Z55" i="77"/>
  <c r="X55" i="77"/>
  <c r="N55" i="77"/>
  <c r="L55" i="77"/>
  <c r="B55" i="77"/>
  <c r="Z54" i="77"/>
  <c r="X54" i="77"/>
  <c r="L54" i="77"/>
  <c r="N54" i="77" s="1"/>
  <c r="B54" i="77"/>
  <c r="X53" i="77"/>
  <c r="Z53" i="77" s="1"/>
  <c r="N53" i="77"/>
  <c r="L53" i="77"/>
  <c r="B53" i="77"/>
  <c r="T52" i="77"/>
  <c r="P52" i="77"/>
  <c r="H52" i="77"/>
  <c r="D52" i="77"/>
  <c r="L52" i="77" s="1"/>
  <c r="B52" i="77"/>
  <c r="T51" i="77" a="1"/>
  <c r="T51" i="77" s="1"/>
  <c r="P51" i="77" a="1"/>
  <c r="P51" i="77" s="1"/>
  <c r="N51" i="77"/>
  <c r="H51" i="77" a="1"/>
  <c r="H51" i="77" s="1"/>
  <c r="D51" i="77" a="1"/>
  <c r="D51" i="77" s="1"/>
  <c r="L51" i="77" s="1"/>
  <c r="Z47" i="77"/>
  <c r="X47" i="77"/>
  <c r="N47" i="77"/>
  <c r="L47" i="77"/>
  <c r="B47" i="77"/>
  <c r="X46" i="77"/>
  <c r="Z46" i="77" s="1"/>
  <c r="N46" i="77"/>
  <c r="L46" i="77"/>
  <c r="B46" i="77"/>
  <c r="Z45" i="77"/>
  <c r="X45" i="77"/>
  <c r="L45" i="77"/>
  <c r="N45" i="77" s="1"/>
  <c r="B45" i="77"/>
  <c r="X44" i="77"/>
  <c r="Z44" i="77" s="1"/>
  <c r="N44" i="77"/>
  <c r="L44" i="77"/>
  <c r="B44" i="77"/>
  <c r="Z43" i="77"/>
  <c r="X43" i="77"/>
  <c r="N43" i="77"/>
  <c r="L43" i="77"/>
  <c r="B43" i="77"/>
  <c r="Z42" i="77"/>
  <c r="X42" i="77"/>
  <c r="N42" i="77"/>
  <c r="L42" i="77"/>
  <c r="B42" i="77"/>
  <c r="Z41" i="77"/>
  <c r="X41" i="77"/>
  <c r="N41" i="77"/>
  <c r="L41" i="77"/>
  <c r="B41" i="77"/>
  <c r="Z40" i="77"/>
  <c r="X40" i="77"/>
  <c r="L40" i="77"/>
  <c r="N40" i="77" s="1"/>
  <c r="B40" i="77"/>
  <c r="Z39" i="77"/>
  <c r="X39" i="77"/>
  <c r="N39" i="77"/>
  <c r="L39" i="77"/>
  <c r="B39" i="77"/>
  <c r="X38" i="77"/>
  <c r="T38" i="77"/>
  <c r="P38" i="77"/>
  <c r="H38" i="77"/>
  <c r="D38" i="77"/>
  <c r="T36" i="77"/>
  <c r="Z36" i="77" s="1"/>
  <c r="P36" i="77"/>
  <c r="X36" i="77" s="1"/>
  <c r="L36" i="77"/>
  <c r="H36" i="77"/>
  <c r="N36" i="77" s="1"/>
  <c r="D36" i="77"/>
  <c r="B36" i="77"/>
  <c r="X35" i="77"/>
  <c r="T35" i="77"/>
  <c r="P35" i="77"/>
  <c r="N35" i="77"/>
  <c r="H35" i="77"/>
  <c r="D35" i="77"/>
  <c r="B35" i="77"/>
  <c r="Z34" i="77"/>
  <c r="T34" i="77"/>
  <c r="P34" i="77"/>
  <c r="X34" i="77" s="1"/>
  <c r="L34" i="77"/>
  <c r="H34" i="77"/>
  <c r="N34" i="77" s="1"/>
  <c r="D34" i="77"/>
  <c r="B34" i="77"/>
  <c r="T33" i="77"/>
  <c r="P33" i="77"/>
  <c r="X33" i="77" s="1"/>
  <c r="N33" i="77"/>
  <c r="H33" i="77"/>
  <c r="D33" i="77"/>
  <c r="L33" i="77" s="1"/>
  <c r="B33" i="77"/>
  <c r="X32" i="77"/>
  <c r="T32" i="77"/>
  <c r="P32" i="77"/>
  <c r="H32" i="77"/>
  <c r="D32" i="77"/>
  <c r="L32" i="77" s="1"/>
  <c r="B32" i="77"/>
  <c r="T31" i="77"/>
  <c r="P31" i="77"/>
  <c r="L31" i="77"/>
  <c r="H31" i="77"/>
  <c r="D31" i="77"/>
  <c r="B31" i="77"/>
  <c r="X30" i="77"/>
  <c r="T30" i="77"/>
  <c r="Z30" i="77" s="1"/>
  <c r="P30" i="77"/>
  <c r="N30" i="77"/>
  <c r="H30" i="77"/>
  <c r="D30" i="77"/>
  <c r="L30" i="77" s="1"/>
  <c r="B30" i="77"/>
  <c r="Z29" i="77"/>
  <c r="T29" i="77"/>
  <c r="P29" i="77"/>
  <c r="X29" i="77" s="1"/>
  <c r="H29" i="77"/>
  <c r="D29" i="77"/>
  <c r="B29" i="77"/>
  <c r="T28" i="77"/>
  <c r="Z28" i="77" s="1"/>
  <c r="P28" i="77"/>
  <c r="X28" i="77" s="1"/>
  <c r="L28" i="77"/>
  <c r="H28" i="77"/>
  <c r="N28" i="77" s="1"/>
  <c r="D28" i="77"/>
  <c r="B28" i="77"/>
  <c r="X27" i="77"/>
  <c r="T27" i="77"/>
  <c r="P27" i="77"/>
  <c r="H27" i="77"/>
  <c r="N27" i="77" s="1"/>
  <c r="D27" i="77"/>
  <c r="B27" i="77"/>
  <c r="Z26" i="77"/>
  <c r="T26" i="77"/>
  <c r="P26" i="77"/>
  <c r="X26" i="77" s="1"/>
  <c r="L26" i="77"/>
  <c r="H26" i="77"/>
  <c r="N26" i="77" s="1"/>
  <c r="D26" i="77"/>
  <c r="B26" i="77"/>
  <c r="T25" i="77"/>
  <c r="P25" i="77"/>
  <c r="X25" i="77" s="1"/>
  <c r="N25" i="77"/>
  <c r="H25" i="77"/>
  <c r="D25" i="77"/>
  <c r="L25" i="77" s="1"/>
  <c r="B25" i="77"/>
  <c r="X24" i="77"/>
  <c r="T24" i="77"/>
  <c r="P24" i="77"/>
  <c r="H24" i="77"/>
  <c r="D24" i="77"/>
  <c r="B24" i="77"/>
  <c r="T23" i="77"/>
  <c r="Z23" i="77" s="1"/>
  <c r="P23" i="77"/>
  <c r="X23" i="77" s="1"/>
  <c r="L23" i="77"/>
  <c r="H23" i="77"/>
  <c r="N23" i="77" s="1"/>
  <c r="D23" i="77"/>
  <c r="B23" i="77"/>
  <c r="X22" i="77"/>
  <c r="T22" i="77"/>
  <c r="P22" i="77"/>
  <c r="N22" i="77"/>
  <c r="H22" i="77"/>
  <c r="D22" i="77"/>
  <c r="L22" i="77" s="1"/>
  <c r="B22" i="77"/>
  <c r="Z21" i="77"/>
  <c r="T21" i="77"/>
  <c r="P21" i="77"/>
  <c r="X21" i="77" s="1"/>
  <c r="H21" i="77"/>
  <c r="D21" i="77"/>
  <c r="L21" i="77" s="1"/>
  <c r="B21" i="77"/>
  <c r="T20" i="77"/>
  <c r="P20" i="77"/>
  <c r="X20" i="77" s="1"/>
  <c r="L20" i="77"/>
  <c r="H20" i="77"/>
  <c r="D20" i="77"/>
  <c r="B20" i="77"/>
  <c r="X19" i="77"/>
  <c r="T19" i="77"/>
  <c r="P19" i="77"/>
  <c r="N19" i="77"/>
  <c r="H19" i="77"/>
  <c r="L19" i="77" s="1"/>
  <c r="D19" i="77"/>
  <c r="B19" i="77"/>
  <c r="Z18" i="77"/>
  <c r="T18" i="77"/>
  <c r="P18" i="77"/>
  <c r="X18" i="77" s="1"/>
  <c r="L18" i="77"/>
  <c r="N18" i="77" s="1"/>
  <c r="H18" i="77"/>
  <c r="D18" i="77"/>
  <c r="B18" i="77"/>
  <c r="T17" i="77"/>
  <c r="P17" i="77"/>
  <c r="X17" i="77" s="1"/>
  <c r="N17" i="77"/>
  <c r="H17" i="77"/>
  <c r="D17" i="77"/>
  <c r="L17" i="77" s="1"/>
  <c r="B17" i="77"/>
  <c r="X16" i="77"/>
  <c r="T16" i="77"/>
  <c r="P16" i="77"/>
  <c r="H16" i="77"/>
  <c r="N16" i="77" s="1"/>
  <c r="D16" i="77"/>
  <c r="L16" i="77" s="1"/>
  <c r="B16" i="77"/>
  <c r="T15" i="77"/>
  <c r="P15" i="77"/>
  <c r="L15" i="77"/>
  <c r="H15" i="77"/>
  <c r="D15" i="77"/>
  <c r="B15" i="77"/>
  <c r="X14" i="77"/>
  <c r="Z14" i="77" s="1"/>
  <c r="T14" i="77"/>
  <c r="P14" i="77"/>
  <c r="N14" i="77"/>
  <c r="H14" i="77"/>
  <c r="D14" i="77"/>
  <c r="L14" i="77" s="1"/>
  <c r="B14" i="77"/>
  <c r="T13" i="77"/>
  <c r="P13" i="77"/>
  <c r="H13" i="77"/>
  <c r="D13" i="77"/>
  <c r="B13" i="77"/>
  <c r="D12" i="77"/>
  <c r="F99" i="77" s="1"/>
  <c r="D6" i="77"/>
  <c r="D4" i="77"/>
  <c r="Z81" i="76"/>
  <c r="X81" i="76"/>
  <c r="N81" i="76"/>
  <c r="L81" i="76"/>
  <c r="Z77" i="76"/>
  <c r="X77" i="76"/>
  <c r="T77" i="76"/>
  <c r="P77" i="76"/>
  <c r="L77" i="76"/>
  <c r="H77" i="76"/>
  <c r="N77" i="76" s="1"/>
  <c r="D77" i="76"/>
  <c r="Z75" i="76"/>
  <c r="X75" i="76"/>
  <c r="L75" i="76"/>
  <c r="N75" i="76" s="1"/>
  <c r="B75" i="76"/>
  <c r="T74" i="76"/>
  <c r="Z74" i="76" s="1"/>
  <c r="P74" i="76"/>
  <c r="X74" i="76" s="1"/>
  <c r="L74" i="76"/>
  <c r="H74" i="76"/>
  <c r="N74" i="76" s="1"/>
  <c r="D74" i="76"/>
  <c r="B74" i="76"/>
  <c r="Z73" i="76"/>
  <c r="X73" i="76"/>
  <c r="N73" i="76"/>
  <c r="L73" i="76"/>
  <c r="B73" i="76"/>
  <c r="X72" i="76"/>
  <c r="T72" i="76"/>
  <c r="Z72" i="76" s="1"/>
  <c r="P72" i="76"/>
  <c r="N72" i="76"/>
  <c r="H72" i="76"/>
  <c r="L72" i="76" s="1"/>
  <c r="D72" i="76"/>
  <c r="B72" i="76"/>
  <c r="Z71" i="76"/>
  <c r="X71" i="76"/>
  <c r="N71" i="76"/>
  <c r="L71" i="76"/>
  <c r="B71" i="76"/>
  <c r="T70" i="76"/>
  <c r="P70" i="76"/>
  <c r="H70" i="76"/>
  <c r="D70" i="76"/>
  <c r="L70" i="76" s="1"/>
  <c r="N70" i="76" s="1"/>
  <c r="B70" i="76"/>
  <c r="Z69" i="76"/>
  <c r="X69" i="76"/>
  <c r="N69" i="76"/>
  <c r="L69" i="76"/>
  <c r="B69" i="76"/>
  <c r="Z68" i="76"/>
  <c r="X68" i="76"/>
  <c r="N68" i="76"/>
  <c r="L68" i="76"/>
  <c r="B68" i="76"/>
  <c r="Z67" i="76"/>
  <c r="X67" i="76"/>
  <c r="N67" i="76"/>
  <c r="L67" i="76"/>
  <c r="B67" i="76"/>
  <c r="Z66" i="76"/>
  <c r="X66" i="76"/>
  <c r="N66" i="76"/>
  <c r="L66" i="76"/>
  <c r="B66" i="76"/>
  <c r="Z65" i="76"/>
  <c r="X65" i="76"/>
  <c r="N65" i="76"/>
  <c r="L65" i="76"/>
  <c r="B65" i="76"/>
  <c r="X64" i="76"/>
  <c r="Z64" i="76" s="1"/>
  <c r="N64" i="76"/>
  <c r="L64" i="76"/>
  <c r="B64" i="76"/>
  <c r="T63" i="76"/>
  <c r="P63" i="76"/>
  <c r="X63" i="76" s="1"/>
  <c r="Z63" i="76" s="1"/>
  <c r="N63" i="76"/>
  <c r="H63" i="76"/>
  <c r="D63" i="76"/>
  <c r="L63" i="76" s="1"/>
  <c r="B63" i="76"/>
  <c r="Z62" i="76"/>
  <c r="X62" i="76"/>
  <c r="N62" i="76"/>
  <c r="L62" i="76"/>
  <c r="B62" i="76"/>
  <c r="Z61" i="76"/>
  <c r="X61" i="76"/>
  <c r="N61" i="76"/>
  <c r="L61" i="76"/>
  <c r="B61" i="76"/>
  <c r="X60" i="76"/>
  <c r="Z60" i="76" s="1"/>
  <c r="N60" i="76"/>
  <c r="L60" i="76"/>
  <c r="B60" i="76"/>
  <c r="X59" i="76"/>
  <c r="Z59" i="76" s="1"/>
  <c r="N59" i="76"/>
  <c r="L59" i="76"/>
  <c r="B59" i="76"/>
  <c r="Z58" i="76"/>
  <c r="T58" i="76"/>
  <c r="P58" i="76"/>
  <c r="X58" i="76" s="1"/>
  <c r="L58" i="76"/>
  <c r="N58" i="76" s="1"/>
  <c r="H58" i="76"/>
  <c r="D58" i="76"/>
  <c r="B58" i="76"/>
  <c r="Z57" i="76"/>
  <c r="X57" i="76"/>
  <c r="L57" i="76"/>
  <c r="N57" i="76" s="1"/>
  <c r="B57" i="76"/>
  <c r="X56" i="76"/>
  <c r="Z56" i="76" s="1"/>
  <c r="N56" i="76"/>
  <c r="L56" i="76"/>
  <c r="B56" i="76"/>
  <c r="X55" i="76"/>
  <c r="T55" i="76"/>
  <c r="P55" i="76"/>
  <c r="H55" i="76"/>
  <c r="D55" i="76"/>
  <c r="L55" i="76" s="1"/>
  <c r="N55" i="76" s="1"/>
  <c r="B55" i="76"/>
  <c r="Z54" i="76"/>
  <c r="X54" i="76"/>
  <c r="N54" i="76"/>
  <c r="L54" i="76"/>
  <c r="B54" i="76"/>
  <c r="Z53" i="76"/>
  <c r="T53" i="76"/>
  <c r="P53" i="76"/>
  <c r="X53" i="76" s="1"/>
  <c r="H53" i="76"/>
  <c r="D53" i="76"/>
  <c r="L53" i="76" s="1"/>
  <c r="N53" i="76" s="1"/>
  <c r="B53" i="76"/>
  <c r="X52" i="76"/>
  <c r="Z52" i="76" s="1"/>
  <c r="L52" i="76"/>
  <c r="N52" i="76" s="1"/>
  <c r="B52" i="76"/>
  <c r="T51" i="76"/>
  <c r="P51" i="76"/>
  <c r="X51" i="76" s="1"/>
  <c r="Z51" i="76" s="1"/>
  <c r="L51" i="76"/>
  <c r="H51" i="76"/>
  <c r="D51" i="76"/>
  <c r="B51" i="76"/>
  <c r="Z50" i="76"/>
  <c r="X50" i="76"/>
  <c r="N50" i="76"/>
  <c r="L50" i="76"/>
  <c r="B50" i="76"/>
  <c r="T49" i="76"/>
  <c r="X49" i="76" s="1"/>
  <c r="P49" i="76"/>
  <c r="N49" i="76"/>
  <c r="H49" i="76"/>
  <c r="D49" i="76"/>
  <c r="L49" i="76" s="1"/>
  <c r="B49" i="76"/>
  <c r="X48" i="76"/>
  <c r="Z48" i="76" s="1"/>
  <c r="N48" i="76"/>
  <c r="L48" i="76"/>
  <c r="B48" i="76"/>
  <c r="T47" i="76"/>
  <c r="P47" i="76"/>
  <c r="X47" i="76" s="1"/>
  <c r="Z47" i="76" s="1"/>
  <c r="H47" i="76"/>
  <c r="N47" i="76" s="1"/>
  <c r="D47" i="76"/>
  <c r="L47" i="76" s="1"/>
  <c r="B47" i="76"/>
  <c r="Z46" i="76"/>
  <c r="X46" i="76"/>
  <c r="N46" i="76"/>
  <c r="L46" i="76"/>
  <c r="B46" i="76"/>
  <c r="T45" i="76"/>
  <c r="Z45" i="76" s="1"/>
  <c r="P45" i="76"/>
  <c r="H45" i="76"/>
  <c r="N45" i="76" s="1"/>
  <c r="D45" i="76"/>
  <c r="B45" i="76"/>
  <c r="Z44" i="76"/>
  <c r="X44" i="76"/>
  <c r="N44" i="76"/>
  <c r="L44" i="76"/>
  <c r="B44" i="76"/>
  <c r="Z43" i="76"/>
  <c r="X43" i="76"/>
  <c r="L43" i="76"/>
  <c r="N43" i="76" s="1"/>
  <c r="B43" i="76"/>
  <c r="T42" i="76"/>
  <c r="Z42" i="76" s="1"/>
  <c r="P42" i="76"/>
  <c r="X42" i="76" s="1"/>
  <c r="N42" i="76"/>
  <c r="L42" i="76"/>
  <c r="H42" i="76"/>
  <c r="D42" i="76"/>
  <c r="B42" i="76"/>
  <c r="Z41" i="76"/>
  <c r="X41" i="76"/>
  <c r="N41" i="76"/>
  <c r="L41" i="76"/>
  <c r="B41" i="76"/>
  <c r="Z40" i="76"/>
  <c r="X40" i="76"/>
  <c r="T40" i="76"/>
  <c r="P40" i="76"/>
  <c r="L40" i="76"/>
  <c r="H40" i="76"/>
  <c r="N40" i="76" s="1"/>
  <c r="D40" i="76"/>
  <c r="B40" i="76"/>
  <c r="Z39" i="76"/>
  <c r="X39" i="76"/>
  <c r="V39" i="76"/>
  <c r="N39" i="76"/>
  <c r="L39" i="76"/>
  <c r="B39" i="76"/>
  <c r="X38" i="76"/>
  <c r="T38" i="76"/>
  <c r="Z38" i="76" s="1"/>
  <c r="P38" i="76"/>
  <c r="N38" i="76"/>
  <c r="H38" i="76"/>
  <c r="D38" i="76"/>
  <c r="B38" i="76"/>
  <c r="Z37" i="76"/>
  <c r="X37" i="76"/>
  <c r="N37" i="76"/>
  <c r="L37" i="76"/>
  <c r="B37" i="76"/>
  <c r="Z36" i="76"/>
  <c r="T36" i="76"/>
  <c r="P36" i="76"/>
  <c r="X36" i="76" s="1"/>
  <c r="H36" i="76"/>
  <c r="N36" i="76" s="1"/>
  <c r="D36" i="76"/>
  <c r="L36" i="76" s="1"/>
  <c r="B36" i="76"/>
  <c r="Z35" i="76"/>
  <c r="X35" i="76"/>
  <c r="N35" i="76"/>
  <c r="L35" i="76"/>
  <c r="B35" i="76"/>
  <c r="Z34" i="76"/>
  <c r="X34" i="76"/>
  <c r="V34" i="76"/>
  <c r="N34" i="76"/>
  <c r="L34" i="76"/>
  <c r="B34" i="76"/>
  <c r="X33" i="76"/>
  <c r="Z33" i="76" s="1"/>
  <c r="N33" i="76"/>
  <c r="L33" i="76"/>
  <c r="B33" i="76"/>
  <c r="T32" i="76"/>
  <c r="P32" i="76"/>
  <c r="X32" i="76" s="1"/>
  <c r="Z32" i="76" s="1"/>
  <c r="H32" i="76"/>
  <c r="N32" i="76" s="1"/>
  <c r="D32" i="76"/>
  <c r="L32" i="76" s="1"/>
  <c r="B32" i="76"/>
  <c r="Z31" i="76"/>
  <c r="X31" i="76"/>
  <c r="N31" i="76"/>
  <c r="L31" i="76"/>
  <c r="B31" i="76"/>
  <c r="X30" i="76"/>
  <c r="Z30" i="76" s="1"/>
  <c r="V30" i="76"/>
  <c r="N30" i="76"/>
  <c r="L30" i="76"/>
  <c r="B30" i="76"/>
  <c r="X29" i="76"/>
  <c r="Z29" i="76" s="1"/>
  <c r="N29" i="76"/>
  <c r="L29" i="76"/>
  <c r="B29" i="76"/>
  <c r="Z28" i="76"/>
  <c r="X28" i="76"/>
  <c r="N28" i="76"/>
  <c r="L28" i="76"/>
  <c r="B28" i="76"/>
  <c r="Z27" i="76"/>
  <c r="X27" i="76"/>
  <c r="V27" i="76"/>
  <c r="N27" i="76"/>
  <c r="L27" i="76"/>
  <c r="B27" i="76"/>
  <c r="X26" i="76"/>
  <c r="Z26" i="76" s="1"/>
  <c r="N26" i="76"/>
  <c r="L26" i="76"/>
  <c r="B26" i="76"/>
  <c r="Z25" i="76"/>
  <c r="X25" i="76"/>
  <c r="N25" i="76"/>
  <c r="L25" i="76"/>
  <c r="B25" i="76"/>
  <c r="Z24" i="76"/>
  <c r="X24" i="76"/>
  <c r="N24" i="76"/>
  <c r="L24" i="76"/>
  <c r="B24" i="76"/>
  <c r="T23" i="76"/>
  <c r="P23" i="76"/>
  <c r="N23" i="76"/>
  <c r="H23" i="76"/>
  <c r="D23" i="76"/>
  <c r="L23" i="76" s="1"/>
  <c r="B23" i="76"/>
  <c r="X22" i="76"/>
  <c r="T22" i="76" a="1"/>
  <c r="T22" i="76" s="1"/>
  <c r="P22" i="76" a="1"/>
  <c r="P22" i="76" s="1"/>
  <c r="H22" i="76" a="1"/>
  <c r="H22" i="76" s="1"/>
  <c r="D22" i="76" a="1"/>
  <c r="D22" i="76" s="1"/>
  <c r="L22" i="76" s="1"/>
  <c r="X18" i="76"/>
  <c r="Z18" i="76" s="1"/>
  <c r="V18" i="76"/>
  <c r="N18" i="76"/>
  <c r="L18" i="76"/>
  <c r="B18" i="76"/>
  <c r="X17" i="76"/>
  <c r="Z17" i="76" s="1"/>
  <c r="N17" i="76"/>
  <c r="L17" i="76"/>
  <c r="B17" i="76"/>
  <c r="T16" i="76"/>
  <c r="P16" i="76"/>
  <c r="N16" i="76"/>
  <c r="H16" i="76"/>
  <c r="D16" i="76"/>
  <c r="L16" i="76" s="1"/>
  <c r="Z14" i="76"/>
  <c r="X14" i="76"/>
  <c r="T14" i="76"/>
  <c r="P14" i="76"/>
  <c r="N14" i="76"/>
  <c r="H14" i="76"/>
  <c r="D14" i="76"/>
  <c r="L14" i="76" s="1"/>
  <c r="B14" i="76"/>
  <c r="Z13" i="76"/>
  <c r="T13" i="76"/>
  <c r="P13" i="76"/>
  <c r="H13" i="76"/>
  <c r="D13" i="76"/>
  <c r="D12" i="76" s="1"/>
  <c r="F56" i="76" s="1"/>
  <c r="B13" i="76"/>
  <c r="T12" i="76"/>
  <c r="V49" i="76" s="1"/>
  <c r="D6" i="76"/>
  <c r="D4" i="76"/>
  <c r="Z31" i="75"/>
  <c r="X31" i="75"/>
  <c r="N31" i="75"/>
  <c r="L31" i="75"/>
  <c r="Z27" i="75"/>
  <c r="X27" i="75"/>
  <c r="T27" i="75"/>
  <c r="P27" i="75"/>
  <c r="L27" i="75"/>
  <c r="H27" i="75"/>
  <c r="N27" i="75" s="1"/>
  <c r="D27" i="75"/>
  <c r="Z25" i="75"/>
  <c r="T25" i="75"/>
  <c r="P25" i="75"/>
  <c r="H25" i="75"/>
  <c r="N25" i="75" s="1"/>
  <c r="D25" i="75"/>
  <c r="L25" i="75" s="1"/>
  <c r="Z21" i="75"/>
  <c r="X21" i="75"/>
  <c r="N21" i="75"/>
  <c r="L21" i="75"/>
  <c r="B21" i="75"/>
  <c r="Z20" i="75"/>
  <c r="X20" i="75"/>
  <c r="N20" i="75"/>
  <c r="L20" i="75"/>
  <c r="B20" i="75"/>
  <c r="Z19" i="75"/>
  <c r="X19" i="75"/>
  <c r="N19" i="75"/>
  <c r="L19" i="75"/>
  <c r="B19" i="75"/>
  <c r="Z18" i="75"/>
  <c r="T18" i="75"/>
  <c r="P18" i="75"/>
  <c r="X18" i="75" s="1"/>
  <c r="H18" i="75"/>
  <c r="D18" i="75"/>
  <c r="L18" i="75" s="1"/>
  <c r="X16" i="75"/>
  <c r="Z16" i="75" s="1"/>
  <c r="T16" i="75"/>
  <c r="P16" i="75"/>
  <c r="N16" i="75"/>
  <c r="L16" i="75"/>
  <c r="H16" i="75"/>
  <c r="D16" i="75"/>
  <c r="B16" i="75"/>
  <c r="T15" i="75"/>
  <c r="P15" i="75"/>
  <c r="X15" i="75" s="1"/>
  <c r="Z15" i="75" s="1"/>
  <c r="N15" i="75"/>
  <c r="L15" i="75"/>
  <c r="H15" i="75"/>
  <c r="D15" i="75"/>
  <c r="B15" i="75"/>
  <c r="T14" i="75"/>
  <c r="P14" i="75"/>
  <c r="H14" i="75"/>
  <c r="D14" i="75"/>
  <c r="L14" i="75" s="1"/>
  <c r="N14" i="75" s="1"/>
  <c r="B14" i="75"/>
  <c r="X13" i="75"/>
  <c r="T13" i="75"/>
  <c r="P13" i="75"/>
  <c r="H13" i="75"/>
  <c r="D13" i="75"/>
  <c r="B13" i="75"/>
  <c r="D6" i="75"/>
  <c r="D4" i="75"/>
  <c r="V48" i="74"/>
  <c r="F48" i="74"/>
  <c r="Z46" i="74"/>
  <c r="X46" i="74"/>
  <c r="R46" i="74"/>
  <c r="N46" i="74"/>
  <c r="L46" i="74"/>
  <c r="J46" i="74"/>
  <c r="F46" i="74"/>
  <c r="V42" i="74"/>
  <c r="T42" i="74"/>
  <c r="Z42" i="74" s="1"/>
  <c r="P42" i="74"/>
  <c r="X42" i="74" s="1"/>
  <c r="N42" i="74"/>
  <c r="L42" i="74"/>
  <c r="H42" i="74"/>
  <c r="F42" i="74"/>
  <c r="D42" i="74"/>
  <c r="Z40" i="74"/>
  <c r="X40" i="74"/>
  <c r="R40" i="74"/>
  <c r="L40" i="74"/>
  <c r="N40" i="74" s="1"/>
  <c r="J40" i="74"/>
  <c r="F40" i="74"/>
  <c r="B40" i="74"/>
  <c r="V39" i="74"/>
  <c r="T39" i="74"/>
  <c r="Z39" i="74" s="1"/>
  <c r="P39" i="74"/>
  <c r="X39" i="74" s="1"/>
  <c r="N39" i="74"/>
  <c r="L39" i="74"/>
  <c r="H39" i="74"/>
  <c r="F39" i="74"/>
  <c r="D39" i="74"/>
  <c r="B39" i="74"/>
  <c r="Z38" i="74"/>
  <c r="X38" i="74"/>
  <c r="N38" i="74"/>
  <c r="L38" i="74"/>
  <c r="B38" i="74"/>
  <c r="Z37" i="74"/>
  <c r="X37" i="74"/>
  <c r="T37" i="74"/>
  <c r="R37" i="74"/>
  <c r="P37" i="74"/>
  <c r="L37" i="74"/>
  <c r="J37" i="74"/>
  <c r="H37" i="74"/>
  <c r="N37" i="74" s="1"/>
  <c r="D37" i="74"/>
  <c r="B37" i="74"/>
  <c r="X36" i="74"/>
  <c r="Z36" i="74" s="1"/>
  <c r="V36" i="74"/>
  <c r="R36" i="74"/>
  <c r="N36" i="74"/>
  <c r="L36" i="74"/>
  <c r="F36" i="74"/>
  <c r="B36" i="74"/>
  <c r="X35" i="74"/>
  <c r="V35" i="74"/>
  <c r="T35" i="74"/>
  <c r="P35" i="74"/>
  <c r="H35" i="74"/>
  <c r="N35" i="74" s="1"/>
  <c r="F35" i="74"/>
  <c r="D35" i="74"/>
  <c r="B35" i="74"/>
  <c r="X34" i="74"/>
  <c r="Z34" i="74" s="1"/>
  <c r="N34" i="74"/>
  <c r="L34" i="74"/>
  <c r="J34" i="74"/>
  <c r="B34" i="74"/>
  <c r="Z33" i="74"/>
  <c r="X33" i="74"/>
  <c r="R33" i="74"/>
  <c r="N33" i="74"/>
  <c r="L33" i="74"/>
  <c r="B33" i="74"/>
  <c r="V32" i="74"/>
  <c r="T32" i="74"/>
  <c r="Z32" i="74" s="1"/>
  <c r="R32" i="74"/>
  <c r="P32" i="74"/>
  <c r="X32" i="74" s="1"/>
  <c r="N32" i="74"/>
  <c r="L32" i="74"/>
  <c r="H32" i="74"/>
  <c r="F32" i="74"/>
  <c r="D32" i="74"/>
  <c r="B32" i="74"/>
  <c r="X31" i="74"/>
  <c r="Z31" i="74" s="1"/>
  <c r="V31" i="74"/>
  <c r="N31" i="74"/>
  <c r="L31" i="74"/>
  <c r="J31" i="74"/>
  <c r="F31" i="74"/>
  <c r="B31" i="74"/>
  <c r="X30" i="74"/>
  <c r="Z30" i="74" s="1"/>
  <c r="T30" i="74"/>
  <c r="R30" i="74"/>
  <c r="P30" i="74"/>
  <c r="H30" i="74"/>
  <c r="D30" i="74"/>
  <c r="B30" i="74"/>
  <c r="Z29" i="74"/>
  <c r="X29" i="74"/>
  <c r="N29" i="74"/>
  <c r="L29" i="74"/>
  <c r="F29" i="74"/>
  <c r="B29" i="74"/>
  <c r="T28" i="74"/>
  <c r="P28" i="74"/>
  <c r="J28" i="74"/>
  <c r="H28" i="74"/>
  <c r="D28" i="74"/>
  <c r="L28" i="74" s="1"/>
  <c r="N28" i="74" s="1"/>
  <c r="B28" i="74"/>
  <c r="X27" i="74"/>
  <c r="Z27" i="74" s="1"/>
  <c r="V27" i="74"/>
  <c r="R27" i="74"/>
  <c r="N27" i="74"/>
  <c r="L27" i="74"/>
  <c r="J27" i="74"/>
  <c r="B27" i="74"/>
  <c r="Z26" i="74"/>
  <c r="T26" i="74"/>
  <c r="P26" i="74"/>
  <c r="X26" i="74" s="1"/>
  <c r="J26" i="74"/>
  <c r="H26" i="74"/>
  <c r="N26" i="74" s="1"/>
  <c r="F26" i="74"/>
  <c r="D26" i="74"/>
  <c r="L26" i="74" s="1"/>
  <c r="B26" i="74"/>
  <c r="Z25" i="74"/>
  <c r="X25" i="74"/>
  <c r="R25" i="74"/>
  <c r="N25" i="74"/>
  <c r="L25" i="74"/>
  <c r="B25" i="74"/>
  <c r="X24" i="74"/>
  <c r="Z24" i="74" s="1"/>
  <c r="V24" i="74"/>
  <c r="R24" i="74"/>
  <c r="N24" i="74"/>
  <c r="L24" i="74"/>
  <c r="F24" i="74"/>
  <c r="B24" i="74"/>
  <c r="X23" i="74"/>
  <c r="Z23" i="74" s="1"/>
  <c r="V23" i="74"/>
  <c r="R23" i="74"/>
  <c r="N23" i="74"/>
  <c r="L23" i="74"/>
  <c r="J23" i="74"/>
  <c r="B23" i="74"/>
  <c r="Z22" i="74"/>
  <c r="X22" i="74"/>
  <c r="N22" i="74"/>
  <c r="L22" i="74"/>
  <c r="B22" i="74"/>
  <c r="Z21" i="74"/>
  <c r="X21" i="74"/>
  <c r="N21" i="74"/>
  <c r="L21" i="74"/>
  <c r="F21" i="74"/>
  <c r="B21" i="74"/>
  <c r="T20" i="74"/>
  <c r="P20" i="74"/>
  <c r="X20" i="74" s="1"/>
  <c r="N20" i="74"/>
  <c r="J20" i="74"/>
  <c r="H20" i="74"/>
  <c r="D20" i="74"/>
  <c r="L20" i="74" s="1"/>
  <c r="B20" i="74"/>
  <c r="V19" i="74"/>
  <c r="T19" i="74" a="1"/>
  <c r="T19" i="74" s="1"/>
  <c r="P19" i="74" a="1"/>
  <c r="P19" i="74" s="1"/>
  <c r="J19" i="74"/>
  <c r="H19" i="74" a="1"/>
  <c r="H19" i="74" s="1"/>
  <c r="D19" i="74" a="1"/>
  <c r="D19" i="74" s="1"/>
  <c r="D44" i="74" s="1"/>
  <c r="V17" i="74"/>
  <c r="F17" i="74"/>
  <c r="D17" i="74"/>
  <c r="X15" i="74"/>
  <c r="Z15" i="74" s="1"/>
  <c r="V15" i="74"/>
  <c r="N15" i="74"/>
  <c r="L15" i="74"/>
  <c r="J15" i="74"/>
  <c r="F15" i="74"/>
  <c r="B15" i="74"/>
  <c r="X14" i="74"/>
  <c r="T14" i="74"/>
  <c r="R14" i="74"/>
  <c r="P14" i="74"/>
  <c r="H14" i="74"/>
  <c r="N14" i="74" s="1"/>
  <c r="D14" i="74"/>
  <c r="L14" i="74" s="1"/>
  <c r="Z12" i="74"/>
  <c r="X12" i="74"/>
  <c r="T12" i="74"/>
  <c r="V38" i="74" s="1"/>
  <c r="P12" i="74"/>
  <c r="R48" i="74" s="1"/>
  <c r="N12" i="74"/>
  <c r="L12" i="74"/>
  <c r="H12" i="74"/>
  <c r="J51" i="74" s="1"/>
  <c r="D12" i="74"/>
  <c r="F37" i="74" s="1"/>
  <c r="D6" i="74"/>
  <c r="D4" i="74"/>
  <c r="Z79" i="73"/>
  <c r="X79" i="73"/>
  <c r="L79" i="73"/>
  <c r="N79" i="73" s="1"/>
  <c r="T75" i="73"/>
  <c r="Z75" i="73" s="1"/>
  <c r="P75" i="73"/>
  <c r="X75" i="73" s="1"/>
  <c r="L75" i="73"/>
  <c r="H75" i="73"/>
  <c r="N75" i="73" s="1"/>
  <c r="D75" i="73"/>
  <c r="Z73" i="73"/>
  <c r="X73" i="73"/>
  <c r="L73" i="73"/>
  <c r="N73" i="73" s="1"/>
  <c r="B73" i="73"/>
  <c r="T72" i="73"/>
  <c r="P72" i="73"/>
  <c r="X72" i="73" s="1"/>
  <c r="N72" i="73"/>
  <c r="L72" i="73"/>
  <c r="H72" i="73"/>
  <c r="D72" i="73"/>
  <c r="B72" i="73"/>
  <c r="Z71" i="73"/>
  <c r="X71" i="73"/>
  <c r="N71" i="73"/>
  <c r="L71" i="73"/>
  <c r="B71" i="73"/>
  <c r="Z70" i="73"/>
  <c r="X70" i="73"/>
  <c r="T70" i="73"/>
  <c r="P70" i="73"/>
  <c r="L70" i="73"/>
  <c r="H70" i="73"/>
  <c r="N70" i="73" s="1"/>
  <c r="D70" i="73"/>
  <c r="B70" i="73"/>
  <c r="X69" i="73"/>
  <c r="Z69" i="73" s="1"/>
  <c r="N69" i="73"/>
  <c r="L69" i="73"/>
  <c r="B69" i="73"/>
  <c r="X68" i="73"/>
  <c r="T68" i="73"/>
  <c r="P68" i="73"/>
  <c r="H68" i="73"/>
  <c r="N68" i="73" s="1"/>
  <c r="D68" i="73"/>
  <c r="L68" i="73" s="1"/>
  <c r="B68" i="73"/>
  <c r="X67" i="73"/>
  <c r="Z67" i="73" s="1"/>
  <c r="N67" i="73"/>
  <c r="L67" i="73"/>
  <c r="B67" i="73"/>
  <c r="Z66" i="73"/>
  <c r="X66" i="73"/>
  <c r="N66" i="73"/>
  <c r="L66" i="73"/>
  <c r="B66" i="73"/>
  <c r="Z65" i="73"/>
  <c r="X65" i="73"/>
  <c r="N65" i="73"/>
  <c r="L65" i="73"/>
  <c r="B65" i="73"/>
  <c r="X64" i="73"/>
  <c r="Z64" i="73" s="1"/>
  <c r="N64" i="73"/>
  <c r="L64" i="73"/>
  <c r="B64" i="73"/>
  <c r="Z63" i="73"/>
  <c r="X63" i="73"/>
  <c r="N63" i="73"/>
  <c r="L63" i="73"/>
  <c r="B63" i="73"/>
  <c r="Z62" i="73"/>
  <c r="X62" i="73"/>
  <c r="T62" i="73"/>
  <c r="P62" i="73"/>
  <c r="L62" i="73"/>
  <c r="H62" i="73"/>
  <c r="N62" i="73" s="1"/>
  <c r="D62" i="73"/>
  <c r="B62" i="73"/>
  <c r="Z61" i="73"/>
  <c r="X61" i="73"/>
  <c r="N61" i="73"/>
  <c r="L61" i="73"/>
  <c r="B61" i="73"/>
  <c r="X60" i="73"/>
  <c r="Z60" i="73" s="1"/>
  <c r="N60" i="73"/>
  <c r="L60" i="73"/>
  <c r="B60" i="73"/>
  <c r="Z59" i="73"/>
  <c r="X59" i="73"/>
  <c r="N59" i="73"/>
  <c r="L59" i="73"/>
  <c r="B59" i="73"/>
  <c r="Z58" i="73"/>
  <c r="X58" i="73"/>
  <c r="T58" i="73"/>
  <c r="P58" i="73"/>
  <c r="L58" i="73"/>
  <c r="H58" i="73"/>
  <c r="N58" i="73" s="1"/>
  <c r="D58" i="73"/>
  <c r="B58" i="73"/>
  <c r="Z57" i="73"/>
  <c r="X57" i="73"/>
  <c r="N57" i="73"/>
  <c r="L57" i="73"/>
  <c r="B57" i="73"/>
  <c r="X56" i="73"/>
  <c r="T56" i="73"/>
  <c r="Z56" i="73" s="1"/>
  <c r="P56" i="73"/>
  <c r="N56" i="73"/>
  <c r="H56" i="73"/>
  <c r="D56" i="73"/>
  <c r="L56" i="73" s="1"/>
  <c r="B56" i="73"/>
  <c r="X55" i="73"/>
  <c r="Z55" i="73" s="1"/>
  <c r="N55" i="73"/>
  <c r="L55" i="73"/>
  <c r="B55" i="73"/>
  <c r="Z54" i="73"/>
  <c r="X54" i="73"/>
  <c r="N54" i="73"/>
  <c r="L54" i="73"/>
  <c r="B54" i="73"/>
  <c r="T53" i="73"/>
  <c r="P53" i="73"/>
  <c r="N53" i="73"/>
  <c r="L53" i="73"/>
  <c r="H53" i="73"/>
  <c r="D53" i="73"/>
  <c r="B53" i="73"/>
  <c r="X52" i="73"/>
  <c r="Z52" i="73" s="1"/>
  <c r="L52" i="73"/>
  <c r="N52" i="73" s="1"/>
  <c r="B52" i="73"/>
  <c r="T51" i="73"/>
  <c r="P51" i="73"/>
  <c r="X51" i="73" s="1"/>
  <c r="Z51" i="73" s="1"/>
  <c r="H51" i="73"/>
  <c r="D51" i="73"/>
  <c r="B51" i="73"/>
  <c r="Z50" i="73"/>
  <c r="X50" i="73"/>
  <c r="N50" i="73"/>
  <c r="L50" i="73"/>
  <c r="F50" i="73"/>
  <c r="B50" i="73"/>
  <c r="T49" i="73"/>
  <c r="P49" i="73"/>
  <c r="X49" i="73" s="1"/>
  <c r="L49" i="73"/>
  <c r="N49" i="73" s="1"/>
  <c r="H49" i="73"/>
  <c r="D49" i="73"/>
  <c r="B49" i="73"/>
  <c r="X48" i="73"/>
  <c r="Z48" i="73" s="1"/>
  <c r="L48" i="73"/>
  <c r="N48" i="73" s="1"/>
  <c r="B48" i="73"/>
  <c r="T47" i="73"/>
  <c r="P47" i="73"/>
  <c r="X47" i="73" s="1"/>
  <c r="Z47" i="73" s="1"/>
  <c r="H47" i="73"/>
  <c r="D47" i="73"/>
  <c r="B47" i="73"/>
  <c r="Z46" i="73"/>
  <c r="X46" i="73"/>
  <c r="N46" i="73"/>
  <c r="L46" i="73"/>
  <c r="B46" i="73"/>
  <c r="T45" i="73"/>
  <c r="P45" i="73"/>
  <c r="N45" i="73"/>
  <c r="L45" i="73"/>
  <c r="H45" i="73"/>
  <c r="D45" i="73"/>
  <c r="B45" i="73"/>
  <c r="Z44" i="73"/>
  <c r="X44" i="73"/>
  <c r="N44" i="73"/>
  <c r="L44" i="73"/>
  <c r="B44" i="73"/>
  <c r="Z43" i="73"/>
  <c r="T43" i="73"/>
  <c r="P43" i="73"/>
  <c r="X43" i="73" s="1"/>
  <c r="H43" i="73"/>
  <c r="N43" i="73" s="1"/>
  <c r="D43" i="73"/>
  <c r="B43" i="73"/>
  <c r="Z42" i="73"/>
  <c r="X42" i="73"/>
  <c r="N42" i="73"/>
  <c r="L42" i="73"/>
  <c r="F42" i="73"/>
  <c r="B42" i="73"/>
  <c r="Z41" i="73"/>
  <c r="X41" i="73"/>
  <c r="N41" i="73"/>
  <c r="L41" i="73"/>
  <c r="F41" i="73"/>
  <c r="B41" i="73"/>
  <c r="Z40" i="73"/>
  <c r="X40" i="73"/>
  <c r="N40" i="73"/>
  <c r="L40" i="73"/>
  <c r="B40" i="73"/>
  <c r="X39" i="73"/>
  <c r="Z39" i="73" s="1"/>
  <c r="N39" i="73"/>
  <c r="L39" i="73"/>
  <c r="B39" i="73"/>
  <c r="Z38" i="73"/>
  <c r="X38" i="73"/>
  <c r="N38" i="73"/>
  <c r="L38" i="73"/>
  <c r="B38" i="73"/>
  <c r="X37" i="73"/>
  <c r="Z37" i="73" s="1"/>
  <c r="N37" i="73"/>
  <c r="L37" i="73"/>
  <c r="F37" i="73"/>
  <c r="B37" i="73"/>
  <c r="X36" i="73"/>
  <c r="T36" i="73"/>
  <c r="P36" i="73"/>
  <c r="N36" i="73"/>
  <c r="H36" i="73"/>
  <c r="F36" i="73"/>
  <c r="D36" i="73"/>
  <c r="L36" i="73" s="1"/>
  <c r="B36" i="73"/>
  <c r="X35" i="73"/>
  <c r="Z35" i="73" s="1"/>
  <c r="N35" i="73"/>
  <c r="L35" i="73"/>
  <c r="B35" i="73"/>
  <c r="Z34" i="73"/>
  <c r="X34" i="73"/>
  <c r="N34" i="73"/>
  <c r="L34" i="73"/>
  <c r="B34" i="73"/>
  <c r="X33" i="73"/>
  <c r="Z33" i="73" s="1"/>
  <c r="N33" i="73"/>
  <c r="L33" i="73"/>
  <c r="F33" i="73"/>
  <c r="B33" i="73"/>
  <c r="Z32" i="73"/>
  <c r="X32" i="73"/>
  <c r="N32" i="73"/>
  <c r="L32" i="73"/>
  <c r="B32" i="73"/>
  <c r="Z31" i="73"/>
  <c r="X31" i="73"/>
  <c r="N31" i="73"/>
  <c r="L31" i="73"/>
  <c r="B31" i="73"/>
  <c r="Z30" i="73"/>
  <c r="X30" i="73"/>
  <c r="N30" i="73"/>
  <c r="L30" i="73"/>
  <c r="B30" i="73"/>
  <c r="Z29" i="73"/>
  <c r="X29" i="73"/>
  <c r="N29" i="73"/>
  <c r="L29" i="73"/>
  <c r="B29" i="73"/>
  <c r="X28" i="73"/>
  <c r="Z28" i="73" s="1"/>
  <c r="N28" i="73"/>
  <c r="L28" i="73"/>
  <c r="F28" i="73"/>
  <c r="B28" i="73"/>
  <c r="X27" i="73"/>
  <c r="Z27" i="73" s="1"/>
  <c r="N27" i="73"/>
  <c r="L27" i="73"/>
  <c r="B27" i="73"/>
  <c r="T26" i="73"/>
  <c r="P26" i="73"/>
  <c r="X26" i="73" s="1"/>
  <c r="Z26" i="73" s="1"/>
  <c r="H26" i="73"/>
  <c r="N26" i="73" s="1"/>
  <c r="D26" i="73"/>
  <c r="L26" i="73" s="1"/>
  <c r="B26" i="73"/>
  <c r="T25" i="73" a="1"/>
  <c r="T25" i="73" s="1"/>
  <c r="Z25" i="73" s="1"/>
  <c r="P25" i="73" a="1"/>
  <c r="P25" i="73"/>
  <c r="X25" i="73" s="1"/>
  <c r="H25" i="73" a="1"/>
  <c r="H25" i="73" s="1"/>
  <c r="D25" i="73" a="1"/>
  <c r="D25" i="73" s="1"/>
  <c r="D23" i="73"/>
  <c r="X21" i="73"/>
  <c r="Z21" i="73" s="1"/>
  <c r="N21" i="73"/>
  <c r="L21" i="73"/>
  <c r="F21" i="73"/>
  <c r="B21" i="73"/>
  <c r="X20" i="73"/>
  <c r="Z20" i="73" s="1"/>
  <c r="N20" i="73"/>
  <c r="L20" i="73"/>
  <c r="B20" i="73"/>
  <c r="Z19" i="73"/>
  <c r="X19" i="73"/>
  <c r="N19" i="73"/>
  <c r="L19" i="73"/>
  <c r="B19" i="73"/>
  <c r="X18" i="73"/>
  <c r="Z18" i="73" s="1"/>
  <c r="T18" i="73"/>
  <c r="P18" i="73"/>
  <c r="H18" i="73"/>
  <c r="N18" i="73" s="1"/>
  <c r="D18" i="73"/>
  <c r="Z16" i="73"/>
  <c r="T16" i="73"/>
  <c r="P16" i="73"/>
  <c r="X16" i="73" s="1"/>
  <c r="N16" i="73"/>
  <c r="L16" i="73"/>
  <c r="H16" i="73"/>
  <c r="D16" i="73"/>
  <c r="B16" i="73"/>
  <c r="T15" i="73"/>
  <c r="Z15" i="73" s="1"/>
  <c r="P15" i="73"/>
  <c r="N15" i="73"/>
  <c r="H15" i="73"/>
  <c r="D15" i="73"/>
  <c r="L15" i="73" s="1"/>
  <c r="B15" i="73"/>
  <c r="T14" i="73"/>
  <c r="P14" i="73"/>
  <c r="P12" i="73" s="1"/>
  <c r="R70" i="73" s="1"/>
  <c r="H14" i="73"/>
  <c r="D14" i="73"/>
  <c r="L14" i="73" s="1"/>
  <c r="B14" i="73"/>
  <c r="T13" i="73"/>
  <c r="P13" i="73"/>
  <c r="L13" i="73"/>
  <c r="H13" i="73"/>
  <c r="N13" i="73" s="1"/>
  <c r="D13" i="73"/>
  <c r="B13" i="73"/>
  <c r="D12" i="73"/>
  <c r="D6" i="73"/>
  <c r="D4" i="73"/>
  <c r="F39" i="72"/>
  <c r="V36" i="72"/>
  <c r="Z34" i="72"/>
  <c r="X34" i="72"/>
  <c r="V34" i="72"/>
  <c r="N34" i="72"/>
  <c r="L34" i="72"/>
  <c r="V32" i="72"/>
  <c r="X30" i="72"/>
  <c r="T30" i="72"/>
  <c r="Z30" i="72" s="1"/>
  <c r="P30" i="72"/>
  <c r="H30" i="72"/>
  <c r="N30" i="72" s="1"/>
  <c r="D30" i="72"/>
  <c r="D29" i="72" s="1"/>
  <c r="B30" i="72"/>
  <c r="V29" i="72"/>
  <c r="P29" i="72"/>
  <c r="F29" i="72"/>
  <c r="Z27" i="72"/>
  <c r="X27" i="72"/>
  <c r="N27" i="72"/>
  <c r="L27" i="72"/>
  <c r="B27" i="72"/>
  <c r="Z26" i="72"/>
  <c r="V26" i="72"/>
  <c r="T26" i="72"/>
  <c r="P26" i="72"/>
  <c r="X26" i="72" s="1"/>
  <c r="L26" i="72"/>
  <c r="H26" i="72"/>
  <c r="N26" i="72" s="1"/>
  <c r="F26" i="72"/>
  <c r="D26" i="72"/>
  <c r="B26" i="72"/>
  <c r="Z25" i="72"/>
  <c r="X25" i="72"/>
  <c r="V25" i="72"/>
  <c r="N25" i="72"/>
  <c r="L25" i="72"/>
  <c r="F25" i="72"/>
  <c r="B25" i="72"/>
  <c r="X24" i="72"/>
  <c r="T24" i="72"/>
  <c r="Z24" i="72" s="1"/>
  <c r="P24" i="72"/>
  <c r="H24" i="72"/>
  <c r="N24" i="72" s="1"/>
  <c r="D24" i="72"/>
  <c r="B24" i="72"/>
  <c r="Z23" i="72"/>
  <c r="X23" i="72"/>
  <c r="V23" i="72"/>
  <c r="N23" i="72"/>
  <c r="L23" i="72"/>
  <c r="F23" i="72"/>
  <c r="B23" i="72"/>
  <c r="Z22" i="72"/>
  <c r="X22" i="72"/>
  <c r="N22" i="72"/>
  <c r="L22" i="72"/>
  <c r="B22" i="72"/>
  <c r="Z21" i="72"/>
  <c r="V21" i="72"/>
  <c r="T21" i="72"/>
  <c r="P21" i="72"/>
  <c r="X21" i="72" s="1"/>
  <c r="L21" i="72"/>
  <c r="H21" i="72"/>
  <c r="N21" i="72" s="1"/>
  <c r="F21" i="72"/>
  <c r="D21" i="72"/>
  <c r="B21" i="72"/>
  <c r="V20" i="72"/>
  <c r="T20" i="72" a="1"/>
  <c r="T20" i="72" s="1"/>
  <c r="Z20" i="72" s="1"/>
  <c r="P20" i="72" a="1"/>
  <c r="P20" i="72" s="1"/>
  <c r="X20" i="72" s="1"/>
  <c r="H20" i="72" a="1"/>
  <c r="H20" i="72" s="1"/>
  <c r="N20" i="72" s="1"/>
  <c r="F20" i="72"/>
  <c r="D20" i="72" a="1"/>
  <c r="D20" i="72" s="1"/>
  <c r="Z18" i="72"/>
  <c r="V18" i="72"/>
  <c r="T18" i="72"/>
  <c r="F18" i="72"/>
  <c r="D18" i="72"/>
  <c r="Z16" i="72"/>
  <c r="X16" i="72"/>
  <c r="V16" i="72"/>
  <c r="N16" i="72"/>
  <c r="L16" i="72"/>
  <c r="F16" i="72"/>
  <c r="B16" i="72"/>
  <c r="Z15" i="72"/>
  <c r="X15" i="72"/>
  <c r="V15" i="72"/>
  <c r="N15" i="72"/>
  <c r="L15" i="72"/>
  <c r="B15" i="72"/>
  <c r="Z14" i="72"/>
  <c r="V14" i="72"/>
  <c r="T14" i="72"/>
  <c r="P14" i="72"/>
  <c r="X14" i="72" s="1"/>
  <c r="L14" i="72"/>
  <c r="H14" i="72"/>
  <c r="N14" i="72" s="1"/>
  <c r="F14" i="72"/>
  <c r="D14" i="72"/>
  <c r="Z12" i="72"/>
  <c r="T12" i="72"/>
  <c r="V30" i="72" s="1"/>
  <c r="P12" i="72"/>
  <c r="R25" i="72" s="1"/>
  <c r="H12" i="72"/>
  <c r="J29" i="72" s="1"/>
  <c r="D12" i="72"/>
  <c r="F30" i="72" s="1"/>
  <c r="D6" i="72"/>
  <c r="D4" i="72"/>
  <c r="X105" i="71"/>
  <c r="Z105" i="71" s="1"/>
  <c r="N105" i="71"/>
  <c r="L105" i="71"/>
  <c r="T101" i="71"/>
  <c r="P101" i="71"/>
  <c r="X101" i="71" s="1"/>
  <c r="Z101" i="71" s="1"/>
  <c r="H101" i="71"/>
  <c r="D101" i="71"/>
  <c r="L101" i="71" s="1"/>
  <c r="N101" i="71" s="1"/>
  <c r="B101" i="71"/>
  <c r="Z100" i="71"/>
  <c r="T100" i="71"/>
  <c r="P100" i="71"/>
  <c r="X100" i="71" s="1"/>
  <c r="N100" i="71"/>
  <c r="H100" i="71"/>
  <c r="D100" i="71"/>
  <c r="L100" i="71" s="1"/>
  <c r="B100" i="71"/>
  <c r="T99" i="71"/>
  <c r="P99" i="71"/>
  <c r="P98" i="71" s="1"/>
  <c r="H99" i="71"/>
  <c r="D99" i="71"/>
  <c r="L99" i="71" s="1"/>
  <c r="N99" i="71" s="1"/>
  <c r="B99" i="71"/>
  <c r="H98" i="71"/>
  <c r="Z96" i="71"/>
  <c r="X96" i="71"/>
  <c r="N96" i="71"/>
  <c r="L96" i="71"/>
  <c r="B96" i="71"/>
  <c r="X95" i="71"/>
  <c r="T95" i="71"/>
  <c r="Z95" i="71" s="1"/>
  <c r="P95" i="71"/>
  <c r="H95" i="71"/>
  <c r="N95" i="71" s="1"/>
  <c r="D95" i="71"/>
  <c r="B95" i="71"/>
  <c r="X94" i="71"/>
  <c r="Z94" i="71" s="1"/>
  <c r="N94" i="71"/>
  <c r="L94" i="71"/>
  <c r="B94" i="71"/>
  <c r="T93" i="71"/>
  <c r="P93" i="71"/>
  <c r="H93" i="71"/>
  <c r="D93" i="71"/>
  <c r="L93" i="71" s="1"/>
  <c r="N93" i="71" s="1"/>
  <c r="B93" i="71"/>
  <c r="Z92" i="71"/>
  <c r="X92" i="71"/>
  <c r="N92" i="71"/>
  <c r="L92" i="71"/>
  <c r="B92" i="71"/>
  <c r="Z91" i="71"/>
  <c r="X91" i="71"/>
  <c r="L91" i="71"/>
  <c r="N91" i="71" s="1"/>
  <c r="B91" i="71"/>
  <c r="X90" i="71"/>
  <c r="Z90" i="71" s="1"/>
  <c r="N90" i="71"/>
  <c r="L90" i="71"/>
  <c r="B90" i="71"/>
  <c r="X89" i="71"/>
  <c r="Z89" i="71" s="1"/>
  <c r="N89" i="71"/>
  <c r="L89" i="71"/>
  <c r="B89" i="71"/>
  <c r="T88" i="71"/>
  <c r="P88" i="71"/>
  <c r="X88" i="71" s="1"/>
  <c r="Z88" i="71" s="1"/>
  <c r="H88" i="71"/>
  <c r="D88" i="71"/>
  <c r="L88" i="71" s="1"/>
  <c r="N88" i="71" s="1"/>
  <c r="B88" i="71"/>
  <c r="Z87" i="71"/>
  <c r="X87" i="71"/>
  <c r="N87" i="71"/>
  <c r="L87" i="71"/>
  <c r="B87" i="71"/>
  <c r="T86" i="71"/>
  <c r="P86" i="71"/>
  <c r="X86" i="71" s="1"/>
  <c r="Z86" i="71" s="1"/>
  <c r="L86" i="71"/>
  <c r="H86" i="71"/>
  <c r="N86" i="71" s="1"/>
  <c r="D86" i="71"/>
  <c r="B86" i="71"/>
  <c r="Z85" i="71"/>
  <c r="X85" i="71"/>
  <c r="N85" i="71"/>
  <c r="L85" i="71"/>
  <c r="B85" i="71"/>
  <c r="X84" i="71"/>
  <c r="T84" i="71"/>
  <c r="Z84" i="71" s="1"/>
  <c r="P84" i="71"/>
  <c r="N84" i="71"/>
  <c r="H84" i="71"/>
  <c r="D84" i="71"/>
  <c r="L84" i="71" s="1"/>
  <c r="B84" i="71"/>
  <c r="X83" i="71"/>
  <c r="Z83" i="71" s="1"/>
  <c r="N83" i="71"/>
  <c r="L83" i="71"/>
  <c r="B83" i="71"/>
  <c r="T82" i="71"/>
  <c r="P82" i="71"/>
  <c r="X82" i="71" s="1"/>
  <c r="Z82" i="71" s="1"/>
  <c r="H82" i="71"/>
  <c r="D82" i="71"/>
  <c r="L82" i="71" s="1"/>
  <c r="N82" i="71" s="1"/>
  <c r="B82" i="71"/>
  <c r="X81" i="71"/>
  <c r="Z81" i="71" s="1"/>
  <c r="N81" i="71"/>
  <c r="L81" i="71"/>
  <c r="B81" i="71"/>
  <c r="T80" i="71"/>
  <c r="P80" i="71"/>
  <c r="X80" i="71" s="1"/>
  <c r="Z80" i="71" s="1"/>
  <c r="L80" i="71"/>
  <c r="H80" i="71"/>
  <c r="N80" i="71" s="1"/>
  <c r="D80" i="71"/>
  <c r="B80" i="71"/>
  <c r="Z79" i="71"/>
  <c r="X79" i="71"/>
  <c r="N79" i="71"/>
  <c r="L79" i="71"/>
  <c r="B79" i="71"/>
  <c r="X78" i="71"/>
  <c r="Z78" i="71" s="1"/>
  <c r="N78" i="71"/>
  <c r="L78" i="71"/>
  <c r="B78" i="71"/>
  <c r="T77" i="71"/>
  <c r="P77" i="71"/>
  <c r="H77" i="71"/>
  <c r="D77" i="71"/>
  <c r="L77" i="71" s="1"/>
  <c r="N77" i="71" s="1"/>
  <c r="B77" i="71"/>
  <c r="Z76" i="71"/>
  <c r="X76" i="71"/>
  <c r="N76" i="71"/>
  <c r="L76" i="71"/>
  <c r="B76" i="71"/>
  <c r="Z75" i="71"/>
  <c r="T75" i="71"/>
  <c r="P75" i="71"/>
  <c r="X75" i="71" s="1"/>
  <c r="N75" i="71"/>
  <c r="H75" i="71"/>
  <c r="D75" i="71"/>
  <c r="L75" i="71" s="1"/>
  <c r="B75" i="71"/>
  <c r="Z74" i="71"/>
  <c r="X74" i="71"/>
  <c r="L74" i="71"/>
  <c r="N74" i="71" s="1"/>
  <c r="B74" i="71"/>
  <c r="T73" i="71"/>
  <c r="P73" i="71"/>
  <c r="X73" i="71" s="1"/>
  <c r="Z73" i="71" s="1"/>
  <c r="L73" i="71"/>
  <c r="H73" i="71"/>
  <c r="D73" i="71"/>
  <c r="B73" i="71"/>
  <c r="Z72" i="71"/>
  <c r="X72" i="71"/>
  <c r="L72" i="71"/>
  <c r="N72" i="71" s="1"/>
  <c r="B72" i="71"/>
  <c r="X71" i="71"/>
  <c r="T71" i="71"/>
  <c r="Z71" i="71" s="1"/>
  <c r="P71" i="71"/>
  <c r="H71" i="71"/>
  <c r="D71" i="71"/>
  <c r="B71" i="71"/>
  <c r="Z70" i="71"/>
  <c r="X70" i="71"/>
  <c r="N70" i="71"/>
  <c r="L70" i="71"/>
  <c r="B70" i="71"/>
  <c r="X69" i="71"/>
  <c r="Z69" i="71" s="1"/>
  <c r="N69" i="71"/>
  <c r="L69" i="71"/>
  <c r="B69" i="71"/>
  <c r="Z68" i="71"/>
  <c r="X68" i="71"/>
  <c r="N68" i="71"/>
  <c r="L68" i="71"/>
  <c r="B68" i="71"/>
  <c r="X67" i="71"/>
  <c r="Z67" i="71" s="1"/>
  <c r="N67" i="71"/>
  <c r="L67" i="71"/>
  <c r="B67" i="71"/>
  <c r="Z66" i="71"/>
  <c r="X66" i="71"/>
  <c r="L66" i="71"/>
  <c r="N66" i="71" s="1"/>
  <c r="B66" i="71"/>
  <c r="T65" i="71"/>
  <c r="P65" i="71"/>
  <c r="X65" i="71" s="1"/>
  <c r="Z65" i="71" s="1"/>
  <c r="L65" i="71"/>
  <c r="H65" i="71"/>
  <c r="N65" i="71" s="1"/>
  <c r="D65" i="71"/>
  <c r="B65" i="71"/>
  <c r="Z64" i="71"/>
  <c r="X64" i="71"/>
  <c r="L64" i="71"/>
  <c r="N64" i="71" s="1"/>
  <c r="B64" i="71"/>
  <c r="X63" i="71"/>
  <c r="Z63" i="71" s="1"/>
  <c r="N63" i="71"/>
  <c r="L63" i="71"/>
  <c r="B63" i="71"/>
  <c r="Z62" i="71"/>
  <c r="X62" i="71"/>
  <c r="L62" i="71"/>
  <c r="N62" i="71" s="1"/>
  <c r="B62" i="71"/>
  <c r="Z61" i="71"/>
  <c r="X61" i="71"/>
  <c r="L61" i="71"/>
  <c r="N61" i="71" s="1"/>
  <c r="B61" i="71"/>
  <c r="X60" i="71"/>
  <c r="Z60" i="71" s="1"/>
  <c r="N60" i="71"/>
  <c r="L60" i="71"/>
  <c r="B60" i="71"/>
  <c r="Z59" i="71"/>
  <c r="X59" i="71"/>
  <c r="L59" i="71"/>
  <c r="N59" i="71" s="1"/>
  <c r="B59" i="71"/>
  <c r="X58" i="71"/>
  <c r="Z58" i="71" s="1"/>
  <c r="N58" i="71"/>
  <c r="L58" i="71"/>
  <c r="B58" i="71"/>
  <c r="X57" i="71"/>
  <c r="Z57" i="71" s="1"/>
  <c r="L57" i="71"/>
  <c r="N57" i="71" s="1"/>
  <c r="B57" i="71"/>
  <c r="Z56" i="71"/>
  <c r="X56" i="71"/>
  <c r="L56" i="71"/>
  <c r="N56" i="71" s="1"/>
  <c r="B56" i="71"/>
  <c r="X55" i="71"/>
  <c r="T55" i="71"/>
  <c r="P55" i="71"/>
  <c r="H55" i="71"/>
  <c r="D55" i="71"/>
  <c r="B55" i="71"/>
  <c r="T54" i="71" a="1"/>
  <c r="T54" i="71"/>
  <c r="P54" i="71" a="1"/>
  <c r="P54" i="71"/>
  <c r="H54" i="71" a="1"/>
  <c r="H54" i="71"/>
  <c r="D54" i="71" a="1"/>
  <c r="D54" i="71"/>
  <c r="L54" i="71" s="1"/>
  <c r="Z50" i="71"/>
  <c r="X50" i="71"/>
  <c r="N50" i="71"/>
  <c r="L50" i="71"/>
  <c r="B50" i="71"/>
  <c r="X49" i="71"/>
  <c r="Z49" i="71" s="1"/>
  <c r="N49" i="71"/>
  <c r="L49" i="71"/>
  <c r="B49" i="71"/>
  <c r="X48" i="71"/>
  <c r="Z48" i="71" s="1"/>
  <c r="N48" i="71"/>
  <c r="L48" i="71"/>
  <c r="B48" i="71"/>
  <c r="Z47" i="71"/>
  <c r="X47" i="71"/>
  <c r="L47" i="71"/>
  <c r="N47" i="71" s="1"/>
  <c r="B47" i="71"/>
  <c r="X46" i="71"/>
  <c r="Z46" i="71" s="1"/>
  <c r="N46" i="71"/>
  <c r="L46" i="71"/>
  <c r="B46" i="71"/>
  <c r="Z45" i="71"/>
  <c r="X45" i="71"/>
  <c r="N45" i="71"/>
  <c r="L45" i="71"/>
  <c r="B45" i="71"/>
  <c r="Z44" i="71"/>
  <c r="X44" i="71"/>
  <c r="L44" i="71"/>
  <c r="N44" i="71" s="1"/>
  <c r="B44" i="71"/>
  <c r="X43" i="71"/>
  <c r="Z43" i="71" s="1"/>
  <c r="N43" i="71"/>
  <c r="L43" i="71"/>
  <c r="B43" i="71"/>
  <c r="Z42" i="71"/>
  <c r="X42" i="71"/>
  <c r="L42" i="71"/>
  <c r="N42" i="71" s="1"/>
  <c r="B42" i="71"/>
  <c r="X41" i="71"/>
  <c r="Z41" i="71" s="1"/>
  <c r="L41" i="71"/>
  <c r="N41" i="71" s="1"/>
  <c r="B41" i="71"/>
  <c r="X40" i="71"/>
  <c r="Z40" i="71" s="1"/>
  <c r="N40" i="71"/>
  <c r="L40" i="71"/>
  <c r="B40" i="71"/>
  <c r="Z39" i="71"/>
  <c r="X39" i="71"/>
  <c r="L39" i="71"/>
  <c r="N39" i="71" s="1"/>
  <c r="B39" i="71"/>
  <c r="X38" i="71"/>
  <c r="Z38" i="71" s="1"/>
  <c r="N38" i="71"/>
  <c r="L38" i="71"/>
  <c r="B38" i="71"/>
  <c r="Z37" i="71"/>
  <c r="X37" i="71"/>
  <c r="N37" i="71"/>
  <c r="L37" i="71"/>
  <c r="B37" i="71"/>
  <c r="T36" i="71"/>
  <c r="P36" i="71"/>
  <c r="X36" i="71" s="1"/>
  <c r="Z36" i="71" s="1"/>
  <c r="H36" i="71"/>
  <c r="N36" i="71" s="1"/>
  <c r="D36" i="71"/>
  <c r="L36" i="71" s="1"/>
  <c r="Z34" i="71"/>
  <c r="X34" i="71"/>
  <c r="T34" i="71"/>
  <c r="P34" i="71"/>
  <c r="H34" i="71"/>
  <c r="D34" i="71"/>
  <c r="B34" i="71"/>
  <c r="T33" i="71"/>
  <c r="P33" i="71"/>
  <c r="X33" i="71" s="1"/>
  <c r="Z33" i="71" s="1"/>
  <c r="N33" i="71"/>
  <c r="L33" i="71"/>
  <c r="H33" i="71"/>
  <c r="D33" i="71"/>
  <c r="B33" i="71"/>
  <c r="T32" i="71"/>
  <c r="P32" i="71"/>
  <c r="X32" i="71" s="1"/>
  <c r="N32" i="71"/>
  <c r="H32" i="71"/>
  <c r="D32" i="71"/>
  <c r="L32" i="71" s="1"/>
  <c r="B32" i="71"/>
  <c r="T31" i="71"/>
  <c r="Z31" i="71" s="1"/>
  <c r="P31" i="71"/>
  <c r="X31" i="71" s="1"/>
  <c r="H31" i="71"/>
  <c r="D31" i="71"/>
  <c r="B31" i="71"/>
  <c r="T30" i="71"/>
  <c r="P30" i="71"/>
  <c r="N30" i="71"/>
  <c r="L30" i="71"/>
  <c r="H30" i="71"/>
  <c r="D30" i="71"/>
  <c r="B30" i="71"/>
  <c r="X29" i="71"/>
  <c r="Z29" i="71" s="1"/>
  <c r="T29" i="71"/>
  <c r="P29" i="71"/>
  <c r="N29" i="71"/>
  <c r="H29" i="71"/>
  <c r="D29" i="71"/>
  <c r="L29" i="71" s="1"/>
  <c r="B29" i="71"/>
  <c r="Z28" i="71"/>
  <c r="T28" i="71"/>
  <c r="P28" i="71"/>
  <c r="X28" i="71" s="1"/>
  <c r="H28" i="71"/>
  <c r="D28" i="71"/>
  <c r="L28" i="71" s="1"/>
  <c r="B28" i="71"/>
  <c r="T27" i="71"/>
  <c r="P27" i="71"/>
  <c r="H27" i="71"/>
  <c r="D27" i="71"/>
  <c r="L27" i="71" s="1"/>
  <c r="B27" i="71"/>
  <c r="X26" i="71"/>
  <c r="Z26" i="71" s="1"/>
  <c r="T26" i="71"/>
  <c r="P26" i="71"/>
  <c r="H26" i="71"/>
  <c r="D26" i="71"/>
  <c r="B26" i="71"/>
  <c r="Z25" i="71"/>
  <c r="T25" i="71"/>
  <c r="P25" i="71"/>
  <c r="X25" i="71" s="1"/>
  <c r="N25" i="71"/>
  <c r="L25" i="71"/>
  <c r="H25" i="71"/>
  <c r="D25" i="71"/>
  <c r="B25" i="71"/>
  <c r="T24" i="71"/>
  <c r="Z24" i="71" s="1"/>
  <c r="P24" i="71"/>
  <c r="X24" i="71" s="1"/>
  <c r="N24" i="71"/>
  <c r="H24" i="71"/>
  <c r="D24" i="71"/>
  <c r="L24" i="71" s="1"/>
  <c r="B24" i="71"/>
  <c r="T23" i="71"/>
  <c r="P23" i="71"/>
  <c r="X23" i="71" s="1"/>
  <c r="H23" i="71"/>
  <c r="D23" i="71"/>
  <c r="B23" i="71"/>
  <c r="T22" i="71"/>
  <c r="P22" i="71"/>
  <c r="L22" i="71"/>
  <c r="N22" i="71" s="1"/>
  <c r="H22" i="71"/>
  <c r="D22" i="71"/>
  <c r="B22" i="71"/>
  <c r="X21" i="71"/>
  <c r="Z21" i="71" s="1"/>
  <c r="T21" i="71"/>
  <c r="P21" i="71"/>
  <c r="N21" i="71"/>
  <c r="H21" i="71"/>
  <c r="D21" i="71"/>
  <c r="L21" i="71" s="1"/>
  <c r="B21" i="71"/>
  <c r="Z20" i="71"/>
  <c r="T20" i="71"/>
  <c r="P20" i="71"/>
  <c r="X20" i="71" s="1"/>
  <c r="H20" i="71"/>
  <c r="N20" i="71" s="1"/>
  <c r="D20" i="71"/>
  <c r="L20" i="71" s="1"/>
  <c r="B20" i="71"/>
  <c r="T19" i="71"/>
  <c r="P19" i="71"/>
  <c r="H19" i="71"/>
  <c r="N19" i="71" s="1"/>
  <c r="D19" i="71"/>
  <c r="L19" i="71" s="1"/>
  <c r="B19" i="71"/>
  <c r="X18" i="71"/>
  <c r="Z18" i="71" s="1"/>
  <c r="T18" i="71"/>
  <c r="P18" i="71"/>
  <c r="H18" i="71"/>
  <c r="D18" i="71"/>
  <c r="L18" i="71" s="1"/>
  <c r="B18" i="71"/>
  <c r="T17" i="71"/>
  <c r="P17" i="71"/>
  <c r="X17" i="71" s="1"/>
  <c r="Z17" i="71" s="1"/>
  <c r="H17" i="71"/>
  <c r="N17" i="71" s="1"/>
  <c r="D17" i="71"/>
  <c r="B17" i="71"/>
  <c r="T16" i="71"/>
  <c r="Z16" i="71" s="1"/>
  <c r="P16" i="71"/>
  <c r="X16" i="71" s="1"/>
  <c r="H16" i="71"/>
  <c r="D16" i="71"/>
  <c r="L16" i="71" s="1"/>
  <c r="N16" i="71" s="1"/>
  <c r="B16" i="71"/>
  <c r="T15" i="71"/>
  <c r="Z15" i="71" s="1"/>
  <c r="P15" i="71"/>
  <c r="X15" i="71" s="1"/>
  <c r="H15" i="71"/>
  <c r="D15" i="71"/>
  <c r="B15" i="71"/>
  <c r="T14" i="71"/>
  <c r="P14" i="71"/>
  <c r="L14" i="71"/>
  <c r="N14" i="71" s="1"/>
  <c r="H14" i="71"/>
  <c r="D14" i="71"/>
  <c r="B14" i="71"/>
  <c r="X13" i="71"/>
  <c r="T13" i="71"/>
  <c r="P13" i="71"/>
  <c r="H13" i="71"/>
  <c r="D13" i="71"/>
  <c r="L13" i="71" s="1"/>
  <c r="N13" i="71" s="1"/>
  <c r="B13" i="71"/>
  <c r="D6" i="71"/>
  <c r="D4" i="71"/>
  <c r="X85" i="70"/>
  <c r="Z85" i="70" s="1"/>
  <c r="N85" i="70"/>
  <c r="L85" i="70"/>
  <c r="T81" i="70"/>
  <c r="P81" i="70"/>
  <c r="X81" i="70" s="1"/>
  <c r="H81" i="70"/>
  <c r="D81" i="70"/>
  <c r="B81" i="70"/>
  <c r="X78" i="70"/>
  <c r="Z78" i="70" s="1"/>
  <c r="N78" i="70"/>
  <c r="L78" i="70"/>
  <c r="B78" i="70"/>
  <c r="T77" i="70"/>
  <c r="X77" i="70" s="1"/>
  <c r="P77" i="70"/>
  <c r="H77" i="70"/>
  <c r="N77" i="70" s="1"/>
  <c r="D77" i="70"/>
  <c r="L77" i="70" s="1"/>
  <c r="B77" i="70"/>
  <c r="X76" i="70"/>
  <c r="Z76" i="70" s="1"/>
  <c r="N76" i="70"/>
  <c r="L76" i="70"/>
  <c r="B76" i="70"/>
  <c r="T75" i="70"/>
  <c r="P75" i="70"/>
  <c r="H75" i="70"/>
  <c r="N75" i="70" s="1"/>
  <c r="D75" i="70"/>
  <c r="L75" i="70" s="1"/>
  <c r="B75" i="70"/>
  <c r="Z74" i="70"/>
  <c r="X74" i="70"/>
  <c r="L74" i="70"/>
  <c r="N74" i="70" s="1"/>
  <c r="B74" i="70"/>
  <c r="X73" i="70"/>
  <c r="Z73" i="70" s="1"/>
  <c r="L73" i="70"/>
  <c r="N73" i="70" s="1"/>
  <c r="B73" i="70"/>
  <c r="X72" i="70"/>
  <c r="Z72" i="70" s="1"/>
  <c r="N72" i="70"/>
  <c r="L72" i="70"/>
  <c r="B72" i="70"/>
  <c r="Z71" i="70"/>
  <c r="X71" i="70"/>
  <c r="L71" i="70"/>
  <c r="N71" i="70" s="1"/>
  <c r="B71" i="70"/>
  <c r="X70" i="70"/>
  <c r="Z70" i="70" s="1"/>
  <c r="N70" i="70"/>
  <c r="L70" i="70"/>
  <c r="B70" i="70"/>
  <c r="Z69" i="70"/>
  <c r="X69" i="70"/>
  <c r="N69" i="70"/>
  <c r="L69" i="70"/>
  <c r="B69" i="70"/>
  <c r="Z68" i="70"/>
  <c r="X68" i="70"/>
  <c r="T68" i="70"/>
  <c r="P68" i="70"/>
  <c r="L68" i="70"/>
  <c r="H68" i="70"/>
  <c r="N68" i="70" s="1"/>
  <c r="D68" i="70"/>
  <c r="B68" i="70"/>
  <c r="Z67" i="70"/>
  <c r="X67" i="70"/>
  <c r="L67" i="70"/>
  <c r="N67" i="70" s="1"/>
  <c r="B67" i="70"/>
  <c r="X66" i="70"/>
  <c r="T66" i="70"/>
  <c r="P66" i="70"/>
  <c r="H66" i="70"/>
  <c r="D66" i="70"/>
  <c r="L66" i="70" s="1"/>
  <c r="B66" i="70"/>
  <c r="Z65" i="70"/>
  <c r="X65" i="70"/>
  <c r="N65" i="70"/>
  <c r="L65" i="70"/>
  <c r="B65" i="70"/>
  <c r="T64" i="70"/>
  <c r="P64" i="70"/>
  <c r="N64" i="70"/>
  <c r="H64" i="70"/>
  <c r="D64" i="70"/>
  <c r="L64" i="70" s="1"/>
  <c r="B64" i="70"/>
  <c r="X63" i="70"/>
  <c r="Z63" i="70" s="1"/>
  <c r="N63" i="70"/>
  <c r="L63" i="70"/>
  <c r="B63" i="70"/>
  <c r="Z62" i="70"/>
  <c r="X62" i="70"/>
  <c r="L62" i="70"/>
  <c r="N62" i="70" s="1"/>
  <c r="B62" i="70"/>
  <c r="Z61" i="70"/>
  <c r="X61" i="70"/>
  <c r="N61" i="70"/>
  <c r="L61" i="70"/>
  <c r="B61" i="70"/>
  <c r="T60" i="70"/>
  <c r="P60" i="70"/>
  <c r="N60" i="70"/>
  <c r="H60" i="70"/>
  <c r="D60" i="70"/>
  <c r="L60" i="70" s="1"/>
  <c r="B60" i="70"/>
  <c r="Z59" i="70"/>
  <c r="X59" i="70"/>
  <c r="N59" i="70"/>
  <c r="L59" i="70"/>
  <c r="B59" i="70"/>
  <c r="Z58" i="70"/>
  <c r="T58" i="70"/>
  <c r="P58" i="70"/>
  <c r="X58" i="70" s="1"/>
  <c r="N58" i="70"/>
  <c r="L58" i="70"/>
  <c r="H58" i="70"/>
  <c r="D58" i="70"/>
  <c r="B58" i="70"/>
  <c r="X57" i="70"/>
  <c r="Z57" i="70" s="1"/>
  <c r="N57" i="70"/>
  <c r="L57" i="70"/>
  <c r="B57" i="70"/>
  <c r="Z56" i="70"/>
  <c r="X56" i="70"/>
  <c r="L56" i="70"/>
  <c r="N56" i="70" s="1"/>
  <c r="B56" i="70"/>
  <c r="X55" i="70"/>
  <c r="Z55" i="70" s="1"/>
  <c r="T55" i="70"/>
  <c r="P55" i="70"/>
  <c r="H55" i="70"/>
  <c r="D55" i="70"/>
  <c r="B55" i="70"/>
  <c r="X54" i="70"/>
  <c r="Z54" i="70" s="1"/>
  <c r="N54" i="70"/>
  <c r="L54" i="70"/>
  <c r="B54" i="70"/>
  <c r="X53" i="70"/>
  <c r="T53" i="70"/>
  <c r="Z53" i="70" s="1"/>
  <c r="P53" i="70"/>
  <c r="H53" i="70"/>
  <c r="D53" i="70"/>
  <c r="B53" i="70"/>
  <c r="Z52" i="70"/>
  <c r="X52" i="70"/>
  <c r="N52" i="70"/>
  <c r="L52" i="70"/>
  <c r="B52" i="70"/>
  <c r="T51" i="70"/>
  <c r="Z51" i="70" s="1"/>
  <c r="P51" i="70"/>
  <c r="X51" i="70" s="1"/>
  <c r="N51" i="70"/>
  <c r="H51" i="70"/>
  <c r="D51" i="70"/>
  <c r="L51" i="70" s="1"/>
  <c r="B51" i="70"/>
  <c r="Z50" i="70"/>
  <c r="X50" i="70"/>
  <c r="L50" i="70"/>
  <c r="N50" i="70" s="1"/>
  <c r="B50" i="70"/>
  <c r="Z49" i="70"/>
  <c r="T49" i="70"/>
  <c r="P49" i="70"/>
  <c r="X49" i="70" s="1"/>
  <c r="N49" i="70"/>
  <c r="L49" i="70"/>
  <c r="H49" i="70"/>
  <c r="D49" i="70"/>
  <c r="B49" i="70"/>
  <c r="Z48" i="70"/>
  <c r="X48" i="70"/>
  <c r="N48" i="70"/>
  <c r="L48" i="70"/>
  <c r="B48" i="70"/>
  <c r="Z47" i="70"/>
  <c r="X47" i="70"/>
  <c r="T47" i="70"/>
  <c r="P47" i="70"/>
  <c r="H47" i="70"/>
  <c r="N47" i="70" s="1"/>
  <c r="D47" i="70"/>
  <c r="L47" i="70" s="1"/>
  <c r="B47" i="70"/>
  <c r="Z46" i="70"/>
  <c r="X46" i="70"/>
  <c r="N46" i="70"/>
  <c r="L46" i="70"/>
  <c r="B46" i="70"/>
  <c r="Z45" i="70"/>
  <c r="X45" i="70"/>
  <c r="L45" i="70"/>
  <c r="N45" i="70" s="1"/>
  <c r="B45" i="70"/>
  <c r="X44" i="70"/>
  <c r="Z44" i="70" s="1"/>
  <c r="N44" i="70"/>
  <c r="L44" i="70"/>
  <c r="B44" i="70"/>
  <c r="Z43" i="70"/>
  <c r="X43" i="70"/>
  <c r="N43" i="70"/>
  <c r="L43" i="70"/>
  <c r="B43" i="70"/>
  <c r="T42" i="70"/>
  <c r="P42" i="70"/>
  <c r="X42" i="70" s="1"/>
  <c r="Z42" i="70" s="1"/>
  <c r="L42" i="70"/>
  <c r="N42" i="70" s="1"/>
  <c r="H42" i="70"/>
  <c r="D42" i="70"/>
  <c r="B42" i="70"/>
  <c r="Z41" i="70"/>
  <c r="X41" i="70"/>
  <c r="L41" i="70"/>
  <c r="N41" i="70" s="1"/>
  <c r="B41" i="70"/>
  <c r="X40" i="70"/>
  <c r="Z40" i="70" s="1"/>
  <c r="L40" i="70"/>
  <c r="N40" i="70" s="1"/>
  <c r="B40" i="70"/>
  <c r="Z39" i="70"/>
  <c r="X39" i="70"/>
  <c r="N39" i="70"/>
  <c r="L39" i="70"/>
  <c r="B39" i="70"/>
  <c r="Z38" i="70"/>
  <c r="X38" i="70"/>
  <c r="L38" i="70"/>
  <c r="N38" i="70" s="1"/>
  <c r="B38" i="70"/>
  <c r="X37" i="70"/>
  <c r="Z37" i="70" s="1"/>
  <c r="N37" i="70"/>
  <c r="L37" i="70"/>
  <c r="B37" i="70"/>
  <c r="Z36" i="70"/>
  <c r="X36" i="70"/>
  <c r="L36" i="70"/>
  <c r="N36" i="70" s="1"/>
  <c r="B36" i="70"/>
  <c r="Z35" i="70"/>
  <c r="X35" i="70"/>
  <c r="N35" i="70"/>
  <c r="L35" i="70"/>
  <c r="B35" i="70"/>
  <c r="X34" i="70"/>
  <c r="Z34" i="70" s="1"/>
  <c r="N34" i="70"/>
  <c r="L34" i="70"/>
  <c r="B34" i="70"/>
  <c r="T33" i="70"/>
  <c r="P33" i="70"/>
  <c r="X33" i="70" s="1"/>
  <c r="Z33" i="70" s="1"/>
  <c r="H33" i="70"/>
  <c r="D33" i="70"/>
  <c r="L33" i="70" s="1"/>
  <c r="N33" i="70" s="1"/>
  <c r="B33" i="70"/>
  <c r="T32" i="70" a="1"/>
  <c r="T32" i="70" s="1"/>
  <c r="P32" i="70" a="1"/>
  <c r="P32" i="70" s="1"/>
  <c r="X32" i="70" s="1"/>
  <c r="H32" i="70" a="1"/>
  <c r="H32" i="70" s="1"/>
  <c r="D32" i="70" a="1"/>
  <c r="D32" i="70" s="1"/>
  <c r="L32" i="70" s="1"/>
  <c r="Z28" i="70"/>
  <c r="X28" i="70"/>
  <c r="N28" i="70"/>
  <c r="L28" i="70"/>
  <c r="B28" i="70"/>
  <c r="Z27" i="70"/>
  <c r="X27" i="70"/>
  <c r="T27" i="70"/>
  <c r="P27" i="70"/>
  <c r="N27" i="70"/>
  <c r="H27" i="70"/>
  <c r="D27" i="70"/>
  <c r="L27" i="70" s="1"/>
  <c r="T25" i="70"/>
  <c r="P25" i="70"/>
  <c r="X25" i="70" s="1"/>
  <c r="L25" i="70"/>
  <c r="N25" i="70" s="1"/>
  <c r="H25" i="70"/>
  <c r="D25" i="70"/>
  <c r="B25" i="70"/>
  <c r="X24" i="70"/>
  <c r="T24" i="70"/>
  <c r="Z24" i="70" s="1"/>
  <c r="P24" i="70"/>
  <c r="H24" i="70"/>
  <c r="D24" i="70"/>
  <c r="L24" i="70" s="1"/>
  <c r="N24" i="70" s="1"/>
  <c r="B24" i="70"/>
  <c r="Z23" i="70"/>
  <c r="T23" i="70"/>
  <c r="P23" i="70"/>
  <c r="X23" i="70" s="1"/>
  <c r="H23" i="70"/>
  <c r="N23" i="70" s="1"/>
  <c r="D23" i="70"/>
  <c r="L23" i="70" s="1"/>
  <c r="B23" i="70"/>
  <c r="T22" i="70"/>
  <c r="P22" i="70"/>
  <c r="H22" i="70"/>
  <c r="D22" i="70"/>
  <c r="L22" i="70" s="1"/>
  <c r="B22" i="70"/>
  <c r="X21" i="70"/>
  <c r="Z21" i="70" s="1"/>
  <c r="T21" i="70"/>
  <c r="P21" i="70"/>
  <c r="H21" i="70"/>
  <c r="D21" i="70"/>
  <c r="L21" i="70" s="1"/>
  <c r="B21" i="70"/>
  <c r="T20" i="70"/>
  <c r="P20" i="70"/>
  <c r="X20" i="70" s="1"/>
  <c r="Z20" i="70" s="1"/>
  <c r="L20" i="70"/>
  <c r="H20" i="70"/>
  <c r="N20" i="70" s="1"/>
  <c r="D20" i="70"/>
  <c r="B20" i="70"/>
  <c r="T19" i="70"/>
  <c r="P19" i="70"/>
  <c r="X19" i="70" s="1"/>
  <c r="H19" i="70"/>
  <c r="D19" i="70"/>
  <c r="L19" i="70" s="1"/>
  <c r="N19" i="70" s="1"/>
  <c r="B19" i="70"/>
  <c r="T18" i="70"/>
  <c r="Z18" i="70" s="1"/>
  <c r="P18" i="70"/>
  <c r="X18" i="70" s="1"/>
  <c r="H18" i="70"/>
  <c r="N18" i="70" s="1"/>
  <c r="D18" i="70"/>
  <c r="B18" i="70"/>
  <c r="T17" i="70"/>
  <c r="Z17" i="70" s="1"/>
  <c r="P17" i="70"/>
  <c r="X17" i="70" s="1"/>
  <c r="L17" i="70"/>
  <c r="N17" i="70" s="1"/>
  <c r="H17" i="70"/>
  <c r="D17" i="70"/>
  <c r="B17" i="70"/>
  <c r="X16" i="70"/>
  <c r="T16" i="70"/>
  <c r="Z16" i="70" s="1"/>
  <c r="P16" i="70"/>
  <c r="H16" i="70"/>
  <c r="D16" i="70"/>
  <c r="L16" i="70" s="1"/>
  <c r="N16" i="70" s="1"/>
  <c r="B16" i="70"/>
  <c r="T15" i="70"/>
  <c r="P15" i="70"/>
  <c r="P12" i="70" s="1"/>
  <c r="H15" i="70"/>
  <c r="D15" i="70"/>
  <c r="L15" i="70" s="1"/>
  <c r="B15" i="70"/>
  <c r="T14" i="70"/>
  <c r="T12" i="70" s="1"/>
  <c r="P14" i="70"/>
  <c r="H14" i="70"/>
  <c r="D14" i="70"/>
  <c r="L14" i="70" s="1"/>
  <c r="B14" i="70"/>
  <c r="X13" i="70"/>
  <c r="Z13" i="70" s="1"/>
  <c r="T13" i="70"/>
  <c r="P13" i="70"/>
  <c r="H13" i="70"/>
  <c r="D13" i="70"/>
  <c r="L13" i="70" s="1"/>
  <c r="B13" i="70"/>
  <c r="D6" i="70"/>
  <c r="D4" i="70"/>
  <c r="Z151" i="69"/>
  <c r="X151" i="69"/>
  <c r="L151" i="69"/>
  <c r="N151" i="69" s="1"/>
  <c r="T147" i="69"/>
  <c r="P147" i="69"/>
  <c r="L147" i="69"/>
  <c r="H147" i="69"/>
  <c r="N147" i="69" s="1"/>
  <c r="D147" i="69"/>
  <c r="B147" i="69"/>
  <c r="T146" i="69"/>
  <c r="P146" i="69"/>
  <c r="X146" i="69" s="1"/>
  <c r="N146" i="69"/>
  <c r="L146" i="69"/>
  <c r="H146" i="69"/>
  <c r="D146" i="69"/>
  <c r="B146" i="69"/>
  <c r="T145" i="69"/>
  <c r="P145" i="69"/>
  <c r="P144" i="69" s="1"/>
  <c r="X144" i="69" s="1"/>
  <c r="Z144" i="69" s="1"/>
  <c r="L145" i="69"/>
  <c r="H145" i="69"/>
  <c r="N145" i="69" s="1"/>
  <c r="D145" i="69"/>
  <c r="B145" i="69"/>
  <c r="T144" i="69"/>
  <c r="D144" i="69"/>
  <c r="X142" i="69"/>
  <c r="Z142" i="69" s="1"/>
  <c r="N142" i="69"/>
  <c r="L142" i="69"/>
  <c r="B142" i="69"/>
  <c r="T141" i="69"/>
  <c r="P141" i="69"/>
  <c r="X141" i="69" s="1"/>
  <c r="N141" i="69"/>
  <c r="H141" i="69"/>
  <c r="D141" i="69"/>
  <c r="L141" i="69" s="1"/>
  <c r="B141" i="69"/>
  <c r="Z140" i="69"/>
  <c r="X140" i="69"/>
  <c r="N140" i="69"/>
  <c r="L140" i="69"/>
  <c r="B140" i="69"/>
  <c r="Z139" i="69"/>
  <c r="T139" i="69"/>
  <c r="P139" i="69"/>
  <c r="X139" i="69" s="1"/>
  <c r="H139" i="69"/>
  <c r="N139" i="69" s="1"/>
  <c r="D139" i="69"/>
  <c r="L139" i="69" s="1"/>
  <c r="B139" i="69"/>
  <c r="Z138" i="69"/>
  <c r="X138" i="69"/>
  <c r="N138" i="69"/>
  <c r="L138" i="69"/>
  <c r="B138" i="69"/>
  <c r="T137" i="69"/>
  <c r="Z137" i="69" s="1"/>
  <c r="P137" i="69"/>
  <c r="X137" i="69" s="1"/>
  <c r="L137" i="69"/>
  <c r="H137" i="69"/>
  <c r="N137" i="69" s="1"/>
  <c r="D137" i="69"/>
  <c r="B137" i="69"/>
  <c r="Z136" i="69"/>
  <c r="X136" i="69"/>
  <c r="N136" i="69"/>
  <c r="L136" i="69"/>
  <c r="B136" i="69"/>
  <c r="Z135" i="69"/>
  <c r="X135" i="69"/>
  <c r="N135" i="69"/>
  <c r="L135" i="69"/>
  <c r="B135" i="69"/>
  <c r="Z134" i="69"/>
  <c r="X134" i="69"/>
  <c r="N134" i="69"/>
  <c r="L134" i="69"/>
  <c r="B134" i="69"/>
  <c r="X133" i="69"/>
  <c r="Z133" i="69" s="1"/>
  <c r="N133" i="69"/>
  <c r="L133" i="69"/>
  <c r="B133" i="69"/>
  <c r="X132" i="69"/>
  <c r="Z132" i="69" s="1"/>
  <c r="N132" i="69"/>
  <c r="L132" i="69"/>
  <c r="B132" i="69"/>
  <c r="T131" i="69"/>
  <c r="P131" i="69"/>
  <c r="X131" i="69" s="1"/>
  <c r="Z131" i="69" s="1"/>
  <c r="H131" i="69"/>
  <c r="N131" i="69" s="1"/>
  <c r="D131" i="69"/>
  <c r="L131" i="69" s="1"/>
  <c r="B131" i="69"/>
  <c r="Z130" i="69"/>
  <c r="X130" i="69"/>
  <c r="N130" i="69"/>
  <c r="L130" i="69"/>
  <c r="B130" i="69"/>
  <c r="X129" i="69"/>
  <c r="Z129" i="69" s="1"/>
  <c r="L129" i="69"/>
  <c r="N129" i="69" s="1"/>
  <c r="B129" i="69"/>
  <c r="X128" i="69"/>
  <c r="Z128" i="69" s="1"/>
  <c r="T128" i="69"/>
  <c r="P128" i="69"/>
  <c r="H128" i="69"/>
  <c r="L128" i="69" s="1"/>
  <c r="N128" i="69" s="1"/>
  <c r="D128" i="69"/>
  <c r="B128" i="69"/>
  <c r="Z127" i="69"/>
  <c r="X127" i="69"/>
  <c r="N127" i="69"/>
  <c r="L127" i="69"/>
  <c r="B127" i="69"/>
  <c r="Z126" i="69"/>
  <c r="X126" i="69"/>
  <c r="N126" i="69"/>
  <c r="L126" i="69"/>
  <c r="B126" i="69"/>
  <c r="T125" i="69"/>
  <c r="Z125" i="69" s="1"/>
  <c r="P125" i="69"/>
  <c r="X125" i="69" s="1"/>
  <c r="N125" i="69"/>
  <c r="L125" i="69"/>
  <c r="H125" i="69"/>
  <c r="D125" i="69"/>
  <c r="B125" i="69"/>
  <c r="Z124" i="69"/>
  <c r="X124" i="69"/>
  <c r="N124" i="69"/>
  <c r="L124" i="69"/>
  <c r="B124" i="69"/>
  <c r="Z123" i="69"/>
  <c r="X123" i="69"/>
  <c r="N123" i="69"/>
  <c r="L123" i="69"/>
  <c r="B123" i="69"/>
  <c r="Z122" i="69"/>
  <c r="T122" i="69"/>
  <c r="P122" i="69"/>
  <c r="X122" i="69" s="1"/>
  <c r="N122" i="69"/>
  <c r="H122" i="69"/>
  <c r="D122" i="69"/>
  <c r="L122" i="69" s="1"/>
  <c r="B122" i="69"/>
  <c r="Z121" i="69"/>
  <c r="X121" i="69"/>
  <c r="N121" i="69"/>
  <c r="L121" i="69"/>
  <c r="B121" i="69"/>
  <c r="Z120" i="69"/>
  <c r="T120" i="69"/>
  <c r="P120" i="69"/>
  <c r="X120" i="69" s="1"/>
  <c r="H120" i="69"/>
  <c r="L120" i="69" s="1"/>
  <c r="D120" i="69"/>
  <c r="B120" i="69"/>
  <c r="Z119" i="69"/>
  <c r="X119" i="69"/>
  <c r="N119" i="69"/>
  <c r="L119" i="69"/>
  <c r="B119" i="69"/>
  <c r="X118" i="69"/>
  <c r="Z118" i="69" s="1"/>
  <c r="N118" i="69"/>
  <c r="L118" i="69"/>
  <c r="B118" i="69"/>
  <c r="T117" i="69"/>
  <c r="P117" i="69"/>
  <c r="H117" i="69"/>
  <c r="D117" i="69"/>
  <c r="L117" i="69" s="1"/>
  <c r="N117" i="69" s="1"/>
  <c r="B117" i="69"/>
  <c r="Z116" i="69"/>
  <c r="X116" i="69"/>
  <c r="N116" i="69"/>
  <c r="L116" i="69"/>
  <c r="B116" i="69"/>
  <c r="Z115" i="69"/>
  <c r="T115" i="69"/>
  <c r="P115" i="69"/>
  <c r="X115" i="69" s="1"/>
  <c r="H115" i="69"/>
  <c r="N115" i="69" s="1"/>
  <c r="D115" i="69"/>
  <c r="L115" i="69" s="1"/>
  <c r="B115" i="69"/>
  <c r="Z114" i="69"/>
  <c r="X114" i="69"/>
  <c r="N114" i="69"/>
  <c r="L114" i="69"/>
  <c r="B114" i="69"/>
  <c r="X113" i="69"/>
  <c r="Z113" i="69" s="1"/>
  <c r="L113" i="69"/>
  <c r="N113" i="69" s="1"/>
  <c r="B113" i="69"/>
  <c r="X112" i="69"/>
  <c r="T112" i="69"/>
  <c r="Z112" i="69" s="1"/>
  <c r="P112" i="69"/>
  <c r="H112" i="69"/>
  <c r="D112" i="69"/>
  <c r="L112" i="69" s="1"/>
  <c r="N112" i="69" s="1"/>
  <c r="B112" i="69"/>
  <c r="Z111" i="69"/>
  <c r="X111" i="69"/>
  <c r="N111" i="69"/>
  <c r="L111" i="69"/>
  <c r="B111" i="69"/>
  <c r="Z110" i="69"/>
  <c r="T110" i="69"/>
  <c r="P110" i="69"/>
  <c r="X110" i="69" s="1"/>
  <c r="N110" i="69"/>
  <c r="H110" i="69"/>
  <c r="D110" i="69"/>
  <c r="L110" i="69" s="1"/>
  <c r="B110" i="69"/>
  <c r="Z109" i="69"/>
  <c r="X109" i="69"/>
  <c r="N109" i="69"/>
  <c r="L109" i="69"/>
  <c r="B109" i="69"/>
  <c r="Z108" i="69"/>
  <c r="T108" i="69"/>
  <c r="P108" i="69"/>
  <c r="X108" i="69" s="1"/>
  <c r="H108" i="69"/>
  <c r="L108" i="69" s="1"/>
  <c r="D108" i="69"/>
  <c r="B108" i="69"/>
  <c r="Z107" i="69"/>
  <c r="X107" i="69"/>
  <c r="N107" i="69"/>
  <c r="L107" i="69"/>
  <c r="B107" i="69"/>
  <c r="Z106" i="69"/>
  <c r="X106" i="69"/>
  <c r="N106" i="69"/>
  <c r="L106" i="69"/>
  <c r="B106" i="69"/>
  <c r="T105" i="69"/>
  <c r="Z105" i="69" s="1"/>
  <c r="P105" i="69"/>
  <c r="X105" i="69" s="1"/>
  <c r="N105" i="69"/>
  <c r="H105" i="69"/>
  <c r="D105" i="69"/>
  <c r="L105" i="69" s="1"/>
  <c r="B105" i="69"/>
  <c r="X104" i="69"/>
  <c r="Z104" i="69" s="1"/>
  <c r="L104" i="69"/>
  <c r="N104" i="69" s="1"/>
  <c r="B104" i="69"/>
  <c r="T103" i="69"/>
  <c r="P103" i="69"/>
  <c r="X103" i="69" s="1"/>
  <c r="Z103" i="69" s="1"/>
  <c r="L103" i="69"/>
  <c r="H103" i="69"/>
  <c r="N103" i="69" s="1"/>
  <c r="D103" i="69"/>
  <c r="B103" i="69"/>
  <c r="Z102" i="69"/>
  <c r="X102" i="69"/>
  <c r="N102" i="69"/>
  <c r="L102" i="69"/>
  <c r="B102" i="69"/>
  <c r="X101" i="69"/>
  <c r="Z101" i="69" s="1"/>
  <c r="L101" i="69"/>
  <c r="N101" i="69" s="1"/>
  <c r="B101" i="69"/>
  <c r="X100" i="69"/>
  <c r="Z100" i="69" s="1"/>
  <c r="L100" i="69"/>
  <c r="N100" i="69" s="1"/>
  <c r="B100" i="69"/>
  <c r="Z99" i="69"/>
  <c r="X99" i="69"/>
  <c r="L99" i="69"/>
  <c r="N99" i="69" s="1"/>
  <c r="B99" i="69"/>
  <c r="Z98" i="69"/>
  <c r="X98" i="69"/>
  <c r="N98" i="69"/>
  <c r="L98" i="69"/>
  <c r="B98" i="69"/>
  <c r="X97" i="69"/>
  <c r="Z97" i="69" s="1"/>
  <c r="L97" i="69"/>
  <c r="N97" i="69" s="1"/>
  <c r="B97" i="69"/>
  <c r="T96" i="69"/>
  <c r="P96" i="69"/>
  <c r="X96" i="69" s="1"/>
  <c r="H96" i="69"/>
  <c r="D96" i="69"/>
  <c r="L96" i="69" s="1"/>
  <c r="B96" i="69"/>
  <c r="Z95" i="69"/>
  <c r="X95" i="69"/>
  <c r="L95" i="69"/>
  <c r="N95" i="69" s="1"/>
  <c r="B95" i="69"/>
  <c r="Z94" i="69"/>
  <c r="X94" i="69"/>
  <c r="N94" i="69"/>
  <c r="L94" i="69"/>
  <c r="B94" i="69"/>
  <c r="X93" i="69"/>
  <c r="Z93" i="69" s="1"/>
  <c r="L93" i="69"/>
  <c r="N93" i="69" s="1"/>
  <c r="B93" i="69"/>
  <c r="X92" i="69"/>
  <c r="Z92" i="69" s="1"/>
  <c r="L92" i="69"/>
  <c r="N92" i="69" s="1"/>
  <c r="B92" i="69"/>
  <c r="X91" i="69"/>
  <c r="Z91" i="69" s="1"/>
  <c r="N91" i="69"/>
  <c r="L91" i="69"/>
  <c r="B91" i="69"/>
  <c r="Z90" i="69"/>
  <c r="X90" i="69"/>
  <c r="N90" i="69"/>
  <c r="L90" i="69"/>
  <c r="B90" i="69"/>
  <c r="X89" i="69"/>
  <c r="Z89" i="69" s="1"/>
  <c r="L89" i="69"/>
  <c r="N89" i="69" s="1"/>
  <c r="B89" i="69"/>
  <c r="X88" i="69"/>
  <c r="Z88" i="69" s="1"/>
  <c r="L88" i="69"/>
  <c r="N88" i="69" s="1"/>
  <c r="B88" i="69"/>
  <c r="T87" i="69"/>
  <c r="P87" i="69"/>
  <c r="X87" i="69" s="1"/>
  <c r="Z87" i="69" s="1"/>
  <c r="H87" i="69"/>
  <c r="N87" i="69" s="1"/>
  <c r="D87" i="69"/>
  <c r="L87" i="69" s="1"/>
  <c r="B87" i="69"/>
  <c r="T86" i="69" a="1"/>
  <c r="T86" i="69" s="1"/>
  <c r="P86" i="69" a="1"/>
  <c r="P86" i="69" s="1"/>
  <c r="X86" i="69" s="1"/>
  <c r="H86" i="69" a="1"/>
  <c r="H86" i="69" s="1"/>
  <c r="D86" i="69" a="1"/>
  <c r="D86" i="69" s="1"/>
  <c r="L86" i="69" s="1"/>
  <c r="X82" i="69"/>
  <c r="Z82" i="69" s="1"/>
  <c r="N82" i="69"/>
  <c r="L82" i="69"/>
  <c r="B82" i="69"/>
  <c r="Z81" i="69"/>
  <c r="X81" i="69"/>
  <c r="N81" i="69"/>
  <c r="L81" i="69"/>
  <c r="B81" i="69"/>
  <c r="Z80" i="69"/>
  <c r="X80" i="69"/>
  <c r="N80" i="69"/>
  <c r="L80" i="69"/>
  <c r="B80" i="69"/>
  <c r="X79" i="69"/>
  <c r="Z79" i="69" s="1"/>
  <c r="N79" i="69"/>
  <c r="L79" i="69"/>
  <c r="B79" i="69"/>
  <c r="Z78" i="69"/>
  <c r="X78" i="69"/>
  <c r="N78" i="69"/>
  <c r="L78" i="69"/>
  <c r="B78" i="69"/>
  <c r="X77" i="69"/>
  <c r="Z77" i="69" s="1"/>
  <c r="L77" i="69"/>
  <c r="N77" i="69" s="1"/>
  <c r="B77" i="69"/>
  <c r="X76" i="69"/>
  <c r="Z76" i="69" s="1"/>
  <c r="N76" i="69"/>
  <c r="L76" i="69"/>
  <c r="B76" i="69"/>
  <c r="Z75" i="69"/>
  <c r="X75" i="69"/>
  <c r="N75" i="69"/>
  <c r="L75" i="69"/>
  <c r="B75" i="69"/>
  <c r="Z74" i="69"/>
  <c r="X74" i="69"/>
  <c r="N74" i="69"/>
  <c r="L74" i="69"/>
  <c r="B74" i="69"/>
  <c r="X73" i="69"/>
  <c r="Z73" i="69" s="1"/>
  <c r="N73" i="69"/>
  <c r="L73" i="69"/>
  <c r="B73" i="69"/>
  <c r="Z72" i="69"/>
  <c r="X72" i="69"/>
  <c r="N72" i="69"/>
  <c r="L72" i="69"/>
  <c r="B72" i="69"/>
  <c r="X71" i="69"/>
  <c r="Z71" i="69" s="1"/>
  <c r="N71" i="69"/>
  <c r="L71" i="69"/>
  <c r="B71" i="69"/>
  <c r="Z70" i="69"/>
  <c r="X70" i="69"/>
  <c r="L70" i="69"/>
  <c r="N70" i="69" s="1"/>
  <c r="B70" i="69"/>
  <c r="X69" i="69"/>
  <c r="Z69" i="69" s="1"/>
  <c r="L69" i="69"/>
  <c r="N69" i="69" s="1"/>
  <c r="B69" i="69"/>
  <c r="X68" i="69"/>
  <c r="Z68" i="69" s="1"/>
  <c r="N68" i="69"/>
  <c r="L68" i="69"/>
  <c r="B68" i="69"/>
  <c r="Z67" i="69"/>
  <c r="X67" i="69"/>
  <c r="L67" i="69"/>
  <c r="N67" i="69" s="1"/>
  <c r="B67" i="69"/>
  <c r="X66" i="69"/>
  <c r="Z66" i="69" s="1"/>
  <c r="N66" i="69"/>
  <c r="L66" i="69"/>
  <c r="B66" i="69"/>
  <c r="X65" i="69"/>
  <c r="Z65" i="69" s="1"/>
  <c r="L65" i="69"/>
  <c r="N65" i="69" s="1"/>
  <c r="B65" i="69"/>
  <c r="Z64" i="69"/>
  <c r="X64" i="69"/>
  <c r="L64" i="69"/>
  <c r="N64" i="69" s="1"/>
  <c r="B64" i="69"/>
  <c r="X63" i="69"/>
  <c r="Z63" i="69" s="1"/>
  <c r="N63" i="69"/>
  <c r="L63" i="69"/>
  <c r="B63" i="69"/>
  <c r="Z62" i="69"/>
  <c r="X62" i="69"/>
  <c r="L62" i="69"/>
  <c r="N62" i="69" s="1"/>
  <c r="B62" i="69"/>
  <c r="X61" i="69"/>
  <c r="Z61" i="69" s="1"/>
  <c r="L61" i="69"/>
  <c r="N61" i="69" s="1"/>
  <c r="B61" i="69"/>
  <c r="X60" i="69"/>
  <c r="Z60" i="69" s="1"/>
  <c r="N60" i="69"/>
  <c r="L60" i="69"/>
  <c r="B60" i="69"/>
  <c r="Z59" i="69"/>
  <c r="X59" i="69"/>
  <c r="N59" i="69"/>
  <c r="L59" i="69"/>
  <c r="B59" i="69"/>
  <c r="Z58" i="69"/>
  <c r="X58" i="69"/>
  <c r="N58" i="69"/>
  <c r="L58" i="69"/>
  <c r="B58" i="69"/>
  <c r="T57" i="69"/>
  <c r="P57" i="69"/>
  <c r="H57" i="69"/>
  <c r="D57" i="69"/>
  <c r="L57" i="69" s="1"/>
  <c r="T55" i="69"/>
  <c r="Z55" i="69" s="1"/>
  <c r="P55" i="69"/>
  <c r="N55" i="69"/>
  <c r="H55" i="69"/>
  <c r="D55" i="69"/>
  <c r="L55" i="69" s="1"/>
  <c r="B55" i="69"/>
  <c r="X54" i="69"/>
  <c r="Z54" i="69" s="1"/>
  <c r="T54" i="69"/>
  <c r="P54" i="69"/>
  <c r="H54" i="69"/>
  <c r="N54" i="69" s="1"/>
  <c r="D54" i="69"/>
  <c r="L54" i="69" s="1"/>
  <c r="B54" i="69"/>
  <c r="T53" i="69"/>
  <c r="P53" i="69"/>
  <c r="X53" i="69" s="1"/>
  <c r="Z53" i="69" s="1"/>
  <c r="L53" i="69"/>
  <c r="H53" i="69"/>
  <c r="N53" i="69" s="1"/>
  <c r="D53" i="69"/>
  <c r="B53" i="69"/>
  <c r="T52" i="69"/>
  <c r="P52" i="69"/>
  <c r="X52" i="69" s="1"/>
  <c r="H52" i="69"/>
  <c r="D52" i="69"/>
  <c r="L52" i="69" s="1"/>
  <c r="N52" i="69" s="1"/>
  <c r="B52" i="69"/>
  <c r="T51" i="69"/>
  <c r="Z51" i="69" s="1"/>
  <c r="P51" i="69"/>
  <c r="X51" i="69" s="1"/>
  <c r="H51" i="69"/>
  <c r="D51" i="69"/>
  <c r="B51" i="69"/>
  <c r="T50" i="69"/>
  <c r="Z50" i="69" s="1"/>
  <c r="P50" i="69"/>
  <c r="X50" i="69" s="1"/>
  <c r="N50" i="69"/>
  <c r="L50" i="69"/>
  <c r="H50" i="69"/>
  <c r="D50" i="69"/>
  <c r="B50" i="69"/>
  <c r="X49" i="69"/>
  <c r="T49" i="69"/>
  <c r="Z49" i="69" s="1"/>
  <c r="P49" i="69"/>
  <c r="H49" i="69"/>
  <c r="D49" i="69"/>
  <c r="L49" i="69" s="1"/>
  <c r="N49" i="69" s="1"/>
  <c r="B49" i="69"/>
  <c r="T48" i="69"/>
  <c r="P48" i="69"/>
  <c r="X48" i="69" s="1"/>
  <c r="Z48" i="69" s="1"/>
  <c r="H48" i="69"/>
  <c r="D48" i="69"/>
  <c r="L48" i="69" s="1"/>
  <c r="B48" i="69"/>
  <c r="T47" i="69"/>
  <c r="P47" i="69"/>
  <c r="H47" i="69"/>
  <c r="D47" i="69"/>
  <c r="L47" i="69" s="1"/>
  <c r="B47" i="69"/>
  <c r="X46" i="69"/>
  <c r="Z46" i="69" s="1"/>
  <c r="T46" i="69"/>
  <c r="P46" i="69"/>
  <c r="H46" i="69"/>
  <c r="D46" i="69"/>
  <c r="L46" i="69" s="1"/>
  <c r="B46" i="69"/>
  <c r="T45" i="69"/>
  <c r="P45" i="69"/>
  <c r="X45" i="69" s="1"/>
  <c r="Z45" i="69" s="1"/>
  <c r="L45" i="69"/>
  <c r="H45" i="69"/>
  <c r="N45" i="69" s="1"/>
  <c r="D45" i="69"/>
  <c r="B45" i="69"/>
  <c r="T44" i="69"/>
  <c r="Z44" i="69" s="1"/>
  <c r="P44" i="69"/>
  <c r="X44" i="69" s="1"/>
  <c r="H44" i="69"/>
  <c r="D44" i="69"/>
  <c r="L44" i="69" s="1"/>
  <c r="N44" i="69" s="1"/>
  <c r="B44" i="69"/>
  <c r="T43" i="69"/>
  <c r="Z43" i="69" s="1"/>
  <c r="P43" i="69"/>
  <c r="X43" i="69" s="1"/>
  <c r="H43" i="69"/>
  <c r="N43" i="69" s="1"/>
  <c r="D43" i="69"/>
  <c r="B43" i="69"/>
  <c r="T42" i="69"/>
  <c r="P42" i="69"/>
  <c r="X42" i="69" s="1"/>
  <c r="L42" i="69"/>
  <c r="N42" i="69" s="1"/>
  <c r="H42" i="69"/>
  <c r="D42" i="69"/>
  <c r="B42" i="69"/>
  <c r="X41" i="69"/>
  <c r="Z41" i="69" s="1"/>
  <c r="T41" i="69"/>
  <c r="P41" i="69"/>
  <c r="N41" i="69"/>
  <c r="H41" i="69"/>
  <c r="D41" i="69"/>
  <c r="L41" i="69" s="1"/>
  <c r="B41" i="69"/>
  <c r="Z40" i="69"/>
  <c r="T40" i="69"/>
  <c r="P40" i="69"/>
  <c r="X40" i="69" s="1"/>
  <c r="H40" i="69"/>
  <c r="N40" i="69" s="1"/>
  <c r="D40" i="69"/>
  <c r="L40" i="69" s="1"/>
  <c r="B40" i="69"/>
  <c r="T39" i="69"/>
  <c r="P39" i="69"/>
  <c r="H39" i="69"/>
  <c r="N39" i="69" s="1"/>
  <c r="D39" i="69"/>
  <c r="L39" i="69" s="1"/>
  <c r="B39" i="69"/>
  <c r="X38" i="69"/>
  <c r="Z38" i="69" s="1"/>
  <c r="T38" i="69"/>
  <c r="P38" i="69"/>
  <c r="H38" i="69"/>
  <c r="D38" i="69"/>
  <c r="B38" i="69"/>
  <c r="T37" i="69"/>
  <c r="P37" i="69"/>
  <c r="X37" i="69" s="1"/>
  <c r="Z37" i="69" s="1"/>
  <c r="L37" i="69"/>
  <c r="N37" i="69" s="1"/>
  <c r="H37" i="69"/>
  <c r="D37" i="69"/>
  <c r="B37" i="69"/>
  <c r="T36" i="69"/>
  <c r="P36" i="69"/>
  <c r="X36" i="69" s="1"/>
  <c r="H36" i="69"/>
  <c r="D36" i="69"/>
  <c r="L36" i="69" s="1"/>
  <c r="N36" i="69" s="1"/>
  <c r="B36" i="69"/>
  <c r="T35" i="69"/>
  <c r="Z35" i="69" s="1"/>
  <c r="P35" i="69"/>
  <c r="X35" i="69" s="1"/>
  <c r="H35" i="69"/>
  <c r="D35" i="69"/>
  <c r="B35" i="69"/>
  <c r="T34" i="69"/>
  <c r="P34" i="69"/>
  <c r="L34" i="69"/>
  <c r="N34" i="69" s="1"/>
  <c r="H34" i="69"/>
  <c r="D34" i="69"/>
  <c r="B34" i="69"/>
  <c r="X33" i="69"/>
  <c r="Z33" i="69" s="1"/>
  <c r="T33" i="69"/>
  <c r="P33" i="69"/>
  <c r="N33" i="69"/>
  <c r="H33" i="69"/>
  <c r="D33" i="69"/>
  <c r="L33" i="69" s="1"/>
  <c r="B33" i="69"/>
  <c r="T32" i="69"/>
  <c r="P32" i="69"/>
  <c r="X32" i="69" s="1"/>
  <c r="Z32" i="69" s="1"/>
  <c r="H32" i="69"/>
  <c r="N32" i="69" s="1"/>
  <c r="D32" i="69"/>
  <c r="L32" i="69" s="1"/>
  <c r="B32" i="69"/>
  <c r="T31" i="69"/>
  <c r="P31" i="69"/>
  <c r="H31" i="69"/>
  <c r="N31" i="69" s="1"/>
  <c r="D31" i="69"/>
  <c r="L31" i="69" s="1"/>
  <c r="B31" i="69"/>
  <c r="X30" i="69"/>
  <c r="Z30" i="69" s="1"/>
  <c r="T30" i="69"/>
  <c r="P30" i="69"/>
  <c r="H30" i="69"/>
  <c r="N30" i="69" s="1"/>
  <c r="D30" i="69"/>
  <c r="B30" i="69"/>
  <c r="T29" i="69"/>
  <c r="P29" i="69"/>
  <c r="X29" i="69" s="1"/>
  <c r="Z29" i="69" s="1"/>
  <c r="L29" i="69"/>
  <c r="N29" i="69" s="1"/>
  <c r="H29" i="69"/>
  <c r="D29" i="69"/>
  <c r="B29" i="69"/>
  <c r="T28" i="69"/>
  <c r="P28" i="69"/>
  <c r="X28" i="69" s="1"/>
  <c r="H28" i="69"/>
  <c r="D28" i="69"/>
  <c r="L28" i="69" s="1"/>
  <c r="N28" i="69" s="1"/>
  <c r="B28" i="69"/>
  <c r="T27" i="69"/>
  <c r="Z27" i="69" s="1"/>
  <c r="P27" i="69"/>
  <c r="X27" i="69" s="1"/>
  <c r="H27" i="69"/>
  <c r="D27" i="69"/>
  <c r="B27" i="69"/>
  <c r="T26" i="69"/>
  <c r="P26" i="69"/>
  <c r="X26" i="69" s="1"/>
  <c r="N26" i="69"/>
  <c r="L26" i="69"/>
  <c r="H26" i="69"/>
  <c r="D26" i="69"/>
  <c r="B26" i="69"/>
  <c r="Z25" i="69"/>
  <c r="X25" i="69"/>
  <c r="T25" i="69"/>
  <c r="P25" i="69"/>
  <c r="N25" i="69"/>
  <c r="H25" i="69"/>
  <c r="D25" i="69"/>
  <c r="L25" i="69" s="1"/>
  <c r="B25" i="69"/>
  <c r="T24" i="69"/>
  <c r="P24" i="69"/>
  <c r="X24" i="69" s="1"/>
  <c r="Z24" i="69" s="1"/>
  <c r="H24" i="69"/>
  <c r="N24" i="69" s="1"/>
  <c r="D24" i="69"/>
  <c r="L24" i="69" s="1"/>
  <c r="B24" i="69"/>
  <c r="T23" i="69"/>
  <c r="P23" i="69"/>
  <c r="H23" i="69"/>
  <c r="N23" i="69" s="1"/>
  <c r="D23" i="69"/>
  <c r="L23" i="69" s="1"/>
  <c r="B23" i="69"/>
  <c r="X22" i="69"/>
  <c r="Z22" i="69" s="1"/>
  <c r="T22" i="69"/>
  <c r="P22" i="69"/>
  <c r="H22" i="69"/>
  <c r="D22" i="69"/>
  <c r="L22" i="69" s="1"/>
  <c r="B22" i="69"/>
  <c r="T21" i="69"/>
  <c r="P21" i="69"/>
  <c r="X21" i="69" s="1"/>
  <c r="Z21" i="69" s="1"/>
  <c r="L21" i="69"/>
  <c r="N21" i="69" s="1"/>
  <c r="H21" i="69"/>
  <c r="D21" i="69"/>
  <c r="B21" i="69"/>
  <c r="T20" i="69"/>
  <c r="Z20" i="69" s="1"/>
  <c r="P20" i="69"/>
  <c r="X20" i="69" s="1"/>
  <c r="H20" i="69"/>
  <c r="D20" i="69"/>
  <c r="L20" i="69" s="1"/>
  <c r="N20" i="69" s="1"/>
  <c r="B20" i="69"/>
  <c r="T19" i="69"/>
  <c r="Z19" i="69" s="1"/>
  <c r="P19" i="69"/>
  <c r="X19" i="69" s="1"/>
  <c r="H19" i="69"/>
  <c r="D19" i="69"/>
  <c r="B19" i="69"/>
  <c r="T18" i="69"/>
  <c r="P18" i="69"/>
  <c r="N18" i="69"/>
  <c r="L18" i="69"/>
  <c r="H18" i="69"/>
  <c r="D18" i="69"/>
  <c r="B18" i="69"/>
  <c r="X17" i="69"/>
  <c r="Z17" i="69" s="1"/>
  <c r="T17" i="69"/>
  <c r="P17" i="69"/>
  <c r="H17" i="69"/>
  <c r="D17" i="69"/>
  <c r="L17" i="69" s="1"/>
  <c r="N17" i="69" s="1"/>
  <c r="B17" i="69"/>
  <c r="T16" i="69"/>
  <c r="P16" i="69"/>
  <c r="X16" i="69" s="1"/>
  <c r="Z16" i="69" s="1"/>
  <c r="H16" i="69"/>
  <c r="N16" i="69" s="1"/>
  <c r="D16" i="69"/>
  <c r="L16" i="69" s="1"/>
  <c r="B16" i="69"/>
  <c r="T15" i="69"/>
  <c r="T12" i="69" s="1"/>
  <c r="P15" i="69"/>
  <c r="H15" i="69"/>
  <c r="D15" i="69"/>
  <c r="B15" i="69"/>
  <c r="X14" i="69"/>
  <c r="Z14" i="69" s="1"/>
  <c r="T14" i="69"/>
  <c r="P14" i="69"/>
  <c r="H14" i="69"/>
  <c r="D14" i="69"/>
  <c r="B14" i="69"/>
  <c r="T13" i="69"/>
  <c r="P13" i="69"/>
  <c r="P12" i="69" s="1"/>
  <c r="L13" i="69"/>
  <c r="N13" i="69" s="1"/>
  <c r="H13" i="69"/>
  <c r="D13" i="69"/>
  <c r="B13" i="69"/>
  <c r="D6" i="69"/>
  <c r="D4" i="69"/>
  <c r="Z52" i="67"/>
  <c r="X52" i="67"/>
  <c r="N52" i="67"/>
  <c r="L52" i="67"/>
  <c r="T48" i="67"/>
  <c r="Z48" i="67" s="1"/>
  <c r="P48" i="67"/>
  <c r="X48" i="67" s="1"/>
  <c r="N48" i="67"/>
  <c r="L48" i="67"/>
  <c r="H48" i="67"/>
  <c r="D48" i="67"/>
  <c r="X46" i="67"/>
  <c r="Z46" i="67" s="1"/>
  <c r="L46" i="67"/>
  <c r="N46" i="67" s="1"/>
  <c r="B46" i="67"/>
  <c r="T45" i="67"/>
  <c r="P45" i="67"/>
  <c r="L45" i="67"/>
  <c r="N45" i="67" s="1"/>
  <c r="H45" i="67"/>
  <c r="D45" i="67"/>
  <c r="B45" i="67"/>
  <c r="Z44" i="67"/>
  <c r="X44" i="67"/>
  <c r="N44" i="67"/>
  <c r="L44" i="67"/>
  <c r="B44" i="67"/>
  <c r="Z43" i="67"/>
  <c r="X43" i="67"/>
  <c r="T43" i="67"/>
  <c r="P43" i="67"/>
  <c r="H43" i="67"/>
  <c r="N43" i="67" s="1"/>
  <c r="D43" i="67"/>
  <c r="L43" i="67" s="1"/>
  <c r="B43" i="67"/>
  <c r="Z42" i="67"/>
  <c r="X42" i="67"/>
  <c r="N42" i="67"/>
  <c r="L42" i="67"/>
  <c r="B42" i="67"/>
  <c r="T41" i="67"/>
  <c r="P41" i="67"/>
  <c r="X41" i="67" s="1"/>
  <c r="N41" i="67"/>
  <c r="H41" i="67"/>
  <c r="D41" i="67"/>
  <c r="L41" i="67" s="1"/>
  <c r="B41" i="67"/>
  <c r="X40" i="67"/>
  <c r="Z40" i="67" s="1"/>
  <c r="N40" i="67"/>
  <c r="L40" i="67"/>
  <c r="B40" i="67"/>
  <c r="T39" i="67"/>
  <c r="P39" i="67"/>
  <c r="X39" i="67" s="1"/>
  <c r="Z39" i="67" s="1"/>
  <c r="H39" i="67"/>
  <c r="N39" i="67" s="1"/>
  <c r="D39" i="67"/>
  <c r="B39" i="67"/>
  <c r="Z38" i="67"/>
  <c r="X38" i="67"/>
  <c r="N38" i="67"/>
  <c r="L38" i="67"/>
  <c r="B38" i="67"/>
  <c r="T37" i="67"/>
  <c r="P37" i="67"/>
  <c r="L37" i="67"/>
  <c r="H37" i="67"/>
  <c r="N37" i="67" s="1"/>
  <c r="D37" i="67"/>
  <c r="B37" i="67"/>
  <c r="X36" i="67"/>
  <c r="Z36" i="67" s="1"/>
  <c r="N36" i="67"/>
  <c r="L36" i="67"/>
  <c r="B36" i="67"/>
  <c r="X35" i="67"/>
  <c r="T35" i="67"/>
  <c r="Z35" i="67" s="1"/>
  <c r="P35" i="67"/>
  <c r="H35" i="67"/>
  <c r="N35" i="67" s="1"/>
  <c r="D35" i="67"/>
  <c r="L35" i="67" s="1"/>
  <c r="B35" i="67"/>
  <c r="Z34" i="67"/>
  <c r="X34" i="67"/>
  <c r="N34" i="67"/>
  <c r="L34" i="67"/>
  <c r="B34" i="67"/>
  <c r="T33" i="67"/>
  <c r="Z33" i="67" s="1"/>
  <c r="P33" i="67"/>
  <c r="X33" i="67" s="1"/>
  <c r="N33" i="67"/>
  <c r="H33" i="67"/>
  <c r="D33" i="67"/>
  <c r="L33" i="67" s="1"/>
  <c r="B33" i="67"/>
  <c r="X32" i="67"/>
  <c r="Z32" i="67" s="1"/>
  <c r="N32" i="67"/>
  <c r="L32" i="67"/>
  <c r="B32" i="67"/>
  <c r="X31" i="67"/>
  <c r="Z31" i="67" s="1"/>
  <c r="N31" i="67"/>
  <c r="L31" i="67"/>
  <c r="B31" i="67"/>
  <c r="Z30" i="67"/>
  <c r="X30" i="67"/>
  <c r="N30" i="67"/>
  <c r="L30" i="67"/>
  <c r="B30" i="67"/>
  <c r="X29" i="67"/>
  <c r="Z29" i="67" s="1"/>
  <c r="N29" i="67"/>
  <c r="L29" i="67"/>
  <c r="B29" i="67"/>
  <c r="X28" i="67"/>
  <c r="Z28" i="67" s="1"/>
  <c r="N28" i="67"/>
  <c r="L28" i="67"/>
  <c r="B28" i="67"/>
  <c r="X27" i="67"/>
  <c r="Z27" i="67" s="1"/>
  <c r="N27" i="67"/>
  <c r="L27" i="67"/>
  <c r="B27" i="67"/>
  <c r="Z26" i="67"/>
  <c r="X26" i="67"/>
  <c r="N26" i="67"/>
  <c r="L26" i="67"/>
  <c r="B26" i="67"/>
  <c r="X25" i="67"/>
  <c r="Z25" i="67" s="1"/>
  <c r="N25" i="67"/>
  <c r="L25" i="67"/>
  <c r="B25" i="67"/>
  <c r="X24" i="67"/>
  <c r="Z24" i="67" s="1"/>
  <c r="T24" i="67"/>
  <c r="P24" i="67"/>
  <c r="N24" i="67"/>
  <c r="H24" i="67"/>
  <c r="D24" i="67"/>
  <c r="L24" i="67" s="1"/>
  <c r="B24" i="67"/>
  <c r="T23" i="67" a="1"/>
  <c r="T23" i="67" s="1"/>
  <c r="P23" i="67" a="1"/>
  <c r="P23" i="67" s="1"/>
  <c r="X23" i="67" s="1"/>
  <c r="H23" i="67" a="1"/>
  <c r="H23" i="67" s="1"/>
  <c r="D23" i="67" a="1"/>
  <c r="D23" i="67" s="1"/>
  <c r="L23" i="67" s="1"/>
  <c r="Z19" i="67"/>
  <c r="X19" i="67"/>
  <c r="N19" i="67"/>
  <c r="L19" i="67"/>
  <c r="B19" i="67"/>
  <c r="X18" i="67"/>
  <c r="Z18" i="67" s="1"/>
  <c r="T18" i="67"/>
  <c r="P18" i="67"/>
  <c r="N18" i="67"/>
  <c r="H18" i="67"/>
  <c r="L18" i="67" s="1"/>
  <c r="D18" i="67"/>
  <c r="T16" i="67"/>
  <c r="Z16" i="67" s="1"/>
  <c r="P16" i="67"/>
  <c r="X16" i="67" s="1"/>
  <c r="N16" i="67"/>
  <c r="L16" i="67"/>
  <c r="H16" i="67"/>
  <c r="D16" i="67"/>
  <c r="B16" i="67"/>
  <c r="X15" i="67"/>
  <c r="T15" i="67"/>
  <c r="Z15" i="67" s="1"/>
  <c r="P15" i="67"/>
  <c r="N15" i="67"/>
  <c r="H15" i="67"/>
  <c r="D15" i="67"/>
  <c r="L15" i="67" s="1"/>
  <c r="B15" i="67"/>
  <c r="Z14" i="67"/>
  <c r="T14" i="67"/>
  <c r="P14" i="67"/>
  <c r="X14" i="67" s="1"/>
  <c r="H14" i="67"/>
  <c r="N14" i="67" s="1"/>
  <c r="D14" i="67"/>
  <c r="B14" i="67"/>
  <c r="T13" i="67"/>
  <c r="Z13" i="67" s="1"/>
  <c r="P13" i="67"/>
  <c r="N13" i="67"/>
  <c r="H13" i="67"/>
  <c r="D13" i="67"/>
  <c r="L13" i="67" s="1"/>
  <c r="B13" i="67"/>
  <c r="H12" i="67"/>
  <c r="J52" i="67" s="1"/>
  <c r="D6" i="67"/>
  <c r="D4" i="67"/>
  <c r="X121" i="66"/>
  <c r="Z121" i="66" s="1"/>
  <c r="N121" i="66"/>
  <c r="L121" i="66"/>
  <c r="T117" i="66"/>
  <c r="X117" i="66" s="1"/>
  <c r="Z117" i="66" s="1"/>
  <c r="P117" i="66"/>
  <c r="H117" i="66"/>
  <c r="N117" i="66" s="1"/>
  <c r="D117" i="66"/>
  <c r="L117" i="66" s="1"/>
  <c r="B117" i="66"/>
  <c r="T116" i="66"/>
  <c r="X116" i="66" s="1"/>
  <c r="P116" i="66"/>
  <c r="N116" i="66"/>
  <c r="H116" i="66"/>
  <c r="D116" i="66"/>
  <c r="D114" i="66" s="1"/>
  <c r="L114" i="66" s="1"/>
  <c r="B116" i="66"/>
  <c r="X115" i="66"/>
  <c r="Z115" i="66" s="1"/>
  <c r="T115" i="66"/>
  <c r="P115" i="66"/>
  <c r="H115" i="66"/>
  <c r="L115" i="66" s="1"/>
  <c r="N115" i="66" s="1"/>
  <c r="D115" i="66"/>
  <c r="B115" i="66"/>
  <c r="P114" i="66"/>
  <c r="H114" i="66"/>
  <c r="N114" i="66" s="1"/>
  <c r="Z112" i="66"/>
  <c r="X112" i="66"/>
  <c r="N112" i="66"/>
  <c r="L112" i="66"/>
  <c r="B112" i="66"/>
  <c r="T111" i="66"/>
  <c r="Z111" i="66" s="1"/>
  <c r="P111" i="66"/>
  <c r="X111" i="66" s="1"/>
  <c r="N111" i="66"/>
  <c r="L111" i="66"/>
  <c r="H111" i="66"/>
  <c r="D111" i="66"/>
  <c r="B111" i="66"/>
  <c r="Z110" i="66"/>
  <c r="X110" i="66"/>
  <c r="N110" i="66"/>
  <c r="L110" i="66"/>
  <c r="B110" i="66"/>
  <c r="Z109" i="66"/>
  <c r="X109" i="66"/>
  <c r="T109" i="66"/>
  <c r="P109" i="66"/>
  <c r="N109" i="66"/>
  <c r="H109" i="66"/>
  <c r="L109" i="66" s="1"/>
  <c r="D109" i="66"/>
  <c r="B109" i="66"/>
  <c r="X108" i="66"/>
  <c r="Z108" i="66" s="1"/>
  <c r="N108" i="66"/>
  <c r="L108" i="66"/>
  <c r="B108" i="66"/>
  <c r="Z107" i="66"/>
  <c r="X107" i="66"/>
  <c r="N107" i="66"/>
  <c r="L107" i="66"/>
  <c r="B107" i="66"/>
  <c r="T106" i="66"/>
  <c r="P106" i="66"/>
  <c r="X106" i="66" s="1"/>
  <c r="Z106" i="66" s="1"/>
  <c r="L106" i="66"/>
  <c r="N106" i="66" s="1"/>
  <c r="H106" i="66"/>
  <c r="D106" i="66"/>
  <c r="B106" i="66"/>
  <c r="X105" i="66"/>
  <c r="Z105" i="66" s="1"/>
  <c r="L105" i="66"/>
  <c r="N105" i="66" s="1"/>
  <c r="B105" i="66"/>
  <c r="X104" i="66"/>
  <c r="Z104" i="66" s="1"/>
  <c r="N104" i="66"/>
  <c r="L104" i="66"/>
  <c r="B104" i="66"/>
  <c r="T103" i="66"/>
  <c r="P103" i="66"/>
  <c r="X103" i="66" s="1"/>
  <c r="Z103" i="66" s="1"/>
  <c r="H103" i="66"/>
  <c r="D103" i="66"/>
  <c r="L103" i="66" s="1"/>
  <c r="N103" i="66" s="1"/>
  <c r="B103" i="66"/>
  <c r="X102" i="66"/>
  <c r="Z102" i="66" s="1"/>
  <c r="N102" i="66"/>
  <c r="L102" i="66"/>
  <c r="B102" i="66"/>
  <c r="X101" i="66"/>
  <c r="Z101" i="66" s="1"/>
  <c r="L101" i="66"/>
  <c r="N101" i="66" s="1"/>
  <c r="B101" i="66"/>
  <c r="X100" i="66"/>
  <c r="Z100" i="66" s="1"/>
  <c r="T100" i="66"/>
  <c r="P100" i="66"/>
  <c r="H100" i="66"/>
  <c r="L100" i="66" s="1"/>
  <c r="D100" i="66"/>
  <c r="B100" i="66"/>
  <c r="X99" i="66"/>
  <c r="Z99" i="66" s="1"/>
  <c r="N99" i="66"/>
  <c r="L99" i="66"/>
  <c r="B99" i="66"/>
  <c r="X98" i="66"/>
  <c r="Z98" i="66" s="1"/>
  <c r="L98" i="66"/>
  <c r="N98" i="66" s="1"/>
  <c r="B98" i="66"/>
  <c r="Z97" i="66"/>
  <c r="X97" i="66"/>
  <c r="N97" i="66"/>
  <c r="L97" i="66"/>
  <c r="B97" i="66"/>
  <c r="X96" i="66"/>
  <c r="Z96" i="66" s="1"/>
  <c r="T96" i="66"/>
  <c r="P96" i="66"/>
  <c r="H96" i="66"/>
  <c r="L96" i="66" s="1"/>
  <c r="D96" i="66"/>
  <c r="B96" i="66"/>
  <c r="Z95" i="66"/>
  <c r="X95" i="66"/>
  <c r="N95" i="66"/>
  <c r="L95" i="66"/>
  <c r="B95" i="66"/>
  <c r="T94" i="66"/>
  <c r="X94" i="66" s="1"/>
  <c r="P94" i="66"/>
  <c r="H94" i="66"/>
  <c r="D94" i="66"/>
  <c r="L94" i="66" s="1"/>
  <c r="B94" i="66"/>
  <c r="X93" i="66"/>
  <c r="Z93" i="66" s="1"/>
  <c r="N93" i="66"/>
  <c r="L93" i="66"/>
  <c r="B93" i="66"/>
  <c r="T92" i="66"/>
  <c r="Z92" i="66" s="1"/>
  <c r="P92" i="66"/>
  <c r="X92" i="66" s="1"/>
  <c r="H92" i="66"/>
  <c r="N92" i="66" s="1"/>
  <c r="D92" i="66"/>
  <c r="L92" i="66" s="1"/>
  <c r="B92" i="66"/>
  <c r="Z91" i="66"/>
  <c r="X91" i="66"/>
  <c r="N91" i="66"/>
  <c r="L91" i="66"/>
  <c r="B91" i="66"/>
  <c r="X90" i="66"/>
  <c r="Z90" i="66" s="1"/>
  <c r="L90" i="66"/>
  <c r="N90" i="66" s="1"/>
  <c r="B90" i="66"/>
  <c r="X89" i="66"/>
  <c r="Z89" i="66" s="1"/>
  <c r="T89" i="66"/>
  <c r="P89" i="66"/>
  <c r="N89" i="66"/>
  <c r="L89" i="66"/>
  <c r="H89" i="66"/>
  <c r="D89" i="66"/>
  <c r="B89" i="66"/>
  <c r="X88" i="66"/>
  <c r="Z88" i="66" s="1"/>
  <c r="L88" i="66"/>
  <c r="N88" i="66" s="1"/>
  <c r="B88" i="66"/>
  <c r="T87" i="66"/>
  <c r="X87" i="66" s="1"/>
  <c r="Z87" i="66" s="1"/>
  <c r="P87" i="66"/>
  <c r="H87" i="66"/>
  <c r="D87" i="66"/>
  <c r="L87" i="66" s="1"/>
  <c r="N87" i="66" s="1"/>
  <c r="B87" i="66"/>
  <c r="X86" i="66"/>
  <c r="Z86" i="66" s="1"/>
  <c r="N86" i="66"/>
  <c r="L86" i="66"/>
  <c r="B86" i="66"/>
  <c r="T85" i="66"/>
  <c r="P85" i="66"/>
  <c r="X85" i="66" s="1"/>
  <c r="Z85" i="66" s="1"/>
  <c r="N85" i="66"/>
  <c r="H85" i="66"/>
  <c r="D85" i="66"/>
  <c r="L85" i="66" s="1"/>
  <c r="B85" i="66"/>
  <c r="Z84" i="66"/>
  <c r="X84" i="66"/>
  <c r="N84" i="66"/>
  <c r="L84" i="66"/>
  <c r="B84" i="66"/>
  <c r="Z83" i="66"/>
  <c r="X83" i="66"/>
  <c r="N83" i="66"/>
  <c r="L83" i="66"/>
  <c r="B83" i="66"/>
  <c r="T82" i="66"/>
  <c r="X82" i="66" s="1"/>
  <c r="P82" i="66"/>
  <c r="N82" i="66"/>
  <c r="H82" i="66"/>
  <c r="D82" i="66"/>
  <c r="L82" i="66" s="1"/>
  <c r="B82" i="66"/>
  <c r="X81" i="66"/>
  <c r="Z81" i="66" s="1"/>
  <c r="N81" i="66"/>
  <c r="L81" i="66"/>
  <c r="B81" i="66"/>
  <c r="T80" i="66"/>
  <c r="P80" i="66"/>
  <c r="X80" i="66" s="1"/>
  <c r="Z80" i="66" s="1"/>
  <c r="H80" i="66"/>
  <c r="D80" i="66"/>
  <c r="L80" i="66" s="1"/>
  <c r="B80" i="66"/>
  <c r="Z79" i="66"/>
  <c r="X79" i="66"/>
  <c r="N79" i="66"/>
  <c r="L79" i="66"/>
  <c r="B79" i="66"/>
  <c r="X78" i="66"/>
  <c r="Z78" i="66" s="1"/>
  <c r="L78" i="66"/>
  <c r="N78" i="66" s="1"/>
  <c r="B78" i="66"/>
  <c r="X77" i="66"/>
  <c r="Z77" i="66" s="1"/>
  <c r="N77" i="66"/>
  <c r="L77" i="66"/>
  <c r="B77" i="66"/>
  <c r="Z76" i="66"/>
  <c r="X76" i="66"/>
  <c r="L76" i="66"/>
  <c r="N76" i="66" s="1"/>
  <c r="B76" i="66"/>
  <c r="Z75" i="66"/>
  <c r="X75" i="66"/>
  <c r="N75" i="66"/>
  <c r="L75" i="66"/>
  <c r="B75" i="66"/>
  <c r="X74" i="66"/>
  <c r="Z74" i="66" s="1"/>
  <c r="L74" i="66"/>
  <c r="N74" i="66" s="1"/>
  <c r="B74" i="66"/>
  <c r="Z73" i="66"/>
  <c r="X73" i="66"/>
  <c r="N73" i="66"/>
  <c r="L73" i="66"/>
  <c r="B73" i="66"/>
  <c r="T72" i="66"/>
  <c r="P72" i="66"/>
  <c r="H72" i="66"/>
  <c r="D72" i="66"/>
  <c r="L72" i="66" s="1"/>
  <c r="B72" i="66"/>
  <c r="Z71" i="66"/>
  <c r="X71" i="66"/>
  <c r="N71" i="66"/>
  <c r="L71" i="66"/>
  <c r="B71" i="66"/>
  <c r="X70" i="66"/>
  <c r="Z70" i="66" s="1"/>
  <c r="L70" i="66"/>
  <c r="N70" i="66" s="1"/>
  <c r="B70" i="66"/>
  <c r="Z69" i="66"/>
  <c r="X69" i="66"/>
  <c r="N69" i="66"/>
  <c r="L69" i="66"/>
  <c r="B69" i="66"/>
  <c r="X68" i="66"/>
  <c r="Z68" i="66" s="1"/>
  <c r="N68" i="66"/>
  <c r="L68" i="66"/>
  <c r="B68" i="66"/>
  <c r="Z67" i="66"/>
  <c r="X67" i="66"/>
  <c r="N67" i="66"/>
  <c r="L67" i="66"/>
  <c r="B67" i="66"/>
  <c r="X66" i="66"/>
  <c r="Z66" i="66" s="1"/>
  <c r="L66" i="66"/>
  <c r="N66" i="66" s="1"/>
  <c r="B66" i="66"/>
  <c r="Z65" i="66"/>
  <c r="X65" i="66"/>
  <c r="N65" i="66"/>
  <c r="L65" i="66"/>
  <c r="B65" i="66"/>
  <c r="X64" i="66"/>
  <c r="Z64" i="66" s="1"/>
  <c r="L64" i="66"/>
  <c r="N64" i="66" s="1"/>
  <c r="B64" i="66"/>
  <c r="X63" i="66"/>
  <c r="Z63" i="66" s="1"/>
  <c r="N63" i="66"/>
  <c r="L63" i="66"/>
  <c r="B63" i="66"/>
  <c r="T62" i="66"/>
  <c r="P62" i="66"/>
  <c r="X62" i="66" s="1"/>
  <c r="H62" i="66"/>
  <c r="D62" i="66"/>
  <c r="L62" i="66" s="1"/>
  <c r="N62" i="66" s="1"/>
  <c r="B62" i="66"/>
  <c r="T61" i="66" a="1"/>
  <c r="T61" i="66" s="1"/>
  <c r="P61" i="66" a="1"/>
  <c r="P61" i="66" s="1"/>
  <c r="H61" i="66" a="1"/>
  <c r="H61" i="66" s="1"/>
  <c r="D61" i="66" a="1"/>
  <c r="D61" i="66" s="1"/>
  <c r="Z57" i="66"/>
  <c r="X57" i="66"/>
  <c r="N57" i="66"/>
  <c r="L57" i="66"/>
  <c r="B57" i="66"/>
  <c r="X56" i="66"/>
  <c r="Z56" i="66" s="1"/>
  <c r="N56" i="66"/>
  <c r="L56" i="66"/>
  <c r="B56" i="66"/>
  <c r="Z55" i="66"/>
  <c r="X55" i="66"/>
  <c r="N55" i="66"/>
  <c r="L55" i="66"/>
  <c r="B55" i="66"/>
  <c r="Z54" i="66"/>
  <c r="X54" i="66"/>
  <c r="N54" i="66"/>
  <c r="L54" i="66"/>
  <c r="B54" i="66"/>
  <c r="Z53" i="66"/>
  <c r="X53" i="66"/>
  <c r="N53" i="66"/>
  <c r="L53" i="66"/>
  <c r="B53" i="66"/>
  <c r="Z52" i="66"/>
  <c r="X52" i="66"/>
  <c r="N52" i="66"/>
  <c r="L52" i="66"/>
  <c r="B52" i="66"/>
  <c r="X51" i="66"/>
  <c r="Z51" i="66" s="1"/>
  <c r="N51" i="66"/>
  <c r="L51" i="66"/>
  <c r="B51" i="66"/>
  <c r="Z50" i="66"/>
  <c r="X50" i="66"/>
  <c r="N50" i="66"/>
  <c r="L50" i="66"/>
  <c r="B50" i="66"/>
  <c r="X49" i="66"/>
  <c r="Z49" i="66" s="1"/>
  <c r="N49" i="66"/>
  <c r="L49" i="66"/>
  <c r="B49" i="66"/>
  <c r="Z48" i="66"/>
  <c r="X48" i="66"/>
  <c r="N48" i="66"/>
  <c r="L48" i="66"/>
  <c r="B48" i="66"/>
  <c r="Z47" i="66"/>
  <c r="X47" i="66"/>
  <c r="N47" i="66"/>
  <c r="L47" i="66"/>
  <c r="B47" i="66"/>
  <c r="Z46" i="66"/>
  <c r="X46" i="66"/>
  <c r="N46" i="66"/>
  <c r="L46" i="66"/>
  <c r="B46" i="66"/>
  <c r="Z45" i="66"/>
  <c r="X45" i="66"/>
  <c r="L45" i="66"/>
  <c r="N45" i="66" s="1"/>
  <c r="B45" i="66"/>
  <c r="X44" i="66"/>
  <c r="Z44" i="66" s="1"/>
  <c r="N44" i="66"/>
  <c r="L44" i="66"/>
  <c r="B44" i="66"/>
  <c r="X43" i="66"/>
  <c r="Z43" i="66" s="1"/>
  <c r="N43" i="66"/>
  <c r="L43" i="66"/>
  <c r="B43" i="66"/>
  <c r="Z42" i="66"/>
  <c r="X42" i="66"/>
  <c r="N42" i="66"/>
  <c r="L42" i="66"/>
  <c r="B42" i="66"/>
  <c r="Z41" i="66"/>
  <c r="X41" i="66"/>
  <c r="N41" i="66"/>
  <c r="L41" i="66"/>
  <c r="B41" i="66"/>
  <c r="Z40" i="66"/>
  <c r="X40" i="66"/>
  <c r="T40" i="66"/>
  <c r="P40" i="66"/>
  <c r="H40" i="66"/>
  <c r="N40" i="66" s="1"/>
  <c r="D40" i="66"/>
  <c r="L40" i="66" s="1"/>
  <c r="T38" i="66"/>
  <c r="Z38" i="66" s="1"/>
  <c r="P38" i="66"/>
  <c r="X38" i="66" s="1"/>
  <c r="N38" i="66"/>
  <c r="L38" i="66"/>
  <c r="H38" i="66"/>
  <c r="D38" i="66"/>
  <c r="B38" i="66"/>
  <c r="T37" i="66"/>
  <c r="Z37" i="66" s="1"/>
  <c r="P37" i="66"/>
  <c r="X37" i="66" s="1"/>
  <c r="H37" i="66"/>
  <c r="D37" i="66"/>
  <c r="L37" i="66" s="1"/>
  <c r="N37" i="66" s="1"/>
  <c r="B37" i="66"/>
  <c r="T36" i="66"/>
  <c r="P36" i="66"/>
  <c r="X36" i="66" s="1"/>
  <c r="H36" i="66"/>
  <c r="D36" i="66"/>
  <c r="L36" i="66" s="1"/>
  <c r="B36" i="66"/>
  <c r="X35" i="66"/>
  <c r="T35" i="66"/>
  <c r="Z35" i="66" s="1"/>
  <c r="P35" i="66"/>
  <c r="H35" i="66"/>
  <c r="D35" i="66"/>
  <c r="L35" i="66" s="1"/>
  <c r="B35" i="66"/>
  <c r="Z34" i="66"/>
  <c r="X34" i="66"/>
  <c r="T34" i="66"/>
  <c r="P34" i="66"/>
  <c r="H34" i="66"/>
  <c r="N34" i="66" s="1"/>
  <c r="D34" i="66"/>
  <c r="L34" i="66" s="1"/>
  <c r="B34" i="66"/>
  <c r="T33" i="66"/>
  <c r="P33" i="66"/>
  <c r="X33" i="66" s="1"/>
  <c r="Z33" i="66" s="1"/>
  <c r="H33" i="66"/>
  <c r="N33" i="66" s="1"/>
  <c r="D33" i="66"/>
  <c r="L33" i="66" s="1"/>
  <c r="B33" i="66"/>
  <c r="T32" i="66"/>
  <c r="Z32" i="66" s="1"/>
  <c r="P32" i="66"/>
  <c r="X32" i="66" s="1"/>
  <c r="H32" i="66"/>
  <c r="D32" i="66"/>
  <c r="L32" i="66" s="1"/>
  <c r="B32" i="66"/>
  <c r="T31" i="66"/>
  <c r="P31" i="66"/>
  <c r="X31" i="66" s="1"/>
  <c r="L31" i="66"/>
  <c r="H31" i="66"/>
  <c r="N31" i="66" s="1"/>
  <c r="D31" i="66"/>
  <c r="B31" i="66"/>
  <c r="T30" i="66"/>
  <c r="Z30" i="66" s="1"/>
  <c r="P30" i="66"/>
  <c r="X30" i="66" s="1"/>
  <c r="N30" i="66"/>
  <c r="L30" i="66"/>
  <c r="H30" i="66"/>
  <c r="D30" i="66"/>
  <c r="B30" i="66"/>
  <c r="T29" i="66"/>
  <c r="P29" i="66"/>
  <c r="X29" i="66" s="1"/>
  <c r="N29" i="66"/>
  <c r="L29" i="66"/>
  <c r="H29" i="66"/>
  <c r="D29" i="66"/>
  <c r="B29" i="66"/>
  <c r="T28" i="66"/>
  <c r="Z28" i="66" s="1"/>
  <c r="P28" i="66"/>
  <c r="X28" i="66" s="1"/>
  <c r="N28" i="66"/>
  <c r="H28" i="66"/>
  <c r="D28" i="66"/>
  <c r="L28" i="66" s="1"/>
  <c r="B28" i="66"/>
  <c r="X27" i="66"/>
  <c r="T27" i="66"/>
  <c r="Z27" i="66" s="1"/>
  <c r="P27" i="66"/>
  <c r="H27" i="66"/>
  <c r="N27" i="66" s="1"/>
  <c r="D27" i="66"/>
  <c r="L27" i="66" s="1"/>
  <c r="B27" i="66"/>
  <c r="Z26" i="66"/>
  <c r="X26" i="66"/>
  <c r="T26" i="66"/>
  <c r="P26" i="66"/>
  <c r="H26" i="66"/>
  <c r="N26" i="66" s="1"/>
  <c r="D26" i="66"/>
  <c r="L26" i="66" s="1"/>
  <c r="B26" i="66"/>
  <c r="Z25" i="66"/>
  <c r="X25" i="66"/>
  <c r="T25" i="66"/>
  <c r="P25" i="66"/>
  <c r="H25" i="66"/>
  <c r="N25" i="66" s="1"/>
  <c r="D25" i="66"/>
  <c r="L25" i="66" s="1"/>
  <c r="B25" i="66"/>
  <c r="Z24" i="66"/>
  <c r="X24" i="66"/>
  <c r="T24" i="66"/>
  <c r="P24" i="66"/>
  <c r="H24" i="66"/>
  <c r="N24" i="66" s="1"/>
  <c r="D24" i="66"/>
  <c r="L24" i="66" s="1"/>
  <c r="B24" i="66"/>
  <c r="T23" i="66"/>
  <c r="P23" i="66"/>
  <c r="X23" i="66" s="1"/>
  <c r="Z23" i="66" s="1"/>
  <c r="L23" i="66"/>
  <c r="H23" i="66"/>
  <c r="N23" i="66" s="1"/>
  <c r="D23" i="66"/>
  <c r="B23" i="66"/>
  <c r="T22" i="66"/>
  <c r="Z22" i="66" s="1"/>
  <c r="P22" i="66"/>
  <c r="X22" i="66" s="1"/>
  <c r="N22" i="66"/>
  <c r="L22" i="66"/>
  <c r="H22" i="66"/>
  <c r="D22" i="66"/>
  <c r="B22" i="66"/>
  <c r="T21" i="66"/>
  <c r="Z21" i="66" s="1"/>
  <c r="P21" i="66"/>
  <c r="X21" i="66" s="1"/>
  <c r="N21" i="66"/>
  <c r="L21" i="66"/>
  <c r="H21" i="66"/>
  <c r="D21" i="66"/>
  <c r="B21" i="66"/>
  <c r="T20" i="66"/>
  <c r="Z20" i="66" s="1"/>
  <c r="P20" i="66"/>
  <c r="X20" i="66" s="1"/>
  <c r="N20" i="66"/>
  <c r="L20" i="66"/>
  <c r="H20" i="66"/>
  <c r="D20" i="66"/>
  <c r="B20" i="66"/>
  <c r="X19" i="66"/>
  <c r="T19" i="66"/>
  <c r="Z19" i="66" s="1"/>
  <c r="P19" i="66"/>
  <c r="H19" i="66"/>
  <c r="D19" i="66"/>
  <c r="L19" i="66" s="1"/>
  <c r="N19" i="66" s="1"/>
  <c r="B19" i="66"/>
  <c r="Z18" i="66"/>
  <c r="X18" i="66"/>
  <c r="T18" i="66"/>
  <c r="P18" i="66"/>
  <c r="H18" i="66"/>
  <c r="D18" i="66"/>
  <c r="L18" i="66" s="1"/>
  <c r="B18" i="66"/>
  <c r="Z17" i="66"/>
  <c r="X17" i="66"/>
  <c r="T17" i="66"/>
  <c r="P17" i="66"/>
  <c r="H17" i="66"/>
  <c r="N17" i="66" s="1"/>
  <c r="D17" i="66"/>
  <c r="L17" i="66" s="1"/>
  <c r="B17" i="66"/>
  <c r="Z16" i="66"/>
  <c r="X16" i="66"/>
  <c r="T16" i="66"/>
  <c r="P16" i="66"/>
  <c r="H16" i="66"/>
  <c r="D16" i="66"/>
  <c r="L16" i="66" s="1"/>
  <c r="B16" i="66"/>
  <c r="T15" i="66"/>
  <c r="P15" i="66"/>
  <c r="X15" i="66" s="1"/>
  <c r="Z15" i="66" s="1"/>
  <c r="L15" i="66"/>
  <c r="H15" i="66"/>
  <c r="N15" i="66" s="1"/>
  <c r="D15" i="66"/>
  <c r="B15" i="66"/>
  <c r="T14" i="66"/>
  <c r="Z14" i="66" s="1"/>
  <c r="P14" i="66"/>
  <c r="X14" i="66" s="1"/>
  <c r="N14" i="66"/>
  <c r="L14" i="66"/>
  <c r="H14" i="66"/>
  <c r="D14" i="66"/>
  <c r="B14" i="66"/>
  <c r="T13" i="66"/>
  <c r="P13" i="66"/>
  <c r="P12" i="66" s="1"/>
  <c r="H13" i="66"/>
  <c r="D13" i="66"/>
  <c r="L13" i="66" s="1"/>
  <c r="N13" i="66" s="1"/>
  <c r="B13" i="66"/>
  <c r="T12" i="66"/>
  <c r="D6" i="66"/>
  <c r="D4" i="66"/>
  <c r="Z61" i="65"/>
  <c r="X61" i="65"/>
  <c r="N61" i="65"/>
  <c r="L61" i="65"/>
  <c r="Z57" i="65"/>
  <c r="T57" i="65"/>
  <c r="P57" i="65"/>
  <c r="X57" i="65" s="1"/>
  <c r="N57" i="65"/>
  <c r="H57" i="65"/>
  <c r="L57" i="65" s="1"/>
  <c r="D57" i="65"/>
  <c r="Z55" i="65"/>
  <c r="X55" i="65"/>
  <c r="N55" i="65"/>
  <c r="L55" i="65"/>
  <c r="B55" i="65"/>
  <c r="Z54" i="65"/>
  <c r="X54" i="65"/>
  <c r="T54" i="65"/>
  <c r="P54" i="65"/>
  <c r="H54" i="65"/>
  <c r="D54" i="65"/>
  <c r="B54" i="65"/>
  <c r="Z53" i="65"/>
  <c r="X53" i="65"/>
  <c r="N53" i="65"/>
  <c r="L53" i="65"/>
  <c r="B53" i="65"/>
  <c r="T52" i="65"/>
  <c r="P52" i="65"/>
  <c r="H52" i="65"/>
  <c r="N52" i="65" s="1"/>
  <c r="D52" i="65"/>
  <c r="L52" i="65" s="1"/>
  <c r="B52" i="65"/>
  <c r="Z51" i="65"/>
  <c r="X51" i="65"/>
  <c r="N51" i="65"/>
  <c r="L51" i="65"/>
  <c r="B51" i="65"/>
  <c r="Z50" i="65"/>
  <c r="X50" i="65"/>
  <c r="N50" i="65"/>
  <c r="L50" i="65"/>
  <c r="B50" i="65"/>
  <c r="T49" i="65"/>
  <c r="Z49" i="65" s="1"/>
  <c r="P49" i="65"/>
  <c r="X49" i="65" s="1"/>
  <c r="N49" i="65"/>
  <c r="H49" i="65"/>
  <c r="D49" i="65"/>
  <c r="L49" i="65" s="1"/>
  <c r="B49" i="65"/>
  <c r="X48" i="65"/>
  <c r="Z48" i="65" s="1"/>
  <c r="N48" i="65"/>
  <c r="L48" i="65"/>
  <c r="F48" i="65"/>
  <c r="B48" i="65"/>
  <c r="Z47" i="65"/>
  <c r="X47" i="65"/>
  <c r="N47" i="65"/>
  <c r="L47" i="65"/>
  <c r="B47" i="65"/>
  <c r="T46" i="65"/>
  <c r="Z46" i="65" s="1"/>
  <c r="P46" i="65"/>
  <c r="X46" i="65" s="1"/>
  <c r="H46" i="65"/>
  <c r="D46" i="65"/>
  <c r="L46" i="65" s="1"/>
  <c r="B46" i="65"/>
  <c r="Z45" i="65"/>
  <c r="X45" i="65"/>
  <c r="N45" i="65"/>
  <c r="L45" i="65"/>
  <c r="B45" i="65"/>
  <c r="X44" i="65"/>
  <c r="Z44" i="65" s="1"/>
  <c r="N44" i="65"/>
  <c r="L44" i="65"/>
  <c r="F44" i="65"/>
  <c r="B44" i="65"/>
  <c r="T43" i="65"/>
  <c r="P43" i="65"/>
  <c r="X43" i="65" s="1"/>
  <c r="Z43" i="65" s="1"/>
  <c r="N43" i="65"/>
  <c r="L43" i="65"/>
  <c r="H43" i="65"/>
  <c r="D43" i="65"/>
  <c r="B43" i="65"/>
  <c r="X42" i="65"/>
  <c r="Z42" i="65" s="1"/>
  <c r="N42" i="65"/>
  <c r="L42" i="65"/>
  <c r="B42" i="65"/>
  <c r="T41" i="65"/>
  <c r="X41" i="65" s="1"/>
  <c r="Z41" i="65" s="1"/>
  <c r="P41" i="65"/>
  <c r="N41" i="65"/>
  <c r="L41" i="65"/>
  <c r="H41" i="65"/>
  <c r="D41" i="65"/>
  <c r="B41" i="65"/>
  <c r="X40" i="65"/>
  <c r="Z40" i="65" s="1"/>
  <c r="N40" i="65"/>
  <c r="L40" i="65"/>
  <c r="B40" i="65"/>
  <c r="Z39" i="65"/>
  <c r="X39" i="65"/>
  <c r="T39" i="65"/>
  <c r="P39" i="65"/>
  <c r="H39" i="65"/>
  <c r="N39" i="65" s="1"/>
  <c r="F39" i="65"/>
  <c r="D39" i="65"/>
  <c r="L39" i="65" s="1"/>
  <c r="B39" i="65"/>
  <c r="X38" i="65"/>
  <c r="Z38" i="65" s="1"/>
  <c r="L38" i="65"/>
  <c r="N38" i="65" s="1"/>
  <c r="B38" i="65"/>
  <c r="T37" i="65"/>
  <c r="Z37" i="65" s="1"/>
  <c r="P37" i="65"/>
  <c r="X37" i="65" s="1"/>
  <c r="H37" i="65"/>
  <c r="D37" i="65"/>
  <c r="L37" i="65" s="1"/>
  <c r="B37" i="65"/>
  <c r="Z36" i="65"/>
  <c r="X36" i="65"/>
  <c r="N36" i="65"/>
  <c r="L36" i="65"/>
  <c r="F36" i="65"/>
  <c r="B36" i="65"/>
  <c r="T35" i="65"/>
  <c r="Z35" i="65" s="1"/>
  <c r="P35" i="65"/>
  <c r="X35" i="65" s="1"/>
  <c r="N35" i="65"/>
  <c r="H35" i="65"/>
  <c r="D35" i="65"/>
  <c r="L35" i="65" s="1"/>
  <c r="B35" i="65"/>
  <c r="Z34" i="65"/>
  <c r="X34" i="65"/>
  <c r="N34" i="65"/>
  <c r="L34" i="65"/>
  <c r="B34" i="65"/>
  <c r="Z33" i="65"/>
  <c r="T33" i="65"/>
  <c r="P33" i="65"/>
  <c r="X33" i="65" s="1"/>
  <c r="N33" i="65"/>
  <c r="L33" i="65"/>
  <c r="H33" i="65"/>
  <c r="D33" i="65"/>
  <c r="B33" i="65"/>
  <c r="Z32" i="65"/>
  <c r="X32" i="65"/>
  <c r="N32" i="65"/>
  <c r="L32" i="65"/>
  <c r="B32" i="65"/>
  <c r="Z31" i="65"/>
  <c r="X31" i="65"/>
  <c r="T31" i="65"/>
  <c r="P31" i="65"/>
  <c r="H31" i="65"/>
  <c r="L31" i="65" s="1"/>
  <c r="F31" i="65"/>
  <c r="D31" i="65"/>
  <c r="B31" i="65"/>
  <c r="Z30" i="65"/>
  <c r="X30" i="65"/>
  <c r="N30" i="65"/>
  <c r="L30" i="65"/>
  <c r="B30" i="65"/>
  <c r="Z29" i="65"/>
  <c r="X29" i="65"/>
  <c r="N29" i="65"/>
  <c r="L29" i="65"/>
  <c r="B29" i="65"/>
  <c r="T28" i="65"/>
  <c r="P28" i="65"/>
  <c r="H28" i="65"/>
  <c r="N28" i="65" s="1"/>
  <c r="D28" i="65"/>
  <c r="L28" i="65" s="1"/>
  <c r="B28" i="65"/>
  <c r="Z27" i="65"/>
  <c r="X27" i="65"/>
  <c r="N27" i="65"/>
  <c r="L27" i="65"/>
  <c r="B27" i="65"/>
  <c r="Z26" i="65"/>
  <c r="X26" i="65"/>
  <c r="N26" i="65"/>
  <c r="L26" i="65"/>
  <c r="B26" i="65"/>
  <c r="T25" i="65"/>
  <c r="Z25" i="65" s="1"/>
  <c r="P25" i="65"/>
  <c r="X25" i="65" s="1"/>
  <c r="H25" i="65"/>
  <c r="N25" i="65" s="1"/>
  <c r="D25" i="65"/>
  <c r="L25" i="65" s="1"/>
  <c r="B25" i="65"/>
  <c r="T24" i="65" a="1"/>
  <c r="T24" i="65" s="1"/>
  <c r="P24" i="65" a="1"/>
  <c r="P24" i="65"/>
  <c r="H24" i="65" a="1"/>
  <c r="H24" i="65" s="1"/>
  <c r="D24" i="65" a="1"/>
  <c r="D24" i="65"/>
  <c r="L24" i="65" s="1"/>
  <c r="Z20" i="65"/>
  <c r="X20" i="65"/>
  <c r="N20" i="65"/>
  <c r="L20" i="65"/>
  <c r="B20" i="65"/>
  <c r="Z19" i="65"/>
  <c r="X19" i="65"/>
  <c r="N19" i="65"/>
  <c r="L19" i="65"/>
  <c r="B19" i="65"/>
  <c r="Z18" i="65"/>
  <c r="X18" i="65"/>
  <c r="T18" i="65"/>
  <c r="P18" i="65"/>
  <c r="H18" i="65"/>
  <c r="D18" i="65"/>
  <c r="Z16" i="65"/>
  <c r="T16" i="65"/>
  <c r="P16" i="65"/>
  <c r="X16" i="65" s="1"/>
  <c r="N16" i="65"/>
  <c r="L16" i="65"/>
  <c r="H16" i="65"/>
  <c r="D16" i="65"/>
  <c r="B16" i="65"/>
  <c r="T15" i="65"/>
  <c r="Z15" i="65" s="1"/>
  <c r="P15" i="65"/>
  <c r="X15" i="65" s="1"/>
  <c r="N15" i="65"/>
  <c r="H15" i="65"/>
  <c r="D15" i="65"/>
  <c r="L15" i="65" s="1"/>
  <c r="B15" i="65"/>
  <c r="T14" i="65"/>
  <c r="Z14" i="65" s="1"/>
  <c r="P14" i="65"/>
  <c r="H14" i="65"/>
  <c r="N14" i="65" s="1"/>
  <c r="D14" i="65"/>
  <c r="L14" i="65" s="1"/>
  <c r="B14" i="65"/>
  <c r="T13" i="65"/>
  <c r="P13" i="65"/>
  <c r="H13" i="65"/>
  <c r="H12" i="65" s="1"/>
  <c r="D13" i="65"/>
  <c r="B13" i="65"/>
  <c r="D12" i="65"/>
  <c r="F61" i="65" s="1"/>
  <c r="D6" i="65"/>
  <c r="D4" i="65"/>
  <c r="X90" i="64"/>
  <c r="Z90" i="64" s="1"/>
  <c r="L90" i="64"/>
  <c r="N90" i="64" s="1"/>
  <c r="T86" i="64"/>
  <c r="P86" i="64"/>
  <c r="H86" i="64"/>
  <c r="N86" i="64" s="1"/>
  <c r="D86" i="64"/>
  <c r="L86" i="64" s="1"/>
  <c r="X84" i="64"/>
  <c r="Z84" i="64" s="1"/>
  <c r="N84" i="64"/>
  <c r="L84" i="64"/>
  <c r="B84" i="64"/>
  <c r="T83" i="64"/>
  <c r="P83" i="64"/>
  <c r="X83" i="64" s="1"/>
  <c r="N83" i="64"/>
  <c r="L83" i="64"/>
  <c r="H83" i="64"/>
  <c r="D83" i="64"/>
  <c r="B83" i="64"/>
  <c r="X82" i="64"/>
  <c r="Z82" i="64" s="1"/>
  <c r="L82" i="64"/>
  <c r="N82" i="64" s="1"/>
  <c r="B82" i="64"/>
  <c r="T81" i="64"/>
  <c r="P81" i="64"/>
  <c r="X81" i="64" s="1"/>
  <c r="Z81" i="64" s="1"/>
  <c r="N81" i="64"/>
  <c r="L81" i="64"/>
  <c r="H81" i="64"/>
  <c r="D81" i="64"/>
  <c r="B81" i="64"/>
  <c r="X80" i="64"/>
  <c r="Z80" i="64" s="1"/>
  <c r="N80" i="64"/>
  <c r="L80" i="64"/>
  <c r="B80" i="64"/>
  <c r="Z79" i="64"/>
  <c r="X79" i="64"/>
  <c r="N79" i="64"/>
  <c r="L79" i="64"/>
  <c r="B79" i="64"/>
  <c r="X78" i="64"/>
  <c r="Z78" i="64" s="1"/>
  <c r="N78" i="64"/>
  <c r="L78" i="64"/>
  <c r="B78" i="64"/>
  <c r="Z77" i="64"/>
  <c r="X77" i="64"/>
  <c r="N77" i="64"/>
  <c r="L77" i="64"/>
  <c r="B77" i="64"/>
  <c r="T76" i="64"/>
  <c r="P76" i="64"/>
  <c r="X76" i="64" s="1"/>
  <c r="N76" i="64"/>
  <c r="L76" i="64"/>
  <c r="H76" i="64"/>
  <c r="D76" i="64"/>
  <c r="B76" i="64"/>
  <c r="Z75" i="64"/>
  <c r="X75" i="64"/>
  <c r="N75" i="64"/>
  <c r="L75" i="64"/>
  <c r="B75" i="64"/>
  <c r="Z74" i="64"/>
  <c r="X74" i="64"/>
  <c r="T74" i="64"/>
  <c r="P74" i="64"/>
  <c r="L74" i="64"/>
  <c r="H74" i="64"/>
  <c r="N74" i="64" s="1"/>
  <c r="D74" i="64"/>
  <c r="B74" i="64"/>
  <c r="Z73" i="64"/>
  <c r="X73" i="64"/>
  <c r="N73" i="64"/>
  <c r="L73" i="64"/>
  <c r="B73" i="64"/>
  <c r="X72" i="64"/>
  <c r="Z72" i="64" s="1"/>
  <c r="N72" i="64"/>
  <c r="L72" i="64"/>
  <c r="B72" i="64"/>
  <c r="X71" i="64"/>
  <c r="Z71" i="64" s="1"/>
  <c r="T71" i="64"/>
  <c r="P71" i="64"/>
  <c r="H71" i="64"/>
  <c r="D71" i="64"/>
  <c r="B71" i="64"/>
  <c r="Z70" i="64"/>
  <c r="X70" i="64"/>
  <c r="N70" i="64"/>
  <c r="L70" i="64"/>
  <c r="B70" i="64"/>
  <c r="Z69" i="64"/>
  <c r="X69" i="64"/>
  <c r="N69" i="64"/>
  <c r="L69" i="64"/>
  <c r="B69" i="64"/>
  <c r="T68" i="64"/>
  <c r="P68" i="64"/>
  <c r="H68" i="64"/>
  <c r="N68" i="64" s="1"/>
  <c r="D68" i="64"/>
  <c r="B68" i="64"/>
  <c r="Z67" i="64"/>
  <c r="X67" i="64"/>
  <c r="N67" i="64"/>
  <c r="L67" i="64"/>
  <c r="B67" i="64"/>
  <c r="T66" i="64"/>
  <c r="Z66" i="64" s="1"/>
  <c r="P66" i="64"/>
  <c r="X66" i="64" s="1"/>
  <c r="H66" i="64"/>
  <c r="N66" i="64" s="1"/>
  <c r="D66" i="64"/>
  <c r="L66" i="64" s="1"/>
  <c r="B66" i="64"/>
  <c r="Z65" i="64"/>
  <c r="X65" i="64"/>
  <c r="N65" i="64"/>
  <c r="L65" i="64"/>
  <c r="B65" i="64"/>
  <c r="T64" i="64"/>
  <c r="P64" i="64"/>
  <c r="X64" i="64" s="1"/>
  <c r="N64" i="64"/>
  <c r="H64" i="64"/>
  <c r="D64" i="64"/>
  <c r="L64" i="64" s="1"/>
  <c r="B64" i="64"/>
  <c r="Z63" i="64"/>
  <c r="X63" i="64"/>
  <c r="N63" i="64"/>
  <c r="L63" i="64"/>
  <c r="B63" i="64"/>
  <c r="Z62" i="64"/>
  <c r="X62" i="64"/>
  <c r="T62" i="64"/>
  <c r="P62" i="64"/>
  <c r="H62" i="64"/>
  <c r="N62" i="64" s="1"/>
  <c r="D62" i="64"/>
  <c r="B62" i="64"/>
  <c r="Z61" i="64"/>
  <c r="X61" i="64"/>
  <c r="N61" i="64"/>
  <c r="L61" i="64"/>
  <c r="B61" i="64"/>
  <c r="Z60" i="64"/>
  <c r="X60" i="64"/>
  <c r="N60" i="64"/>
  <c r="L60" i="64"/>
  <c r="B60" i="64"/>
  <c r="Z59" i="64"/>
  <c r="T59" i="64"/>
  <c r="P59" i="64"/>
  <c r="X59" i="64" s="1"/>
  <c r="L59" i="64"/>
  <c r="H59" i="64"/>
  <c r="N59" i="64" s="1"/>
  <c r="D59" i="64"/>
  <c r="B59" i="64"/>
  <c r="Z58" i="64"/>
  <c r="X58" i="64"/>
  <c r="N58" i="64"/>
  <c r="L58" i="64"/>
  <c r="B58" i="64"/>
  <c r="X57" i="64"/>
  <c r="T57" i="64"/>
  <c r="Z57" i="64" s="1"/>
  <c r="P57" i="64"/>
  <c r="H57" i="64"/>
  <c r="D57" i="64"/>
  <c r="B57" i="64"/>
  <c r="X56" i="64"/>
  <c r="Z56" i="64" s="1"/>
  <c r="N56" i="64"/>
  <c r="L56" i="64"/>
  <c r="B56" i="64"/>
  <c r="T55" i="64"/>
  <c r="P55" i="64"/>
  <c r="H55" i="64"/>
  <c r="N55" i="64" s="1"/>
  <c r="D55" i="64"/>
  <c r="L55" i="64" s="1"/>
  <c r="B55" i="64"/>
  <c r="Z54" i="64"/>
  <c r="X54" i="64"/>
  <c r="N54" i="64"/>
  <c r="L54" i="64"/>
  <c r="B54" i="64"/>
  <c r="Z53" i="64"/>
  <c r="X53" i="64"/>
  <c r="N53" i="64"/>
  <c r="L53" i="64"/>
  <c r="B53" i="64"/>
  <c r="X52" i="64"/>
  <c r="Z52" i="64" s="1"/>
  <c r="N52" i="64"/>
  <c r="L52" i="64"/>
  <c r="B52" i="64"/>
  <c r="Z51" i="64"/>
  <c r="X51" i="64"/>
  <c r="N51" i="64"/>
  <c r="L51" i="64"/>
  <c r="B51" i="64"/>
  <c r="T50" i="64"/>
  <c r="P50" i="64"/>
  <c r="X50" i="64" s="1"/>
  <c r="Z50" i="64" s="1"/>
  <c r="N50" i="64"/>
  <c r="L50" i="64"/>
  <c r="H50" i="64"/>
  <c r="D50" i="64"/>
  <c r="B50" i="64"/>
  <c r="Z49" i="64"/>
  <c r="X49" i="64"/>
  <c r="N49" i="64"/>
  <c r="L49" i="64"/>
  <c r="B49" i="64"/>
  <c r="Z48" i="64"/>
  <c r="X48" i="64"/>
  <c r="N48" i="64"/>
  <c r="L48" i="64"/>
  <c r="B48" i="64"/>
  <c r="Z47" i="64"/>
  <c r="X47" i="64"/>
  <c r="N47" i="64"/>
  <c r="L47" i="64"/>
  <c r="B47" i="64"/>
  <c r="Z46" i="64"/>
  <c r="X46" i="64"/>
  <c r="N46" i="64"/>
  <c r="L46" i="64"/>
  <c r="B46" i="64"/>
  <c r="Z45" i="64"/>
  <c r="X45" i="64"/>
  <c r="N45" i="64"/>
  <c r="L45" i="64"/>
  <c r="B45" i="64"/>
  <c r="Z44" i="64"/>
  <c r="X44" i="64"/>
  <c r="N44" i="64"/>
  <c r="L44" i="64"/>
  <c r="B44" i="64"/>
  <c r="X43" i="64"/>
  <c r="Z43" i="64" s="1"/>
  <c r="N43" i="64"/>
  <c r="L43" i="64"/>
  <c r="B43" i="64"/>
  <c r="T42" i="64"/>
  <c r="P42" i="64"/>
  <c r="N42" i="64"/>
  <c r="H42" i="64"/>
  <c r="D42" i="64"/>
  <c r="L42" i="64" s="1"/>
  <c r="B42" i="64"/>
  <c r="T41" i="64" a="1"/>
  <c r="T41" i="64" s="1"/>
  <c r="P41" i="64" a="1"/>
  <c r="P41" i="64" s="1"/>
  <c r="X41" i="64" s="1"/>
  <c r="H41" i="64" a="1"/>
  <c r="H41" i="64" s="1"/>
  <c r="D41" i="64" a="1"/>
  <c r="D41" i="64" s="1"/>
  <c r="L41" i="64" s="1"/>
  <c r="Z37" i="64"/>
  <c r="X37" i="64"/>
  <c r="L37" i="64"/>
  <c r="N37" i="64" s="1"/>
  <c r="B37" i="64"/>
  <c r="Z36" i="64"/>
  <c r="X36" i="64"/>
  <c r="N36" i="64"/>
  <c r="L36" i="64"/>
  <c r="B36" i="64"/>
  <c r="Z35" i="64"/>
  <c r="X35" i="64"/>
  <c r="N35" i="64"/>
  <c r="L35" i="64"/>
  <c r="B35" i="64"/>
  <c r="Z34" i="64"/>
  <c r="X34" i="64"/>
  <c r="N34" i="64"/>
  <c r="L34" i="64"/>
  <c r="B34" i="64"/>
  <c r="Z33" i="64"/>
  <c r="X33" i="64"/>
  <c r="N33" i="64"/>
  <c r="L33" i="64"/>
  <c r="B33" i="64"/>
  <c r="Z32" i="64"/>
  <c r="X32" i="64"/>
  <c r="N32" i="64"/>
  <c r="L32" i="64"/>
  <c r="B32" i="64"/>
  <c r="X31" i="64"/>
  <c r="Z31" i="64" s="1"/>
  <c r="N31" i="64"/>
  <c r="L31" i="64"/>
  <c r="B31" i="64"/>
  <c r="Z30" i="64"/>
  <c r="X30" i="64"/>
  <c r="N30" i="64"/>
  <c r="L30" i="64"/>
  <c r="B30" i="64"/>
  <c r="Z29" i="64"/>
  <c r="X29" i="64"/>
  <c r="N29" i="64"/>
  <c r="L29" i="64"/>
  <c r="B29" i="64"/>
  <c r="Z28" i="64"/>
  <c r="X28" i="64"/>
  <c r="N28" i="64"/>
  <c r="L28" i="64"/>
  <c r="B28" i="64"/>
  <c r="T27" i="64"/>
  <c r="P27" i="64"/>
  <c r="X27" i="64" s="1"/>
  <c r="H27" i="64"/>
  <c r="D27" i="64"/>
  <c r="L27" i="64" s="1"/>
  <c r="Z25" i="64"/>
  <c r="X25" i="64"/>
  <c r="T25" i="64"/>
  <c r="P25" i="64"/>
  <c r="N25" i="64"/>
  <c r="H25" i="64"/>
  <c r="D25" i="64"/>
  <c r="L25" i="64" s="1"/>
  <c r="B25" i="64"/>
  <c r="T24" i="64"/>
  <c r="P24" i="64"/>
  <c r="X24" i="64" s="1"/>
  <c r="Z24" i="64" s="1"/>
  <c r="H24" i="64"/>
  <c r="N24" i="64" s="1"/>
  <c r="D24" i="64"/>
  <c r="B24" i="64"/>
  <c r="T23" i="64"/>
  <c r="Z23" i="64" s="1"/>
  <c r="P23" i="64"/>
  <c r="X23" i="64" s="1"/>
  <c r="L23" i="64"/>
  <c r="H23" i="64"/>
  <c r="N23" i="64" s="1"/>
  <c r="D23" i="64"/>
  <c r="B23" i="64"/>
  <c r="X22" i="64"/>
  <c r="T22" i="64"/>
  <c r="Z22" i="64" s="1"/>
  <c r="P22" i="64"/>
  <c r="N22" i="64"/>
  <c r="H22" i="64"/>
  <c r="L22" i="64" s="1"/>
  <c r="D22" i="64"/>
  <c r="B22" i="64"/>
  <c r="T21" i="64"/>
  <c r="P21" i="64"/>
  <c r="X21" i="64" s="1"/>
  <c r="Z21" i="64" s="1"/>
  <c r="N21" i="64"/>
  <c r="L21" i="64"/>
  <c r="H21" i="64"/>
  <c r="D21" i="64"/>
  <c r="B21" i="64"/>
  <c r="T20" i="64"/>
  <c r="Z20" i="64" s="1"/>
  <c r="P20" i="64"/>
  <c r="X20" i="64" s="1"/>
  <c r="N20" i="64"/>
  <c r="H20" i="64"/>
  <c r="D20" i="64"/>
  <c r="L20" i="64" s="1"/>
  <c r="B20" i="64"/>
  <c r="X19" i="64"/>
  <c r="T19" i="64"/>
  <c r="P19" i="64"/>
  <c r="H19" i="64"/>
  <c r="N19" i="64" s="1"/>
  <c r="D19" i="64"/>
  <c r="L19" i="64" s="1"/>
  <c r="B19" i="64"/>
  <c r="Z18" i="64"/>
  <c r="T18" i="64"/>
  <c r="X18" i="64" s="1"/>
  <c r="P18" i="64"/>
  <c r="L18" i="64"/>
  <c r="H18" i="64"/>
  <c r="N18" i="64" s="1"/>
  <c r="D18" i="64"/>
  <c r="B18" i="64"/>
  <c r="X17" i="64"/>
  <c r="Z17" i="64" s="1"/>
  <c r="T17" i="64"/>
  <c r="P17" i="64"/>
  <c r="N17" i="64"/>
  <c r="H17" i="64"/>
  <c r="D17" i="64"/>
  <c r="L17" i="64" s="1"/>
  <c r="B17" i="64"/>
  <c r="T16" i="64"/>
  <c r="P16" i="64"/>
  <c r="X16" i="64" s="1"/>
  <c r="Z16" i="64" s="1"/>
  <c r="H16" i="64"/>
  <c r="N16" i="64" s="1"/>
  <c r="D16" i="64"/>
  <c r="B16" i="64"/>
  <c r="T15" i="64"/>
  <c r="P15" i="64"/>
  <c r="X15" i="64" s="1"/>
  <c r="L15" i="64"/>
  <c r="H15" i="64"/>
  <c r="N15" i="64" s="1"/>
  <c r="D15" i="64"/>
  <c r="B15" i="64"/>
  <c r="X14" i="64"/>
  <c r="T14" i="64"/>
  <c r="Z14" i="64" s="1"/>
  <c r="P14" i="64"/>
  <c r="N14" i="64"/>
  <c r="H14" i="64"/>
  <c r="L14" i="64" s="1"/>
  <c r="D14" i="64"/>
  <c r="B14" i="64"/>
  <c r="T13" i="64"/>
  <c r="P13" i="64"/>
  <c r="N13" i="64"/>
  <c r="L13" i="64"/>
  <c r="H13" i="64"/>
  <c r="D13" i="64"/>
  <c r="B13" i="64"/>
  <c r="D6" i="64"/>
  <c r="D4" i="64"/>
  <c r="V105" i="62"/>
  <c r="Z103" i="62"/>
  <c r="X103" i="62"/>
  <c r="N103" i="62"/>
  <c r="L103" i="62"/>
  <c r="J103" i="62"/>
  <c r="V99" i="62"/>
  <c r="T99" i="62"/>
  <c r="P99" i="62"/>
  <c r="X99" i="62" s="1"/>
  <c r="Z99" i="62" s="1"/>
  <c r="L99" i="62"/>
  <c r="H99" i="62"/>
  <c r="N99" i="62" s="1"/>
  <c r="D99" i="62"/>
  <c r="B99" i="62"/>
  <c r="T98" i="62"/>
  <c r="Z98" i="62" s="1"/>
  <c r="P98" i="62"/>
  <c r="X98" i="62" s="1"/>
  <c r="L98" i="62"/>
  <c r="N98" i="62" s="1"/>
  <c r="H98" i="62"/>
  <c r="D98" i="62"/>
  <c r="X96" i="62"/>
  <c r="Z96" i="62" s="1"/>
  <c r="N96" i="62"/>
  <c r="L96" i="62"/>
  <c r="B96" i="62"/>
  <c r="T95" i="62"/>
  <c r="P95" i="62"/>
  <c r="X95" i="62" s="1"/>
  <c r="Z95" i="62" s="1"/>
  <c r="J95" i="62"/>
  <c r="H95" i="62"/>
  <c r="D95" i="62"/>
  <c r="L95" i="62" s="1"/>
  <c r="N95" i="62" s="1"/>
  <c r="B95" i="62"/>
  <c r="Z94" i="62"/>
  <c r="X94" i="62"/>
  <c r="R94" i="62"/>
  <c r="N94" i="62"/>
  <c r="L94" i="62"/>
  <c r="B94" i="62"/>
  <c r="Z93" i="62"/>
  <c r="X93" i="62"/>
  <c r="V93" i="62"/>
  <c r="N93" i="62"/>
  <c r="L93" i="62"/>
  <c r="B93" i="62"/>
  <c r="X92" i="62"/>
  <c r="Z92" i="62" s="1"/>
  <c r="N92" i="62"/>
  <c r="L92" i="62"/>
  <c r="B92" i="62"/>
  <c r="T91" i="62"/>
  <c r="P91" i="62"/>
  <c r="X91" i="62" s="1"/>
  <c r="Z91" i="62" s="1"/>
  <c r="N91" i="62"/>
  <c r="L91" i="62"/>
  <c r="J91" i="62"/>
  <c r="H91" i="62"/>
  <c r="D91" i="62"/>
  <c r="B91" i="62"/>
  <c r="Z90" i="62"/>
  <c r="X90" i="62"/>
  <c r="R90" i="62"/>
  <c r="N90" i="62"/>
  <c r="L90" i="62"/>
  <c r="B90" i="62"/>
  <c r="X89" i="62"/>
  <c r="Z89" i="62" s="1"/>
  <c r="V89" i="62"/>
  <c r="T89" i="62"/>
  <c r="P89" i="62"/>
  <c r="H89" i="62"/>
  <c r="N89" i="62" s="1"/>
  <c r="D89" i="62"/>
  <c r="B89" i="62"/>
  <c r="Z88" i="62"/>
  <c r="X88" i="62"/>
  <c r="L88" i="62"/>
  <c r="N88" i="62" s="1"/>
  <c r="B88" i="62"/>
  <c r="T87" i="62"/>
  <c r="R87" i="62"/>
  <c r="P87" i="62"/>
  <c r="H87" i="62"/>
  <c r="D87" i="62"/>
  <c r="L87" i="62" s="1"/>
  <c r="N87" i="62" s="1"/>
  <c r="B87" i="62"/>
  <c r="X86" i="62"/>
  <c r="Z86" i="62" s="1"/>
  <c r="N86" i="62"/>
  <c r="L86" i="62"/>
  <c r="B86" i="62"/>
  <c r="Z85" i="62"/>
  <c r="X85" i="62"/>
  <c r="N85" i="62"/>
  <c r="L85" i="62"/>
  <c r="J85" i="62"/>
  <c r="B85" i="62"/>
  <c r="Z84" i="62"/>
  <c r="X84" i="62"/>
  <c r="L84" i="62"/>
  <c r="N84" i="62" s="1"/>
  <c r="B84" i="62"/>
  <c r="X83" i="62"/>
  <c r="Z83" i="62" s="1"/>
  <c r="N83" i="62"/>
  <c r="L83" i="62"/>
  <c r="B83" i="62"/>
  <c r="Z82" i="62"/>
  <c r="X82" i="62"/>
  <c r="R82" i="62"/>
  <c r="L82" i="62"/>
  <c r="N82" i="62" s="1"/>
  <c r="B82" i="62"/>
  <c r="X81" i="62"/>
  <c r="Z81" i="62" s="1"/>
  <c r="V81" i="62"/>
  <c r="N81" i="62"/>
  <c r="L81" i="62"/>
  <c r="B81" i="62"/>
  <c r="X80" i="62"/>
  <c r="Z80" i="62" s="1"/>
  <c r="T80" i="62"/>
  <c r="P80" i="62"/>
  <c r="H80" i="62"/>
  <c r="D80" i="62"/>
  <c r="L80" i="62" s="1"/>
  <c r="B80" i="62"/>
  <c r="Z79" i="62"/>
  <c r="X79" i="62"/>
  <c r="N79" i="62"/>
  <c r="L79" i="62"/>
  <c r="B79" i="62"/>
  <c r="T78" i="62"/>
  <c r="Z78" i="62" s="1"/>
  <c r="P78" i="62"/>
  <c r="X78" i="62" s="1"/>
  <c r="H78" i="62"/>
  <c r="N78" i="62" s="1"/>
  <c r="D78" i="62"/>
  <c r="L78" i="62" s="1"/>
  <c r="B78" i="62"/>
  <c r="Z77" i="62"/>
  <c r="X77" i="62"/>
  <c r="L77" i="62"/>
  <c r="N77" i="62" s="1"/>
  <c r="J77" i="62"/>
  <c r="B77" i="62"/>
  <c r="Z76" i="62"/>
  <c r="X76" i="62"/>
  <c r="N76" i="62"/>
  <c r="L76" i="62"/>
  <c r="B76" i="62"/>
  <c r="X75" i="62"/>
  <c r="Z75" i="62" s="1"/>
  <c r="N75" i="62"/>
  <c r="L75" i="62"/>
  <c r="B75" i="62"/>
  <c r="T74" i="62"/>
  <c r="P74" i="62"/>
  <c r="H74" i="62"/>
  <c r="N74" i="62" s="1"/>
  <c r="D74" i="62"/>
  <c r="L74" i="62" s="1"/>
  <c r="B74" i="62"/>
  <c r="Z73" i="62"/>
  <c r="X73" i="62"/>
  <c r="L73" i="62"/>
  <c r="N73" i="62" s="1"/>
  <c r="J73" i="62"/>
  <c r="B73" i="62"/>
  <c r="X72" i="62"/>
  <c r="Z72" i="62" s="1"/>
  <c r="L72" i="62"/>
  <c r="N72" i="62" s="1"/>
  <c r="B72" i="62"/>
  <c r="X71" i="62"/>
  <c r="Z71" i="62" s="1"/>
  <c r="N71" i="62"/>
  <c r="L71" i="62"/>
  <c r="B71" i="62"/>
  <c r="Z70" i="62"/>
  <c r="X70" i="62"/>
  <c r="R70" i="62"/>
  <c r="N70" i="62"/>
  <c r="L70" i="62"/>
  <c r="B70" i="62"/>
  <c r="X69" i="62"/>
  <c r="Z69" i="62" s="1"/>
  <c r="V69" i="62"/>
  <c r="T69" i="62"/>
  <c r="P69" i="62"/>
  <c r="H69" i="62"/>
  <c r="F69" i="62"/>
  <c r="D69" i="62"/>
  <c r="B69" i="62"/>
  <c r="X68" i="62"/>
  <c r="Z68" i="62" s="1"/>
  <c r="L68" i="62"/>
  <c r="N68" i="62" s="1"/>
  <c r="B68" i="62"/>
  <c r="T67" i="62"/>
  <c r="R67" i="62"/>
  <c r="P67" i="62"/>
  <c r="H67" i="62"/>
  <c r="D67" i="62"/>
  <c r="L67" i="62" s="1"/>
  <c r="N67" i="62" s="1"/>
  <c r="B67" i="62"/>
  <c r="Z66" i="62"/>
  <c r="X66" i="62"/>
  <c r="N66" i="62"/>
  <c r="L66" i="62"/>
  <c r="F66" i="62"/>
  <c r="B66" i="62"/>
  <c r="Z65" i="62"/>
  <c r="T65" i="62"/>
  <c r="P65" i="62"/>
  <c r="X65" i="62" s="1"/>
  <c r="N65" i="62"/>
  <c r="H65" i="62"/>
  <c r="D65" i="62"/>
  <c r="L65" i="62" s="1"/>
  <c r="B65" i="62"/>
  <c r="X64" i="62"/>
  <c r="Z64" i="62" s="1"/>
  <c r="N64" i="62"/>
  <c r="L64" i="62"/>
  <c r="B64" i="62"/>
  <c r="T63" i="62"/>
  <c r="P63" i="62"/>
  <c r="X63" i="62" s="1"/>
  <c r="Z63" i="62" s="1"/>
  <c r="L63" i="62"/>
  <c r="N63" i="62" s="1"/>
  <c r="J63" i="62"/>
  <c r="H63" i="62"/>
  <c r="D63" i="62"/>
  <c r="B63" i="62"/>
  <c r="Z62" i="62"/>
  <c r="X62" i="62"/>
  <c r="R62" i="62"/>
  <c r="N62" i="62"/>
  <c r="L62" i="62"/>
  <c r="B62" i="62"/>
  <c r="X61" i="62"/>
  <c r="Z61" i="62" s="1"/>
  <c r="V61" i="62"/>
  <c r="T61" i="62"/>
  <c r="P61" i="62"/>
  <c r="H61" i="62"/>
  <c r="N61" i="62" s="1"/>
  <c r="F61" i="62"/>
  <c r="D61" i="62"/>
  <c r="B61" i="62"/>
  <c r="X60" i="62"/>
  <c r="Z60" i="62" s="1"/>
  <c r="L60" i="62"/>
  <c r="N60" i="62" s="1"/>
  <c r="B60" i="62"/>
  <c r="T59" i="62"/>
  <c r="R59" i="62"/>
  <c r="P59" i="62"/>
  <c r="H59" i="62"/>
  <c r="D59" i="62"/>
  <c r="L59" i="62" s="1"/>
  <c r="N59" i="62" s="1"/>
  <c r="B59" i="62"/>
  <c r="X58" i="62"/>
  <c r="Z58" i="62" s="1"/>
  <c r="N58" i="62"/>
  <c r="L58" i="62"/>
  <c r="B58" i="62"/>
  <c r="T57" i="62"/>
  <c r="P57" i="62"/>
  <c r="X57" i="62" s="1"/>
  <c r="Z57" i="62" s="1"/>
  <c r="N57" i="62"/>
  <c r="H57" i="62"/>
  <c r="D57" i="62"/>
  <c r="L57" i="62" s="1"/>
  <c r="B57" i="62"/>
  <c r="X56" i="62"/>
  <c r="Z56" i="62" s="1"/>
  <c r="N56" i="62"/>
  <c r="L56" i="62"/>
  <c r="B56" i="62"/>
  <c r="Z55" i="62"/>
  <c r="T55" i="62"/>
  <c r="P55" i="62"/>
  <c r="X55" i="62" s="1"/>
  <c r="N55" i="62"/>
  <c r="L55" i="62"/>
  <c r="J55" i="62"/>
  <c r="H55" i="62"/>
  <c r="D55" i="62"/>
  <c r="B55" i="62"/>
  <c r="Z54" i="62"/>
  <c r="X54" i="62"/>
  <c r="V54" i="62"/>
  <c r="R54" i="62"/>
  <c r="N54" i="62"/>
  <c r="L54" i="62"/>
  <c r="B54" i="62"/>
  <c r="X53" i="62"/>
  <c r="Z53" i="62" s="1"/>
  <c r="V53" i="62"/>
  <c r="T53" i="62"/>
  <c r="P53" i="62"/>
  <c r="H53" i="62"/>
  <c r="N53" i="62" s="1"/>
  <c r="F53" i="62"/>
  <c r="D53" i="62"/>
  <c r="B53" i="62"/>
  <c r="Z52" i="62"/>
  <c r="X52" i="62"/>
  <c r="N52" i="62"/>
  <c r="L52" i="62"/>
  <c r="B52" i="62"/>
  <c r="Z51" i="62"/>
  <c r="X51" i="62"/>
  <c r="R51" i="62"/>
  <c r="N51" i="62"/>
  <c r="L51" i="62"/>
  <c r="B51" i="62"/>
  <c r="V50" i="62"/>
  <c r="T50" i="62"/>
  <c r="P50" i="62"/>
  <c r="X50" i="62" s="1"/>
  <c r="H50" i="62"/>
  <c r="N50" i="62" s="1"/>
  <c r="D50" i="62"/>
  <c r="L50" i="62" s="1"/>
  <c r="B50" i="62"/>
  <c r="Z49" i="62"/>
  <c r="X49" i="62"/>
  <c r="L49" i="62"/>
  <c r="N49" i="62" s="1"/>
  <c r="J49" i="62"/>
  <c r="B49" i="62"/>
  <c r="Z48" i="62"/>
  <c r="X48" i="62"/>
  <c r="L48" i="62"/>
  <c r="N48" i="62" s="1"/>
  <c r="B48" i="62"/>
  <c r="T47" i="62"/>
  <c r="R47" i="62"/>
  <c r="P47" i="62"/>
  <c r="H47" i="62"/>
  <c r="D47" i="62"/>
  <c r="L47" i="62" s="1"/>
  <c r="N47" i="62" s="1"/>
  <c r="B47" i="62"/>
  <c r="X46" i="62"/>
  <c r="Z46" i="62" s="1"/>
  <c r="N46" i="62"/>
  <c r="L46" i="62"/>
  <c r="F46" i="62"/>
  <c r="B46" i="62"/>
  <c r="T45" i="62"/>
  <c r="P45" i="62"/>
  <c r="X45" i="62" s="1"/>
  <c r="Z45" i="62" s="1"/>
  <c r="N45" i="62"/>
  <c r="H45" i="62"/>
  <c r="D45" i="62"/>
  <c r="L45" i="62" s="1"/>
  <c r="B45" i="62"/>
  <c r="X44" i="62"/>
  <c r="Z44" i="62" s="1"/>
  <c r="N44" i="62"/>
  <c r="L44" i="62"/>
  <c r="B44" i="62"/>
  <c r="Z43" i="62"/>
  <c r="X43" i="62"/>
  <c r="L43" i="62"/>
  <c r="N43" i="62" s="1"/>
  <c r="B43" i="62"/>
  <c r="X42" i="62"/>
  <c r="Z42" i="62" s="1"/>
  <c r="T42" i="62"/>
  <c r="P42" i="62"/>
  <c r="L42" i="62"/>
  <c r="N42" i="62" s="1"/>
  <c r="H42" i="62"/>
  <c r="D42" i="62"/>
  <c r="B42" i="62"/>
  <c r="X41" i="62"/>
  <c r="Z41" i="62" s="1"/>
  <c r="V41" i="62"/>
  <c r="N41" i="62"/>
  <c r="L41" i="62"/>
  <c r="B41" i="62"/>
  <c r="X40" i="62"/>
  <c r="Z40" i="62" s="1"/>
  <c r="T40" i="62"/>
  <c r="P40" i="62"/>
  <c r="H40" i="62"/>
  <c r="N40" i="62" s="1"/>
  <c r="D40" i="62"/>
  <c r="L40" i="62" s="1"/>
  <c r="B40" i="62"/>
  <c r="Z39" i="62"/>
  <c r="X39" i="62"/>
  <c r="R39" i="62"/>
  <c r="N39" i="62"/>
  <c r="L39" i="62"/>
  <c r="B39" i="62"/>
  <c r="Z38" i="62"/>
  <c r="X38" i="62"/>
  <c r="V38" i="62"/>
  <c r="R38" i="62"/>
  <c r="L38" i="62"/>
  <c r="N38" i="62" s="1"/>
  <c r="B38" i="62"/>
  <c r="X37" i="62"/>
  <c r="Z37" i="62" s="1"/>
  <c r="V37" i="62"/>
  <c r="N37" i="62"/>
  <c r="L37" i="62"/>
  <c r="B37" i="62"/>
  <c r="X36" i="62"/>
  <c r="Z36" i="62" s="1"/>
  <c r="N36" i="62"/>
  <c r="L36" i="62"/>
  <c r="B36" i="62"/>
  <c r="Z35" i="62"/>
  <c r="X35" i="62"/>
  <c r="L35" i="62"/>
  <c r="N35" i="62" s="1"/>
  <c r="B35" i="62"/>
  <c r="X34" i="62"/>
  <c r="Z34" i="62" s="1"/>
  <c r="N34" i="62"/>
  <c r="L34" i="62"/>
  <c r="B34" i="62"/>
  <c r="Z33" i="62"/>
  <c r="X33" i="62"/>
  <c r="L33" i="62"/>
  <c r="N33" i="62" s="1"/>
  <c r="J33" i="62"/>
  <c r="B33" i="62"/>
  <c r="T32" i="62"/>
  <c r="Z32" i="62" s="1"/>
  <c r="R32" i="62"/>
  <c r="P32" i="62"/>
  <c r="X32" i="62" s="1"/>
  <c r="L32" i="62"/>
  <c r="N32" i="62" s="1"/>
  <c r="H32" i="62"/>
  <c r="D32" i="62"/>
  <c r="B32" i="62"/>
  <c r="Z31" i="62"/>
  <c r="X31" i="62"/>
  <c r="V31" i="62"/>
  <c r="L31" i="62"/>
  <c r="N31" i="62" s="1"/>
  <c r="B31" i="62"/>
  <c r="X30" i="62"/>
  <c r="Z30" i="62" s="1"/>
  <c r="N30" i="62"/>
  <c r="L30" i="62"/>
  <c r="F30" i="62"/>
  <c r="B30" i="62"/>
  <c r="Z29" i="62"/>
  <c r="X29" i="62"/>
  <c r="L29" i="62"/>
  <c r="N29" i="62" s="1"/>
  <c r="J29" i="62"/>
  <c r="B29" i="62"/>
  <c r="X28" i="62"/>
  <c r="Z28" i="62" s="1"/>
  <c r="L28" i="62"/>
  <c r="N28" i="62" s="1"/>
  <c r="B28" i="62"/>
  <c r="X27" i="62"/>
  <c r="Z27" i="62" s="1"/>
  <c r="R27" i="62"/>
  <c r="N27" i="62"/>
  <c r="L27" i="62"/>
  <c r="B27" i="62"/>
  <c r="Z26" i="62"/>
  <c r="X26" i="62"/>
  <c r="V26" i="62"/>
  <c r="R26" i="62"/>
  <c r="L26" i="62"/>
  <c r="N26" i="62" s="1"/>
  <c r="B26" i="62"/>
  <c r="X25" i="62"/>
  <c r="Z25" i="62" s="1"/>
  <c r="V25" i="62"/>
  <c r="N25" i="62"/>
  <c r="L25" i="62"/>
  <c r="B25" i="62"/>
  <c r="X24" i="62"/>
  <c r="Z24" i="62" s="1"/>
  <c r="R24" i="62"/>
  <c r="N24" i="62"/>
  <c r="L24" i="62"/>
  <c r="B24" i="62"/>
  <c r="Z23" i="62"/>
  <c r="X23" i="62"/>
  <c r="V23" i="62"/>
  <c r="L23" i="62"/>
  <c r="N23" i="62" s="1"/>
  <c r="B23" i="62"/>
  <c r="X22" i="62"/>
  <c r="Z22" i="62" s="1"/>
  <c r="N22" i="62"/>
  <c r="L22" i="62"/>
  <c r="B22" i="62"/>
  <c r="T21" i="62"/>
  <c r="R21" i="62"/>
  <c r="P21" i="62"/>
  <c r="X21" i="62" s="1"/>
  <c r="Z21" i="62" s="1"/>
  <c r="N21" i="62"/>
  <c r="H21" i="62"/>
  <c r="D21" i="62"/>
  <c r="L21" i="62" s="1"/>
  <c r="B21" i="62"/>
  <c r="T20" i="62" a="1"/>
  <c r="T20" i="62" s="1"/>
  <c r="P20" i="62" a="1"/>
  <c r="P20" i="62" s="1"/>
  <c r="H20" i="62" a="1"/>
  <c r="H20" i="62" s="1"/>
  <c r="D20" i="62" a="1"/>
  <c r="D20" i="62" s="1"/>
  <c r="H18" i="62"/>
  <c r="Z16" i="62"/>
  <c r="X16" i="62"/>
  <c r="V16" i="62"/>
  <c r="R16" i="62"/>
  <c r="N16" i="62"/>
  <c r="L16" i="62"/>
  <c r="B16" i="62"/>
  <c r="Z15" i="62"/>
  <c r="X15" i="62"/>
  <c r="V15" i="62"/>
  <c r="R15" i="62"/>
  <c r="N15" i="62"/>
  <c r="L15" i="62"/>
  <c r="J15" i="62"/>
  <c r="B15" i="62"/>
  <c r="V14" i="62"/>
  <c r="T14" i="62"/>
  <c r="P14" i="62"/>
  <c r="X14" i="62" s="1"/>
  <c r="J14" i="62"/>
  <c r="H14" i="62"/>
  <c r="N14" i="62" s="1"/>
  <c r="D14" i="62"/>
  <c r="L14" i="62" s="1"/>
  <c r="X12" i="62"/>
  <c r="T12" i="62"/>
  <c r="V95" i="62" s="1"/>
  <c r="P12" i="62"/>
  <c r="R105" i="62" s="1"/>
  <c r="N12" i="62"/>
  <c r="H12" i="62"/>
  <c r="J108" i="62" s="1"/>
  <c r="D12" i="62"/>
  <c r="D6" i="62"/>
  <c r="D4" i="62"/>
  <c r="Z48" i="61"/>
  <c r="X48" i="61"/>
  <c r="V48" i="61"/>
  <c r="N48" i="61"/>
  <c r="L48" i="61"/>
  <c r="F48" i="61"/>
  <c r="V46" i="61"/>
  <c r="F46" i="61"/>
  <c r="X44" i="61"/>
  <c r="T44" i="61"/>
  <c r="Z44" i="61" s="1"/>
  <c r="P44" i="61"/>
  <c r="H44" i="61"/>
  <c r="N44" i="61" s="1"/>
  <c r="D44" i="61"/>
  <c r="X42" i="61"/>
  <c r="Z42" i="61" s="1"/>
  <c r="V42" i="61"/>
  <c r="L42" i="61"/>
  <c r="N42" i="61" s="1"/>
  <c r="F42" i="61"/>
  <c r="B42" i="61"/>
  <c r="X41" i="61"/>
  <c r="T41" i="61"/>
  <c r="Z41" i="61" s="1"/>
  <c r="R41" i="61"/>
  <c r="P41" i="61"/>
  <c r="H41" i="61"/>
  <c r="D41" i="61"/>
  <c r="L41" i="61" s="1"/>
  <c r="N41" i="61" s="1"/>
  <c r="B41" i="61"/>
  <c r="Z40" i="61"/>
  <c r="X40" i="61"/>
  <c r="N40" i="61"/>
  <c r="L40" i="61"/>
  <c r="F40" i="61"/>
  <c r="B40" i="61"/>
  <c r="Z39" i="61"/>
  <c r="T39" i="61"/>
  <c r="P39" i="61"/>
  <c r="X39" i="61" s="1"/>
  <c r="N39" i="61"/>
  <c r="H39" i="61"/>
  <c r="D39" i="61"/>
  <c r="L39" i="61" s="1"/>
  <c r="B39" i="61"/>
  <c r="Z38" i="61"/>
  <c r="X38" i="61"/>
  <c r="N38" i="61"/>
  <c r="L38" i="61"/>
  <c r="B38" i="61"/>
  <c r="Z37" i="61"/>
  <c r="V37" i="61"/>
  <c r="T37" i="61"/>
  <c r="P37" i="61"/>
  <c r="X37" i="61" s="1"/>
  <c r="N37" i="61"/>
  <c r="L37" i="61"/>
  <c r="J37" i="61"/>
  <c r="H37" i="61"/>
  <c r="F37" i="61"/>
  <c r="D37" i="61"/>
  <c r="B37" i="61"/>
  <c r="Z36" i="61"/>
  <c r="X36" i="61"/>
  <c r="V36" i="61"/>
  <c r="R36" i="61"/>
  <c r="N36" i="61"/>
  <c r="L36" i="61"/>
  <c r="B36" i="61"/>
  <c r="X35" i="61"/>
  <c r="Z35" i="61" s="1"/>
  <c r="V35" i="61"/>
  <c r="T35" i="61"/>
  <c r="P35" i="61"/>
  <c r="L35" i="61"/>
  <c r="H35" i="61"/>
  <c r="N35" i="61" s="1"/>
  <c r="F35" i="61"/>
  <c r="D35" i="61"/>
  <c r="B35" i="61"/>
  <c r="Z34" i="61"/>
  <c r="X34" i="61"/>
  <c r="V34" i="61"/>
  <c r="L34" i="61"/>
  <c r="N34" i="61" s="1"/>
  <c r="F34" i="61"/>
  <c r="B34" i="61"/>
  <c r="X33" i="61"/>
  <c r="T33" i="61"/>
  <c r="Z33" i="61" s="1"/>
  <c r="R33" i="61"/>
  <c r="P33" i="61"/>
  <c r="H33" i="61"/>
  <c r="D33" i="61"/>
  <c r="L33" i="61" s="1"/>
  <c r="N33" i="61" s="1"/>
  <c r="B33" i="61"/>
  <c r="X32" i="61"/>
  <c r="Z32" i="61" s="1"/>
  <c r="N32" i="61"/>
  <c r="L32" i="61"/>
  <c r="F32" i="61"/>
  <c r="B32" i="61"/>
  <c r="Z31" i="61"/>
  <c r="X31" i="61"/>
  <c r="N31" i="61"/>
  <c r="L31" i="61"/>
  <c r="J31" i="61"/>
  <c r="B31" i="61"/>
  <c r="Z30" i="61"/>
  <c r="X30" i="61"/>
  <c r="V30" i="61"/>
  <c r="N30" i="61"/>
  <c r="L30" i="61"/>
  <c r="F30" i="61"/>
  <c r="B30" i="61"/>
  <c r="X29" i="61"/>
  <c r="Z29" i="61" s="1"/>
  <c r="N29" i="61"/>
  <c r="L29" i="61"/>
  <c r="B29" i="61"/>
  <c r="V28" i="61"/>
  <c r="T28" i="61"/>
  <c r="P28" i="61"/>
  <c r="X28" i="61" s="1"/>
  <c r="H28" i="61"/>
  <c r="F28" i="61"/>
  <c r="D28" i="61"/>
  <c r="L28" i="61" s="1"/>
  <c r="B28" i="61"/>
  <c r="Z27" i="61"/>
  <c r="X27" i="61"/>
  <c r="N27" i="61"/>
  <c r="L27" i="61"/>
  <c r="J27" i="61"/>
  <c r="B27" i="61"/>
  <c r="Z26" i="61"/>
  <c r="X26" i="61"/>
  <c r="V26" i="61"/>
  <c r="L26" i="61"/>
  <c r="N26" i="61" s="1"/>
  <c r="F26" i="61"/>
  <c r="B26" i="61"/>
  <c r="X25" i="61"/>
  <c r="Z25" i="61" s="1"/>
  <c r="N25" i="61"/>
  <c r="L25" i="61"/>
  <c r="B25" i="61"/>
  <c r="Z24" i="61"/>
  <c r="X24" i="61"/>
  <c r="V24" i="61"/>
  <c r="R24" i="61"/>
  <c r="L24" i="61"/>
  <c r="N24" i="61" s="1"/>
  <c r="B24" i="61"/>
  <c r="X23" i="61"/>
  <c r="Z23" i="61" s="1"/>
  <c r="V23" i="61"/>
  <c r="N23" i="61"/>
  <c r="L23" i="61"/>
  <c r="F23" i="61"/>
  <c r="B23" i="61"/>
  <c r="X22" i="61"/>
  <c r="Z22" i="61" s="1"/>
  <c r="N22" i="61"/>
  <c r="L22" i="61"/>
  <c r="B22" i="61"/>
  <c r="Z21" i="61"/>
  <c r="X21" i="61"/>
  <c r="V21" i="61"/>
  <c r="L21" i="61"/>
  <c r="N21" i="61" s="1"/>
  <c r="F21" i="61"/>
  <c r="B21" i="61"/>
  <c r="X20" i="61"/>
  <c r="Z20" i="61" s="1"/>
  <c r="N20" i="61"/>
  <c r="L20" i="61"/>
  <c r="F20" i="61"/>
  <c r="B20" i="61"/>
  <c r="T19" i="61"/>
  <c r="P19" i="61"/>
  <c r="X19" i="61" s="1"/>
  <c r="Z19" i="61" s="1"/>
  <c r="J19" i="61"/>
  <c r="H19" i="61"/>
  <c r="D19" i="61"/>
  <c r="L19" i="61" s="1"/>
  <c r="N19" i="61" s="1"/>
  <c r="B19" i="61"/>
  <c r="T18" i="61" a="1"/>
  <c r="T18" i="61" s="1"/>
  <c r="P18" i="61" a="1"/>
  <c r="P18" i="61" s="1"/>
  <c r="X18" i="61" s="1"/>
  <c r="H18" i="61" a="1"/>
  <c r="H18" i="61" s="1"/>
  <c r="D18" i="61" a="1"/>
  <c r="D18" i="61" s="1"/>
  <c r="L18" i="61" s="1"/>
  <c r="T16" i="61"/>
  <c r="H16" i="61"/>
  <c r="D16" i="61"/>
  <c r="D46" i="61" s="1"/>
  <c r="V14" i="61"/>
  <c r="T14" i="61"/>
  <c r="Z14" i="61" s="1"/>
  <c r="P14" i="61"/>
  <c r="X14" i="61" s="1"/>
  <c r="L14" i="61"/>
  <c r="H14" i="61"/>
  <c r="N14" i="61" s="1"/>
  <c r="F14" i="61"/>
  <c r="D14" i="61"/>
  <c r="Z12" i="61"/>
  <c r="X12" i="61"/>
  <c r="T12" i="61"/>
  <c r="V40" i="61" s="1"/>
  <c r="P12" i="61"/>
  <c r="R38" i="61" s="1"/>
  <c r="H12" i="61"/>
  <c r="J39" i="61" s="1"/>
  <c r="D12" i="61"/>
  <c r="F29" i="61" s="1"/>
  <c r="D6" i="61"/>
  <c r="D4" i="61"/>
  <c r="Z49" i="60"/>
  <c r="X49" i="60"/>
  <c r="N49" i="60"/>
  <c r="L49" i="60"/>
  <c r="F49" i="60"/>
  <c r="T45" i="60"/>
  <c r="Z45" i="60" s="1"/>
  <c r="P45" i="60"/>
  <c r="X45" i="60" s="1"/>
  <c r="H45" i="60"/>
  <c r="N45" i="60" s="1"/>
  <c r="D45" i="60"/>
  <c r="L45" i="60" s="1"/>
  <c r="X43" i="60"/>
  <c r="Z43" i="60" s="1"/>
  <c r="N43" i="60"/>
  <c r="L43" i="60"/>
  <c r="F43" i="60"/>
  <c r="B43" i="60"/>
  <c r="T42" i="60"/>
  <c r="P42" i="60"/>
  <c r="X42" i="60" s="1"/>
  <c r="Z42" i="60" s="1"/>
  <c r="N42" i="60"/>
  <c r="J42" i="60"/>
  <c r="H42" i="60"/>
  <c r="D42" i="60"/>
  <c r="L42" i="60" s="1"/>
  <c r="B42" i="60"/>
  <c r="X41" i="60"/>
  <c r="Z41" i="60" s="1"/>
  <c r="R41" i="60"/>
  <c r="L41" i="60"/>
  <c r="N41" i="60" s="1"/>
  <c r="B41" i="60"/>
  <c r="Z40" i="60"/>
  <c r="X40" i="60"/>
  <c r="N40" i="60"/>
  <c r="L40" i="60"/>
  <c r="B40" i="60"/>
  <c r="Z39" i="60"/>
  <c r="X39" i="60"/>
  <c r="N39" i="60"/>
  <c r="L39" i="60"/>
  <c r="F39" i="60"/>
  <c r="B39" i="60"/>
  <c r="T38" i="60"/>
  <c r="P38" i="60"/>
  <c r="X38" i="60" s="1"/>
  <c r="Z38" i="60" s="1"/>
  <c r="J38" i="60"/>
  <c r="H38" i="60"/>
  <c r="D38" i="60"/>
  <c r="L38" i="60" s="1"/>
  <c r="N38" i="60" s="1"/>
  <c r="B38" i="60"/>
  <c r="X37" i="60"/>
  <c r="Z37" i="60" s="1"/>
  <c r="R37" i="60"/>
  <c r="N37" i="60"/>
  <c r="L37" i="60"/>
  <c r="B37" i="60"/>
  <c r="Z36" i="60"/>
  <c r="X36" i="60"/>
  <c r="L36" i="60"/>
  <c r="N36" i="60" s="1"/>
  <c r="B36" i="60"/>
  <c r="Z35" i="60"/>
  <c r="X35" i="60"/>
  <c r="N35" i="60"/>
  <c r="L35" i="60"/>
  <c r="F35" i="60"/>
  <c r="B35" i="60"/>
  <c r="T34" i="60"/>
  <c r="P34" i="60"/>
  <c r="X34" i="60" s="1"/>
  <c r="Z34" i="60" s="1"/>
  <c r="N34" i="60"/>
  <c r="J34" i="60"/>
  <c r="H34" i="60"/>
  <c r="D34" i="60"/>
  <c r="L34" i="60" s="1"/>
  <c r="B34" i="60"/>
  <c r="X33" i="60"/>
  <c r="Z33" i="60" s="1"/>
  <c r="R33" i="60"/>
  <c r="N33" i="60"/>
  <c r="L33" i="60"/>
  <c r="J33" i="60"/>
  <c r="B33" i="60"/>
  <c r="T32" i="60"/>
  <c r="P32" i="60"/>
  <c r="X32" i="60" s="1"/>
  <c r="Z32" i="60" s="1"/>
  <c r="L32" i="60"/>
  <c r="J32" i="60"/>
  <c r="H32" i="60"/>
  <c r="N32" i="60" s="1"/>
  <c r="D32" i="60"/>
  <c r="B32" i="60"/>
  <c r="Z31" i="60"/>
  <c r="X31" i="60"/>
  <c r="R31" i="60"/>
  <c r="N31" i="60"/>
  <c r="L31" i="60"/>
  <c r="B31" i="60"/>
  <c r="X30" i="60"/>
  <c r="V30" i="60"/>
  <c r="T30" i="60"/>
  <c r="Z30" i="60" s="1"/>
  <c r="R30" i="60"/>
  <c r="P30" i="60"/>
  <c r="L30" i="60"/>
  <c r="H30" i="60"/>
  <c r="N30" i="60" s="1"/>
  <c r="F30" i="60"/>
  <c r="D30" i="60"/>
  <c r="B30" i="60"/>
  <c r="Z29" i="60"/>
  <c r="X29" i="60"/>
  <c r="L29" i="60"/>
  <c r="N29" i="60" s="1"/>
  <c r="F29" i="60"/>
  <c r="B29" i="60"/>
  <c r="X28" i="60"/>
  <c r="T28" i="60"/>
  <c r="Z28" i="60" s="1"/>
  <c r="R28" i="60"/>
  <c r="P28" i="60"/>
  <c r="H28" i="60"/>
  <c r="D28" i="60"/>
  <c r="L28" i="60" s="1"/>
  <c r="N28" i="60" s="1"/>
  <c r="B28" i="60"/>
  <c r="X27" i="60"/>
  <c r="Z27" i="60" s="1"/>
  <c r="N27" i="60"/>
  <c r="L27" i="60"/>
  <c r="F27" i="60"/>
  <c r="B27" i="60"/>
  <c r="Z26" i="60"/>
  <c r="X26" i="60"/>
  <c r="R26" i="60"/>
  <c r="L26" i="60"/>
  <c r="N26" i="60" s="1"/>
  <c r="J26" i="60"/>
  <c r="B26" i="60"/>
  <c r="Z25" i="60"/>
  <c r="X25" i="60"/>
  <c r="L25" i="60"/>
  <c r="N25" i="60" s="1"/>
  <c r="F25" i="60"/>
  <c r="B25" i="60"/>
  <c r="X24" i="60"/>
  <c r="Z24" i="60" s="1"/>
  <c r="R24" i="60"/>
  <c r="N24" i="60"/>
  <c r="L24" i="60"/>
  <c r="J24" i="60"/>
  <c r="B24" i="60"/>
  <c r="Z23" i="60"/>
  <c r="X23" i="60"/>
  <c r="R23" i="60"/>
  <c r="L23" i="60"/>
  <c r="N23" i="60" s="1"/>
  <c r="B23" i="60"/>
  <c r="X22" i="60"/>
  <c r="Z22" i="60" s="1"/>
  <c r="N22" i="60"/>
  <c r="L22" i="60"/>
  <c r="B22" i="60"/>
  <c r="X21" i="60"/>
  <c r="Z21" i="60" s="1"/>
  <c r="R21" i="60"/>
  <c r="N21" i="60"/>
  <c r="L21" i="60"/>
  <c r="J21" i="60"/>
  <c r="B21" i="60"/>
  <c r="Z20" i="60"/>
  <c r="X20" i="60"/>
  <c r="L20" i="60"/>
  <c r="N20" i="60" s="1"/>
  <c r="B20" i="60"/>
  <c r="X19" i="60"/>
  <c r="Z19" i="60" s="1"/>
  <c r="T19" i="60"/>
  <c r="R19" i="60"/>
  <c r="P19" i="60"/>
  <c r="L19" i="60"/>
  <c r="H19" i="60"/>
  <c r="D19" i="60"/>
  <c r="B19" i="60"/>
  <c r="T18" i="60" a="1"/>
  <c r="T18" i="60"/>
  <c r="P18" i="60" a="1"/>
  <c r="P18" i="60"/>
  <c r="X18" i="60" s="1"/>
  <c r="J18" i="60"/>
  <c r="H18" i="60" a="1"/>
  <c r="H18" i="60"/>
  <c r="H47" i="60" s="1"/>
  <c r="D18" i="60" a="1"/>
  <c r="D18" i="60"/>
  <c r="L18" i="60" s="1"/>
  <c r="R16" i="60"/>
  <c r="H16" i="60"/>
  <c r="N16" i="60" s="1"/>
  <c r="F16" i="60"/>
  <c r="Z14" i="60"/>
  <c r="T14" i="60"/>
  <c r="P14" i="60"/>
  <c r="X14" i="60" s="1"/>
  <c r="N14" i="60"/>
  <c r="J14" i="60"/>
  <c r="H14" i="60"/>
  <c r="D14" i="60"/>
  <c r="L14" i="60" s="1"/>
  <c r="T12" i="60"/>
  <c r="P12" i="60"/>
  <c r="R40" i="60" s="1"/>
  <c r="N12" i="60"/>
  <c r="H12" i="60"/>
  <c r="J31" i="60" s="1"/>
  <c r="D12" i="60"/>
  <c r="F32" i="60" s="1"/>
  <c r="D6" i="60"/>
  <c r="D4" i="60"/>
  <c r="J63" i="59"/>
  <c r="R60" i="59"/>
  <c r="Z58" i="59"/>
  <c r="X58" i="59"/>
  <c r="N58" i="59"/>
  <c r="L58" i="59"/>
  <c r="J56" i="59"/>
  <c r="X54" i="59"/>
  <c r="T54" i="59"/>
  <c r="Z54" i="59" s="1"/>
  <c r="R54" i="59"/>
  <c r="P54" i="59"/>
  <c r="N54" i="59"/>
  <c r="H54" i="59"/>
  <c r="D54" i="59"/>
  <c r="L54" i="59" s="1"/>
  <c r="Z52" i="59"/>
  <c r="X52" i="59"/>
  <c r="N52" i="59"/>
  <c r="L52" i="59"/>
  <c r="B52" i="59"/>
  <c r="X51" i="59"/>
  <c r="T51" i="59"/>
  <c r="Z51" i="59" s="1"/>
  <c r="P51" i="59"/>
  <c r="L51" i="59"/>
  <c r="H51" i="59"/>
  <c r="N51" i="59" s="1"/>
  <c r="D51" i="59"/>
  <c r="B51" i="59"/>
  <c r="X50" i="59"/>
  <c r="Z50" i="59" s="1"/>
  <c r="V50" i="59"/>
  <c r="N50" i="59"/>
  <c r="L50" i="59"/>
  <c r="B50" i="59"/>
  <c r="X49" i="59"/>
  <c r="T49" i="59"/>
  <c r="P49" i="59"/>
  <c r="H49" i="59"/>
  <c r="N49" i="59" s="1"/>
  <c r="D49" i="59"/>
  <c r="L49" i="59" s="1"/>
  <c r="B49" i="59"/>
  <c r="X48" i="59"/>
  <c r="Z48" i="59" s="1"/>
  <c r="N48" i="59"/>
  <c r="L48" i="59"/>
  <c r="B48" i="59"/>
  <c r="Z47" i="59"/>
  <c r="X47" i="59"/>
  <c r="R47" i="59"/>
  <c r="L47" i="59"/>
  <c r="N47" i="59" s="1"/>
  <c r="B47" i="59"/>
  <c r="X46" i="59"/>
  <c r="Z46" i="59" s="1"/>
  <c r="V46" i="59"/>
  <c r="T46" i="59"/>
  <c r="P46" i="59"/>
  <c r="L46" i="59"/>
  <c r="H46" i="59"/>
  <c r="N46" i="59" s="1"/>
  <c r="F46" i="59"/>
  <c r="D46" i="59"/>
  <c r="B46" i="59"/>
  <c r="X45" i="59"/>
  <c r="Z45" i="59" s="1"/>
  <c r="L45" i="59"/>
  <c r="N45" i="59" s="1"/>
  <c r="F45" i="59"/>
  <c r="B45" i="59"/>
  <c r="X44" i="59"/>
  <c r="T44" i="59"/>
  <c r="Z44" i="59" s="1"/>
  <c r="R44" i="59"/>
  <c r="P44" i="59"/>
  <c r="H44" i="59"/>
  <c r="D44" i="59"/>
  <c r="L44" i="59" s="1"/>
  <c r="N44" i="59" s="1"/>
  <c r="B44" i="59"/>
  <c r="Z43" i="59"/>
  <c r="X43" i="59"/>
  <c r="N43" i="59"/>
  <c r="L43" i="59"/>
  <c r="F43" i="59"/>
  <c r="B43" i="59"/>
  <c r="Z42" i="59"/>
  <c r="X42" i="59"/>
  <c r="L42" i="59"/>
  <c r="N42" i="59" s="1"/>
  <c r="J42" i="59"/>
  <c r="B42" i="59"/>
  <c r="Z41" i="59"/>
  <c r="X41" i="59"/>
  <c r="N41" i="59"/>
  <c r="L41" i="59"/>
  <c r="F41" i="59"/>
  <c r="B41" i="59"/>
  <c r="X40" i="59"/>
  <c r="Z40" i="59" s="1"/>
  <c r="N40" i="59"/>
  <c r="L40" i="59"/>
  <c r="B40" i="59"/>
  <c r="T39" i="59"/>
  <c r="P39" i="59"/>
  <c r="H39" i="59"/>
  <c r="D39" i="59"/>
  <c r="L39" i="59" s="1"/>
  <c r="N39" i="59" s="1"/>
  <c r="B39" i="59"/>
  <c r="Z38" i="59"/>
  <c r="X38" i="59"/>
  <c r="L38" i="59"/>
  <c r="N38" i="59" s="1"/>
  <c r="J38" i="59"/>
  <c r="B38" i="59"/>
  <c r="T37" i="59"/>
  <c r="P37" i="59"/>
  <c r="X37" i="59" s="1"/>
  <c r="Z37" i="59" s="1"/>
  <c r="L37" i="59"/>
  <c r="H37" i="59"/>
  <c r="N37" i="59" s="1"/>
  <c r="F37" i="59"/>
  <c r="D37" i="59"/>
  <c r="B37" i="59"/>
  <c r="Z36" i="59"/>
  <c r="X36" i="59"/>
  <c r="V36" i="59"/>
  <c r="N36" i="59"/>
  <c r="L36" i="59"/>
  <c r="B36" i="59"/>
  <c r="X35" i="59"/>
  <c r="T35" i="59"/>
  <c r="Z35" i="59" s="1"/>
  <c r="P35" i="59"/>
  <c r="L35" i="59"/>
  <c r="H35" i="59"/>
  <c r="N35" i="59" s="1"/>
  <c r="D35" i="59"/>
  <c r="B35" i="59"/>
  <c r="X34" i="59"/>
  <c r="Z34" i="59" s="1"/>
  <c r="V34" i="59"/>
  <c r="N34" i="59"/>
  <c r="L34" i="59"/>
  <c r="F34" i="59"/>
  <c r="B34" i="59"/>
  <c r="X33" i="59"/>
  <c r="T33" i="59"/>
  <c r="P33" i="59"/>
  <c r="H33" i="59"/>
  <c r="D33" i="59"/>
  <c r="B33" i="59"/>
  <c r="Z32" i="59"/>
  <c r="X32" i="59"/>
  <c r="N32" i="59"/>
  <c r="L32" i="59"/>
  <c r="B32" i="59"/>
  <c r="Z31" i="59"/>
  <c r="X31" i="59"/>
  <c r="R31" i="59"/>
  <c r="N31" i="59"/>
  <c r="L31" i="59"/>
  <c r="B31" i="59"/>
  <c r="X30" i="59"/>
  <c r="Z30" i="59" s="1"/>
  <c r="V30" i="59"/>
  <c r="N30" i="59"/>
  <c r="L30" i="59"/>
  <c r="F30" i="59"/>
  <c r="B30" i="59"/>
  <c r="X29" i="59"/>
  <c r="T29" i="59"/>
  <c r="Z29" i="59" s="1"/>
  <c r="P29" i="59"/>
  <c r="H29" i="59"/>
  <c r="D29" i="59"/>
  <c r="L29" i="59" s="1"/>
  <c r="B29" i="59"/>
  <c r="X28" i="59"/>
  <c r="Z28" i="59" s="1"/>
  <c r="N28" i="59"/>
  <c r="L28" i="59"/>
  <c r="B28" i="59"/>
  <c r="Z27" i="59"/>
  <c r="X27" i="59"/>
  <c r="R27" i="59"/>
  <c r="L27" i="59"/>
  <c r="N27" i="59" s="1"/>
  <c r="B27" i="59"/>
  <c r="X26" i="59"/>
  <c r="Z26" i="59" s="1"/>
  <c r="V26" i="59"/>
  <c r="N26" i="59"/>
  <c r="L26" i="59"/>
  <c r="F26" i="59"/>
  <c r="B26" i="59"/>
  <c r="X25" i="59"/>
  <c r="Z25" i="59" s="1"/>
  <c r="N25" i="59"/>
  <c r="L25" i="59"/>
  <c r="B25" i="59"/>
  <c r="Z24" i="59"/>
  <c r="X24" i="59"/>
  <c r="V24" i="59"/>
  <c r="L24" i="59"/>
  <c r="N24" i="59" s="1"/>
  <c r="B24" i="59"/>
  <c r="X23" i="59"/>
  <c r="Z23" i="59" s="1"/>
  <c r="N23" i="59"/>
  <c r="L23" i="59"/>
  <c r="F23" i="59"/>
  <c r="B23" i="59"/>
  <c r="Z22" i="59"/>
  <c r="X22" i="59"/>
  <c r="L22" i="59"/>
  <c r="N22" i="59" s="1"/>
  <c r="B22" i="59"/>
  <c r="X21" i="59"/>
  <c r="Z21" i="59" s="1"/>
  <c r="V21" i="59"/>
  <c r="L21" i="59"/>
  <c r="N21" i="59" s="1"/>
  <c r="F21" i="59"/>
  <c r="B21" i="59"/>
  <c r="X20" i="59"/>
  <c r="Z20" i="59" s="1"/>
  <c r="N20" i="59"/>
  <c r="L20" i="59"/>
  <c r="B20" i="59"/>
  <c r="T19" i="59"/>
  <c r="P19" i="59"/>
  <c r="H19" i="59"/>
  <c r="N19" i="59" s="1"/>
  <c r="F19" i="59"/>
  <c r="D19" i="59"/>
  <c r="L19" i="59" s="1"/>
  <c r="B19" i="59"/>
  <c r="T18" i="59" a="1"/>
  <c r="T18" i="59" s="1"/>
  <c r="P18" i="59" a="1"/>
  <c r="P18" i="59" s="1"/>
  <c r="H18" i="59" a="1"/>
  <c r="H18" i="59" s="1"/>
  <c r="F18" i="59"/>
  <c r="D18" i="59" a="1"/>
  <c r="D18" i="59" s="1"/>
  <c r="L18" i="59" s="1"/>
  <c r="Z16" i="59"/>
  <c r="T16" i="59"/>
  <c r="F16" i="59"/>
  <c r="D16" i="59"/>
  <c r="Z14" i="59"/>
  <c r="X14" i="59"/>
  <c r="V14" i="59"/>
  <c r="T14" i="59"/>
  <c r="R14" i="59"/>
  <c r="P14" i="59"/>
  <c r="L14" i="59"/>
  <c r="H14" i="59"/>
  <c r="N14" i="59" s="1"/>
  <c r="F14" i="59"/>
  <c r="D14" i="59"/>
  <c r="Z12" i="59"/>
  <c r="T12" i="59"/>
  <c r="V63" i="59" s="1"/>
  <c r="P12" i="59"/>
  <c r="R46" i="59" s="1"/>
  <c r="H12" i="59"/>
  <c r="D12" i="59"/>
  <c r="F63" i="59" s="1"/>
  <c r="D6" i="59"/>
  <c r="D4" i="59"/>
  <c r="R76" i="58"/>
  <c r="J73" i="58"/>
  <c r="Z71" i="58"/>
  <c r="X71" i="58"/>
  <c r="N71" i="58"/>
  <c r="L71" i="58"/>
  <c r="R69" i="58"/>
  <c r="Z67" i="58"/>
  <c r="T67" i="58"/>
  <c r="P67" i="58"/>
  <c r="X67" i="58" s="1"/>
  <c r="L67" i="58"/>
  <c r="H67" i="58"/>
  <c r="N67" i="58" s="1"/>
  <c r="D67" i="58"/>
  <c r="X65" i="58"/>
  <c r="Z65" i="58" s="1"/>
  <c r="N65" i="58"/>
  <c r="L65" i="58"/>
  <c r="B65" i="58"/>
  <c r="T64" i="58"/>
  <c r="P64" i="58"/>
  <c r="H64" i="58"/>
  <c r="N64" i="58" s="1"/>
  <c r="D64" i="58"/>
  <c r="L64" i="58" s="1"/>
  <c r="B64" i="58"/>
  <c r="Z63" i="58"/>
  <c r="X63" i="58"/>
  <c r="N63" i="58"/>
  <c r="L63" i="58"/>
  <c r="B63" i="58"/>
  <c r="T62" i="58"/>
  <c r="P62" i="58"/>
  <c r="X62" i="58" s="1"/>
  <c r="L62" i="58"/>
  <c r="H62" i="58"/>
  <c r="N62" i="58" s="1"/>
  <c r="D62" i="58"/>
  <c r="B62" i="58"/>
  <c r="Z61" i="58"/>
  <c r="X61" i="58"/>
  <c r="L61" i="58"/>
  <c r="N61" i="58" s="1"/>
  <c r="B61" i="58"/>
  <c r="X60" i="58"/>
  <c r="T60" i="58"/>
  <c r="Z60" i="58" s="1"/>
  <c r="P60" i="58"/>
  <c r="L60" i="58"/>
  <c r="H60" i="58"/>
  <c r="D60" i="58"/>
  <c r="B60" i="58"/>
  <c r="Z59" i="58"/>
  <c r="X59" i="58"/>
  <c r="N59" i="58"/>
  <c r="L59" i="58"/>
  <c r="B59" i="58"/>
  <c r="X58" i="58"/>
  <c r="Z58" i="58" s="1"/>
  <c r="N58" i="58"/>
  <c r="L58" i="58"/>
  <c r="B58" i="58"/>
  <c r="Z57" i="58"/>
  <c r="X57" i="58"/>
  <c r="N57" i="58"/>
  <c r="L57" i="58"/>
  <c r="B57" i="58"/>
  <c r="X56" i="58"/>
  <c r="Z56" i="58" s="1"/>
  <c r="N56" i="58"/>
  <c r="L56" i="58"/>
  <c r="B56" i="58"/>
  <c r="T55" i="58"/>
  <c r="P55" i="58"/>
  <c r="X55" i="58" s="1"/>
  <c r="Z55" i="58" s="1"/>
  <c r="N55" i="58"/>
  <c r="H55" i="58"/>
  <c r="D55" i="58"/>
  <c r="L55" i="58" s="1"/>
  <c r="B55" i="58"/>
  <c r="Z54" i="58"/>
  <c r="X54" i="58"/>
  <c r="N54" i="58"/>
  <c r="L54" i="58"/>
  <c r="B54" i="58"/>
  <c r="Z53" i="58"/>
  <c r="X53" i="58"/>
  <c r="N53" i="58"/>
  <c r="L53" i="58"/>
  <c r="B53" i="58"/>
  <c r="X52" i="58"/>
  <c r="T52" i="58"/>
  <c r="Z52" i="58" s="1"/>
  <c r="P52" i="58"/>
  <c r="L52" i="58"/>
  <c r="H52" i="58"/>
  <c r="N52" i="58" s="1"/>
  <c r="D52" i="58"/>
  <c r="B52" i="58"/>
  <c r="X51" i="58"/>
  <c r="Z51" i="58" s="1"/>
  <c r="N51" i="58"/>
  <c r="L51" i="58"/>
  <c r="B51" i="58"/>
  <c r="X50" i="58"/>
  <c r="Z50" i="58" s="1"/>
  <c r="L50" i="58"/>
  <c r="N50" i="58" s="1"/>
  <c r="B50" i="58"/>
  <c r="Z49" i="58"/>
  <c r="T49" i="58"/>
  <c r="P49" i="58"/>
  <c r="X49" i="58" s="1"/>
  <c r="L49" i="58"/>
  <c r="N49" i="58" s="1"/>
  <c r="H49" i="58"/>
  <c r="D49" i="58"/>
  <c r="B49" i="58"/>
  <c r="Z48" i="58"/>
  <c r="X48" i="58"/>
  <c r="N48" i="58"/>
  <c r="L48" i="58"/>
  <c r="B48" i="58"/>
  <c r="X47" i="58"/>
  <c r="Z47" i="58" s="1"/>
  <c r="N47" i="58"/>
  <c r="L47" i="58"/>
  <c r="B47" i="58"/>
  <c r="X46" i="58"/>
  <c r="T46" i="58"/>
  <c r="P46" i="58"/>
  <c r="H46" i="58"/>
  <c r="N46" i="58" s="1"/>
  <c r="D46" i="58"/>
  <c r="L46" i="58" s="1"/>
  <c r="B46" i="58"/>
  <c r="X45" i="58"/>
  <c r="Z45" i="58" s="1"/>
  <c r="N45" i="58"/>
  <c r="L45" i="58"/>
  <c r="B45" i="58"/>
  <c r="T44" i="58"/>
  <c r="P44" i="58"/>
  <c r="H44" i="58"/>
  <c r="D44" i="58"/>
  <c r="L44" i="58" s="1"/>
  <c r="B44" i="58"/>
  <c r="Z43" i="58"/>
  <c r="X43" i="58"/>
  <c r="N43" i="58"/>
  <c r="L43" i="58"/>
  <c r="B43" i="58"/>
  <c r="T42" i="58"/>
  <c r="Z42" i="58" s="1"/>
  <c r="P42" i="58"/>
  <c r="X42" i="58" s="1"/>
  <c r="L42" i="58"/>
  <c r="H42" i="58"/>
  <c r="N42" i="58" s="1"/>
  <c r="D42" i="58"/>
  <c r="B42" i="58"/>
  <c r="Z41" i="58"/>
  <c r="X41" i="58"/>
  <c r="L41" i="58"/>
  <c r="N41" i="58" s="1"/>
  <c r="B41" i="58"/>
  <c r="X40" i="58"/>
  <c r="T40" i="58"/>
  <c r="Z40" i="58" s="1"/>
  <c r="P40" i="58"/>
  <c r="L40" i="58"/>
  <c r="H40" i="58"/>
  <c r="D40" i="58"/>
  <c r="B40" i="58"/>
  <c r="Z39" i="58"/>
  <c r="X39" i="58"/>
  <c r="N39" i="58"/>
  <c r="L39" i="58"/>
  <c r="B39" i="58"/>
  <c r="X38" i="58"/>
  <c r="T38" i="58"/>
  <c r="Z38" i="58" s="1"/>
  <c r="P38" i="58"/>
  <c r="H38" i="58"/>
  <c r="N38" i="58" s="1"/>
  <c r="D38" i="58"/>
  <c r="L38" i="58" s="1"/>
  <c r="B38" i="58"/>
  <c r="Z37" i="58"/>
  <c r="X37" i="58"/>
  <c r="N37" i="58"/>
  <c r="L37" i="58"/>
  <c r="B37" i="58"/>
  <c r="T36" i="58"/>
  <c r="Z36" i="58" s="1"/>
  <c r="P36" i="58"/>
  <c r="X36" i="58" s="1"/>
  <c r="H36" i="58"/>
  <c r="N36" i="58" s="1"/>
  <c r="D36" i="58"/>
  <c r="L36" i="58" s="1"/>
  <c r="B36" i="58"/>
  <c r="Z35" i="58"/>
  <c r="X35" i="58"/>
  <c r="N35" i="58"/>
  <c r="L35" i="58"/>
  <c r="J35" i="58"/>
  <c r="B35" i="58"/>
  <c r="X34" i="58"/>
  <c r="Z34" i="58" s="1"/>
  <c r="L34" i="58"/>
  <c r="N34" i="58" s="1"/>
  <c r="B34" i="58"/>
  <c r="X33" i="58"/>
  <c r="Z33" i="58" s="1"/>
  <c r="N33" i="58"/>
  <c r="L33" i="58"/>
  <c r="B33" i="58"/>
  <c r="Z32" i="58"/>
  <c r="X32" i="58"/>
  <c r="R32" i="58"/>
  <c r="N32" i="58"/>
  <c r="L32" i="58"/>
  <c r="B32" i="58"/>
  <c r="Z31" i="58"/>
  <c r="X31" i="58"/>
  <c r="N31" i="58"/>
  <c r="L31" i="58"/>
  <c r="B31" i="58"/>
  <c r="T30" i="58"/>
  <c r="P30" i="58"/>
  <c r="H30" i="58"/>
  <c r="D30" i="58"/>
  <c r="L30" i="58" s="1"/>
  <c r="N30" i="58" s="1"/>
  <c r="B30" i="58"/>
  <c r="X29" i="58"/>
  <c r="Z29" i="58" s="1"/>
  <c r="N29" i="58"/>
  <c r="L29" i="58"/>
  <c r="B29" i="58"/>
  <c r="Z28" i="58"/>
  <c r="X28" i="58"/>
  <c r="R28" i="58"/>
  <c r="L28" i="58"/>
  <c r="N28" i="58" s="1"/>
  <c r="B28" i="58"/>
  <c r="Z27" i="58"/>
  <c r="X27" i="58"/>
  <c r="N27" i="58"/>
  <c r="L27" i="58"/>
  <c r="F27" i="58"/>
  <c r="B27" i="58"/>
  <c r="X26" i="58"/>
  <c r="Z26" i="58" s="1"/>
  <c r="R26" i="58"/>
  <c r="L26" i="58"/>
  <c r="N26" i="58" s="1"/>
  <c r="J26" i="58"/>
  <c r="B26" i="58"/>
  <c r="Z25" i="58"/>
  <c r="X25" i="58"/>
  <c r="L25" i="58"/>
  <c r="N25" i="58" s="1"/>
  <c r="B25" i="58"/>
  <c r="X24" i="58"/>
  <c r="Z24" i="58" s="1"/>
  <c r="N24" i="58"/>
  <c r="L24" i="58"/>
  <c r="B24" i="58"/>
  <c r="Z23" i="58"/>
  <c r="X23" i="58"/>
  <c r="R23" i="58"/>
  <c r="N23" i="58"/>
  <c r="L23" i="58"/>
  <c r="B23" i="58"/>
  <c r="X22" i="58"/>
  <c r="Z22" i="58" s="1"/>
  <c r="L22" i="58"/>
  <c r="N22" i="58" s="1"/>
  <c r="B22" i="58"/>
  <c r="X21" i="58"/>
  <c r="Z21" i="58" s="1"/>
  <c r="N21" i="58"/>
  <c r="L21" i="58"/>
  <c r="J21" i="58"/>
  <c r="B21" i="58"/>
  <c r="Z20" i="58"/>
  <c r="X20" i="58"/>
  <c r="L20" i="58"/>
  <c r="N20" i="58" s="1"/>
  <c r="B20" i="58"/>
  <c r="Z19" i="58"/>
  <c r="X19" i="58"/>
  <c r="T19" i="58"/>
  <c r="R19" i="58"/>
  <c r="P19" i="58"/>
  <c r="L19" i="58"/>
  <c r="N19" i="58" s="1"/>
  <c r="H19" i="58"/>
  <c r="D19" i="58"/>
  <c r="B19" i="58"/>
  <c r="T18" i="58" a="1"/>
  <c r="T18" i="58" s="1"/>
  <c r="P18" i="58" a="1"/>
  <c r="P18" i="58"/>
  <c r="J18" i="58"/>
  <c r="H18" i="58" a="1"/>
  <c r="H18" i="58" s="1"/>
  <c r="D18" i="58" a="1"/>
  <c r="D18" i="58"/>
  <c r="P16" i="58"/>
  <c r="F16" i="58"/>
  <c r="T14" i="58"/>
  <c r="Z14" i="58" s="1"/>
  <c r="P14" i="58"/>
  <c r="H14" i="58"/>
  <c r="D14" i="58"/>
  <c r="T12" i="58"/>
  <c r="V16" i="58" s="1"/>
  <c r="P12" i="58"/>
  <c r="H12" i="58"/>
  <c r="D12" i="58"/>
  <c r="F18" i="58" s="1"/>
  <c r="D6" i="58"/>
  <c r="D4" i="58"/>
  <c r="J69" i="57"/>
  <c r="Z64" i="57"/>
  <c r="X64" i="57"/>
  <c r="N64" i="57"/>
  <c r="L64" i="57"/>
  <c r="J62" i="57"/>
  <c r="Z60" i="57"/>
  <c r="T60" i="57"/>
  <c r="P60" i="57"/>
  <c r="X60" i="57" s="1"/>
  <c r="L60" i="57"/>
  <c r="H60" i="57"/>
  <c r="N60" i="57" s="1"/>
  <c r="D60" i="57"/>
  <c r="X58" i="57"/>
  <c r="Z58" i="57" s="1"/>
  <c r="N58" i="57"/>
  <c r="L58" i="57"/>
  <c r="B58" i="57"/>
  <c r="T57" i="57"/>
  <c r="P57" i="57"/>
  <c r="X57" i="57" s="1"/>
  <c r="Z57" i="57" s="1"/>
  <c r="N57" i="57"/>
  <c r="H57" i="57"/>
  <c r="D57" i="57"/>
  <c r="L57" i="57" s="1"/>
  <c r="B57" i="57"/>
  <c r="X56" i="57"/>
  <c r="Z56" i="57" s="1"/>
  <c r="N56" i="57"/>
  <c r="L56" i="57"/>
  <c r="B56" i="57"/>
  <c r="Z55" i="57"/>
  <c r="T55" i="57"/>
  <c r="P55" i="57"/>
  <c r="X55" i="57" s="1"/>
  <c r="N55" i="57"/>
  <c r="L55" i="57"/>
  <c r="J55" i="57"/>
  <c r="H55" i="57"/>
  <c r="D55" i="57"/>
  <c r="B55" i="57"/>
  <c r="Z54" i="57"/>
  <c r="X54" i="57"/>
  <c r="N54" i="57"/>
  <c r="L54" i="57"/>
  <c r="B54" i="57"/>
  <c r="X53" i="57"/>
  <c r="V53" i="57"/>
  <c r="T53" i="57"/>
  <c r="Z53" i="57" s="1"/>
  <c r="P53" i="57"/>
  <c r="H53" i="57"/>
  <c r="F53" i="57"/>
  <c r="D53" i="57"/>
  <c r="B53" i="57"/>
  <c r="Z52" i="57"/>
  <c r="X52" i="57"/>
  <c r="L52" i="57"/>
  <c r="N52" i="57" s="1"/>
  <c r="B52" i="57"/>
  <c r="X51" i="57"/>
  <c r="Z51" i="57" s="1"/>
  <c r="N51" i="57"/>
  <c r="L51" i="57"/>
  <c r="F51" i="57"/>
  <c r="B51" i="57"/>
  <c r="Z50" i="57"/>
  <c r="X50" i="57"/>
  <c r="N50" i="57"/>
  <c r="L50" i="57"/>
  <c r="B50" i="57"/>
  <c r="X49" i="57"/>
  <c r="V49" i="57"/>
  <c r="T49" i="57"/>
  <c r="Z49" i="57" s="1"/>
  <c r="P49" i="57"/>
  <c r="H49" i="57"/>
  <c r="F49" i="57"/>
  <c r="D49" i="57"/>
  <c r="B49" i="57"/>
  <c r="Z48" i="57"/>
  <c r="X48" i="57"/>
  <c r="L48" i="57"/>
  <c r="N48" i="57" s="1"/>
  <c r="F48" i="57"/>
  <c r="B48" i="57"/>
  <c r="T47" i="57"/>
  <c r="P47" i="57"/>
  <c r="H47" i="57"/>
  <c r="N47" i="57" s="1"/>
  <c r="D47" i="57"/>
  <c r="L47" i="57" s="1"/>
  <c r="B47" i="57"/>
  <c r="X46" i="57"/>
  <c r="Z46" i="57" s="1"/>
  <c r="N46" i="57"/>
  <c r="L46" i="57"/>
  <c r="F46" i="57"/>
  <c r="B46" i="57"/>
  <c r="X45" i="57"/>
  <c r="Z45" i="57" s="1"/>
  <c r="L45" i="57"/>
  <c r="N45" i="57" s="1"/>
  <c r="J45" i="57"/>
  <c r="B45" i="57"/>
  <c r="Z44" i="57"/>
  <c r="X44" i="57"/>
  <c r="L44" i="57"/>
  <c r="N44" i="57" s="1"/>
  <c r="F44" i="57"/>
  <c r="B44" i="57"/>
  <c r="T43" i="57"/>
  <c r="P43" i="57"/>
  <c r="H43" i="57"/>
  <c r="D43" i="57"/>
  <c r="L43" i="57" s="1"/>
  <c r="B43" i="57"/>
  <c r="X42" i="57"/>
  <c r="Z42" i="57" s="1"/>
  <c r="N42" i="57"/>
  <c r="L42" i="57"/>
  <c r="F42" i="57"/>
  <c r="B42" i="57"/>
  <c r="T41" i="57"/>
  <c r="P41" i="57"/>
  <c r="X41" i="57" s="1"/>
  <c r="H41" i="57"/>
  <c r="D41" i="57"/>
  <c r="L41" i="57" s="1"/>
  <c r="N41" i="57" s="1"/>
  <c r="B41" i="57"/>
  <c r="X40" i="57"/>
  <c r="Z40" i="57" s="1"/>
  <c r="N40" i="57"/>
  <c r="L40" i="57"/>
  <c r="B40" i="57"/>
  <c r="Z39" i="57"/>
  <c r="X39" i="57"/>
  <c r="N39" i="57"/>
  <c r="L39" i="57"/>
  <c r="F39" i="57"/>
  <c r="B39" i="57"/>
  <c r="X38" i="57"/>
  <c r="Z38" i="57" s="1"/>
  <c r="T38" i="57"/>
  <c r="P38" i="57"/>
  <c r="L38" i="57"/>
  <c r="N38" i="57" s="1"/>
  <c r="H38" i="57"/>
  <c r="F38" i="57"/>
  <c r="D38" i="57"/>
  <c r="B38" i="57"/>
  <c r="X37" i="57"/>
  <c r="Z37" i="57" s="1"/>
  <c r="V37" i="57"/>
  <c r="L37" i="57"/>
  <c r="N37" i="57" s="1"/>
  <c r="F37" i="57"/>
  <c r="B37" i="57"/>
  <c r="X36" i="57"/>
  <c r="Z36" i="57" s="1"/>
  <c r="T36" i="57"/>
  <c r="P36" i="57"/>
  <c r="H36" i="57"/>
  <c r="F36" i="57"/>
  <c r="D36" i="57"/>
  <c r="L36" i="57" s="1"/>
  <c r="B36" i="57"/>
  <c r="Z35" i="57"/>
  <c r="X35" i="57"/>
  <c r="N35" i="57"/>
  <c r="L35" i="57"/>
  <c r="F35" i="57"/>
  <c r="B35" i="57"/>
  <c r="T34" i="57"/>
  <c r="Z34" i="57" s="1"/>
  <c r="P34" i="57"/>
  <c r="N34" i="57"/>
  <c r="H34" i="57"/>
  <c r="F34" i="57"/>
  <c r="D34" i="57"/>
  <c r="L34" i="57" s="1"/>
  <c r="B34" i="57"/>
  <c r="X33" i="57"/>
  <c r="Z33" i="57" s="1"/>
  <c r="L33" i="57"/>
  <c r="N33" i="57" s="1"/>
  <c r="J33" i="57"/>
  <c r="F33" i="57"/>
  <c r="B33" i="57"/>
  <c r="T32" i="57"/>
  <c r="P32" i="57"/>
  <c r="X32" i="57" s="1"/>
  <c r="Z32" i="57" s="1"/>
  <c r="L32" i="57"/>
  <c r="N32" i="57" s="1"/>
  <c r="H32" i="57"/>
  <c r="F32" i="57"/>
  <c r="D32" i="57"/>
  <c r="B32" i="57"/>
  <c r="Z31" i="57"/>
  <c r="X31" i="57"/>
  <c r="N31" i="57"/>
  <c r="L31" i="57"/>
  <c r="F31" i="57"/>
  <c r="B31" i="57"/>
  <c r="X30" i="57"/>
  <c r="Z30" i="57" s="1"/>
  <c r="N30" i="57"/>
  <c r="L30" i="57"/>
  <c r="F30" i="57"/>
  <c r="B30" i="57"/>
  <c r="X29" i="57"/>
  <c r="Z29" i="57" s="1"/>
  <c r="L29" i="57"/>
  <c r="N29" i="57" s="1"/>
  <c r="J29" i="57"/>
  <c r="F29" i="57"/>
  <c r="B29" i="57"/>
  <c r="T28" i="57"/>
  <c r="P28" i="57"/>
  <c r="X28" i="57" s="1"/>
  <c r="Z28" i="57" s="1"/>
  <c r="L28" i="57"/>
  <c r="N28" i="57" s="1"/>
  <c r="H28" i="57"/>
  <c r="F28" i="57"/>
  <c r="D28" i="57"/>
  <c r="B28" i="57"/>
  <c r="Z27" i="57"/>
  <c r="X27" i="57"/>
  <c r="L27" i="57"/>
  <c r="N27" i="57" s="1"/>
  <c r="F27" i="57"/>
  <c r="B27" i="57"/>
  <c r="X26" i="57"/>
  <c r="Z26" i="57" s="1"/>
  <c r="N26" i="57"/>
  <c r="L26" i="57"/>
  <c r="F26" i="57"/>
  <c r="B26" i="57"/>
  <c r="X25" i="57"/>
  <c r="Z25" i="57" s="1"/>
  <c r="L25" i="57"/>
  <c r="N25" i="57" s="1"/>
  <c r="J25" i="57"/>
  <c r="F25" i="57"/>
  <c r="B25" i="57"/>
  <c r="Z24" i="57"/>
  <c r="X24" i="57"/>
  <c r="L24" i="57"/>
  <c r="N24" i="57" s="1"/>
  <c r="F24" i="57"/>
  <c r="B24" i="57"/>
  <c r="X23" i="57"/>
  <c r="Z23" i="57" s="1"/>
  <c r="N23" i="57"/>
  <c r="L23" i="57"/>
  <c r="F23" i="57"/>
  <c r="B23" i="57"/>
  <c r="Z22" i="57"/>
  <c r="X22" i="57"/>
  <c r="L22" i="57"/>
  <c r="N22" i="57" s="1"/>
  <c r="B22" i="57"/>
  <c r="X21" i="57"/>
  <c r="Z21" i="57" s="1"/>
  <c r="V21" i="57"/>
  <c r="L21" i="57"/>
  <c r="N21" i="57" s="1"/>
  <c r="F21" i="57"/>
  <c r="B21" i="57"/>
  <c r="X20" i="57"/>
  <c r="Z20" i="57" s="1"/>
  <c r="N20" i="57"/>
  <c r="L20" i="57"/>
  <c r="F20" i="57"/>
  <c r="B20" i="57"/>
  <c r="Z19" i="57"/>
  <c r="T19" i="57"/>
  <c r="P19" i="57"/>
  <c r="X19" i="57" s="1"/>
  <c r="L19" i="57"/>
  <c r="J19" i="57"/>
  <c r="H19" i="57"/>
  <c r="N19" i="57" s="1"/>
  <c r="F19" i="57"/>
  <c r="D19" i="57"/>
  <c r="B19" i="57"/>
  <c r="T18" i="57" a="1"/>
  <c r="T18" i="57" s="1"/>
  <c r="P18" i="57" a="1"/>
  <c r="P18" i="57" s="1"/>
  <c r="H18" i="57" a="1"/>
  <c r="H18" i="57" s="1"/>
  <c r="F18" i="57"/>
  <c r="D18" i="57" a="1"/>
  <c r="D18" i="57" s="1"/>
  <c r="L18" i="57" s="1"/>
  <c r="T16" i="57"/>
  <c r="F16" i="57"/>
  <c r="D16" i="57"/>
  <c r="Z14" i="57"/>
  <c r="X14" i="57"/>
  <c r="V14" i="57"/>
  <c r="T14" i="57"/>
  <c r="P14" i="57"/>
  <c r="N14" i="57"/>
  <c r="L14" i="57"/>
  <c r="H14" i="57"/>
  <c r="F14" i="57"/>
  <c r="D14" i="57"/>
  <c r="T12" i="57"/>
  <c r="V56" i="57" s="1"/>
  <c r="P12" i="57"/>
  <c r="R54" i="57" s="1"/>
  <c r="H12" i="57"/>
  <c r="J47" i="57" s="1"/>
  <c r="D12" i="57"/>
  <c r="F56" i="57" s="1"/>
  <c r="D6" i="57"/>
  <c r="D4" i="57"/>
  <c r="J74" i="56"/>
  <c r="J71" i="56"/>
  <c r="Z69" i="56"/>
  <c r="X69" i="56"/>
  <c r="N69" i="56"/>
  <c r="L69" i="56"/>
  <c r="J67" i="56"/>
  <c r="Z65" i="56"/>
  <c r="T65" i="56"/>
  <c r="P65" i="56"/>
  <c r="X65" i="56" s="1"/>
  <c r="N65" i="56"/>
  <c r="L65" i="56"/>
  <c r="J65" i="56"/>
  <c r="H65" i="56"/>
  <c r="D65" i="56"/>
  <c r="X63" i="56"/>
  <c r="Z63" i="56" s="1"/>
  <c r="N63" i="56"/>
  <c r="L63" i="56"/>
  <c r="B63" i="56"/>
  <c r="Z62" i="56"/>
  <c r="T62" i="56"/>
  <c r="P62" i="56"/>
  <c r="X62" i="56" s="1"/>
  <c r="J62" i="56"/>
  <c r="H62" i="56"/>
  <c r="N62" i="56" s="1"/>
  <c r="D62" i="56"/>
  <c r="L62" i="56" s="1"/>
  <c r="B62" i="56"/>
  <c r="Z61" i="56"/>
  <c r="X61" i="56"/>
  <c r="V61" i="56"/>
  <c r="R61" i="56"/>
  <c r="L61" i="56"/>
  <c r="N61" i="56" s="1"/>
  <c r="J61" i="56"/>
  <c r="B61" i="56"/>
  <c r="V60" i="56"/>
  <c r="T60" i="56"/>
  <c r="P60" i="56"/>
  <c r="X60" i="56" s="1"/>
  <c r="H60" i="56"/>
  <c r="F60" i="56"/>
  <c r="D60" i="56"/>
  <c r="B60" i="56"/>
  <c r="Z59" i="56"/>
  <c r="X59" i="56"/>
  <c r="N59" i="56"/>
  <c r="L59" i="56"/>
  <c r="B59" i="56"/>
  <c r="X58" i="56"/>
  <c r="Z58" i="56" s="1"/>
  <c r="N58" i="56"/>
  <c r="L58" i="56"/>
  <c r="B58" i="56"/>
  <c r="V57" i="56"/>
  <c r="T57" i="56"/>
  <c r="P57" i="56"/>
  <c r="X57" i="56" s="1"/>
  <c r="N57" i="56"/>
  <c r="H57" i="56"/>
  <c r="D57" i="56"/>
  <c r="L57" i="56" s="1"/>
  <c r="B57" i="56"/>
  <c r="X56" i="56"/>
  <c r="Z56" i="56" s="1"/>
  <c r="L56" i="56"/>
  <c r="N56" i="56" s="1"/>
  <c r="J56" i="56"/>
  <c r="B56" i="56"/>
  <c r="T55" i="56"/>
  <c r="P55" i="56"/>
  <c r="X55" i="56" s="1"/>
  <c r="Z55" i="56" s="1"/>
  <c r="L55" i="56"/>
  <c r="N55" i="56" s="1"/>
  <c r="J55" i="56"/>
  <c r="H55" i="56"/>
  <c r="D55" i="56"/>
  <c r="B55" i="56"/>
  <c r="Z54" i="56"/>
  <c r="X54" i="56"/>
  <c r="N54" i="56"/>
  <c r="L54" i="56"/>
  <c r="B54" i="56"/>
  <c r="X53" i="56"/>
  <c r="Z53" i="56" s="1"/>
  <c r="V53" i="56"/>
  <c r="N53" i="56"/>
  <c r="L53" i="56"/>
  <c r="J53" i="56"/>
  <c r="F53" i="56"/>
  <c r="B53" i="56"/>
  <c r="X52" i="56"/>
  <c r="Z52" i="56" s="1"/>
  <c r="N52" i="56"/>
  <c r="L52" i="56"/>
  <c r="J52" i="56"/>
  <c r="B52" i="56"/>
  <c r="T51" i="56"/>
  <c r="P51" i="56"/>
  <c r="X51" i="56" s="1"/>
  <c r="Z51" i="56" s="1"/>
  <c r="L51" i="56"/>
  <c r="N51" i="56" s="1"/>
  <c r="J51" i="56"/>
  <c r="H51" i="56"/>
  <c r="D51" i="56"/>
  <c r="B51" i="56"/>
  <c r="Z50" i="56"/>
  <c r="X50" i="56"/>
  <c r="N50" i="56"/>
  <c r="L50" i="56"/>
  <c r="B50" i="56"/>
  <c r="X49" i="56"/>
  <c r="Z49" i="56" s="1"/>
  <c r="V49" i="56"/>
  <c r="N49" i="56"/>
  <c r="L49" i="56"/>
  <c r="J49" i="56"/>
  <c r="F49" i="56"/>
  <c r="B49" i="56"/>
  <c r="X48" i="56"/>
  <c r="Z48" i="56" s="1"/>
  <c r="N48" i="56"/>
  <c r="L48" i="56"/>
  <c r="J48" i="56"/>
  <c r="B48" i="56"/>
  <c r="T47" i="56"/>
  <c r="P47" i="56"/>
  <c r="X47" i="56" s="1"/>
  <c r="Z47" i="56" s="1"/>
  <c r="N47" i="56"/>
  <c r="L47" i="56"/>
  <c r="J47" i="56"/>
  <c r="H47" i="56"/>
  <c r="D47" i="56"/>
  <c r="B47" i="56"/>
  <c r="Z46" i="56"/>
  <c r="X46" i="56"/>
  <c r="L46" i="56"/>
  <c r="N46" i="56" s="1"/>
  <c r="B46" i="56"/>
  <c r="X45" i="56"/>
  <c r="Z45" i="56" s="1"/>
  <c r="V45" i="56"/>
  <c r="T45" i="56"/>
  <c r="P45" i="56"/>
  <c r="L45" i="56"/>
  <c r="N45" i="56" s="1"/>
  <c r="H45" i="56"/>
  <c r="D45" i="56"/>
  <c r="B45" i="56"/>
  <c r="X44" i="56"/>
  <c r="Z44" i="56" s="1"/>
  <c r="V44" i="56"/>
  <c r="L44" i="56"/>
  <c r="N44" i="56" s="1"/>
  <c r="B44" i="56"/>
  <c r="X43" i="56"/>
  <c r="Z43" i="56" s="1"/>
  <c r="T43" i="56"/>
  <c r="P43" i="56"/>
  <c r="J43" i="56"/>
  <c r="H43" i="56"/>
  <c r="D43" i="56"/>
  <c r="B43" i="56"/>
  <c r="X42" i="56"/>
  <c r="Z42" i="56" s="1"/>
  <c r="N42" i="56"/>
  <c r="L42" i="56"/>
  <c r="B42" i="56"/>
  <c r="V41" i="56"/>
  <c r="T41" i="56"/>
  <c r="P41" i="56"/>
  <c r="H41" i="56"/>
  <c r="D41" i="56"/>
  <c r="L41" i="56" s="1"/>
  <c r="N41" i="56" s="1"/>
  <c r="B41" i="56"/>
  <c r="Z40" i="56"/>
  <c r="X40" i="56"/>
  <c r="N40" i="56"/>
  <c r="L40" i="56"/>
  <c r="J40" i="56"/>
  <c r="B40" i="56"/>
  <c r="Z39" i="56"/>
  <c r="T39" i="56"/>
  <c r="P39" i="56"/>
  <c r="X39" i="56" s="1"/>
  <c r="N39" i="56"/>
  <c r="L39" i="56"/>
  <c r="J39" i="56"/>
  <c r="H39" i="56"/>
  <c r="D39" i="56"/>
  <c r="B39" i="56"/>
  <c r="Z38" i="56"/>
  <c r="X38" i="56"/>
  <c r="N38" i="56"/>
  <c r="L38" i="56"/>
  <c r="B38" i="56"/>
  <c r="X37" i="56"/>
  <c r="Z37" i="56" s="1"/>
  <c r="V37" i="56"/>
  <c r="T37" i="56"/>
  <c r="P37" i="56"/>
  <c r="N37" i="56"/>
  <c r="L37" i="56"/>
  <c r="H37" i="56"/>
  <c r="D37" i="56"/>
  <c r="B37" i="56"/>
  <c r="X36" i="56"/>
  <c r="Z36" i="56" s="1"/>
  <c r="V36" i="56"/>
  <c r="L36" i="56"/>
  <c r="N36" i="56" s="1"/>
  <c r="B36" i="56"/>
  <c r="X35" i="56"/>
  <c r="Z35" i="56" s="1"/>
  <c r="T35" i="56"/>
  <c r="P35" i="56"/>
  <c r="J35" i="56"/>
  <c r="H35" i="56"/>
  <c r="D35" i="56"/>
  <c r="L35" i="56" s="1"/>
  <c r="B35" i="56"/>
  <c r="X34" i="56"/>
  <c r="Z34" i="56" s="1"/>
  <c r="N34" i="56"/>
  <c r="L34" i="56"/>
  <c r="B34" i="56"/>
  <c r="V33" i="56"/>
  <c r="T33" i="56"/>
  <c r="P33" i="56"/>
  <c r="X33" i="56" s="1"/>
  <c r="H33" i="56"/>
  <c r="D33" i="56"/>
  <c r="L33" i="56" s="1"/>
  <c r="N33" i="56" s="1"/>
  <c r="B33" i="56"/>
  <c r="X32" i="56"/>
  <c r="Z32" i="56" s="1"/>
  <c r="N32" i="56"/>
  <c r="L32" i="56"/>
  <c r="J32" i="56"/>
  <c r="B32" i="56"/>
  <c r="Z31" i="56"/>
  <c r="X31" i="56"/>
  <c r="N31" i="56"/>
  <c r="L31" i="56"/>
  <c r="B31" i="56"/>
  <c r="X30" i="56"/>
  <c r="Z30" i="56" s="1"/>
  <c r="N30" i="56"/>
  <c r="L30" i="56"/>
  <c r="B30" i="56"/>
  <c r="Z29" i="56"/>
  <c r="X29" i="56"/>
  <c r="V29" i="56"/>
  <c r="R29" i="56"/>
  <c r="L29" i="56"/>
  <c r="N29" i="56" s="1"/>
  <c r="J29" i="56"/>
  <c r="B29" i="56"/>
  <c r="V28" i="56"/>
  <c r="T28" i="56"/>
  <c r="Z28" i="56" s="1"/>
  <c r="P28" i="56"/>
  <c r="X28" i="56" s="1"/>
  <c r="H28" i="56"/>
  <c r="F28" i="56"/>
  <c r="D28" i="56"/>
  <c r="B28" i="56"/>
  <c r="Z27" i="56"/>
  <c r="X27" i="56"/>
  <c r="L27" i="56"/>
  <c r="N27" i="56" s="1"/>
  <c r="B27" i="56"/>
  <c r="X26" i="56"/>
  <c r="Z26" i="56" s="1"/>
  <c r="N26" i="56"/>
  <c r="L26" i="56"/>
  <c r="B26" i="56"/>
  <c r="Z25" i="56"/>
  <c r="X25" i="56"/>
  <c r="V25" i="56"/>
  <c r="R25" i="56"/>
  <c r="L25" i="56"/>
  <c r="N25" i="56" s="1"/>
  <c r="J25" i="56"/>
  <c r="B25" i="56"/>
  <c r="X24" i="56"/>
  <c r="Z24" i="56" s="1"/>
  <c r="V24" i="56"/>
  <c r="L24" i="56"/>
  <c r="N24" i="56" s="1"/>
  <c r="B24" i="56"/>
  <c r="X23" i="56"/>
  <c r="Z23" i="56" s="1"/>
  <c r="N23" i="56"/>
  <c r="L23" i="56"/>
  <c r="J23" i="56"/>
  <c r="B23" i="56"/>
  <c r="Z22" i="56"/>
  <c r="X22" i="56"/>
  <c r="L22" i="56"/>
  <c r="N22" i="56" s="1"/>
  <c r="B22" i="56"/>
  <c r="X21" i="56"/>
  <c r="Z21" i="56" s="1"/>
  <c r="V21" i="56"/>
  <c r="N21" i="56"/>
  <c r="L21" i="56"/>
  <c r="J21" i="56"/>
  <c r="F21" i="56"/>
  <c r="B21" i="56"/>
  <c r="X20" i="56"/>
  <c r="Z20" i="56" s="1"/>
  <c r="L20" i="56"/>
  <c r="N20" i="56" s="1"/>
  <c r="J20" i="56"/>
  <c r="B20" i="56"/>
  <c r="V19" i="56"/>
  <c r="T19" i="56"/>
  <c r="P19" i="56"/>
  <c r="X19" i="56" s="1"/>
  <c r="Z19" i="56" s="1"/>
  <c r="L19" i="56"/>
  <c r="N19" i="56" s="1"/>
  <c r="J19" i="56"/>
  <c r="H19" i="56"/>
  <c r="D19" i="56"/>
  <c r="B19" i="56"/>
  <c r="T18" i="56" a="1"/>
  <c r="T18" i="56" s="1"/>
  <c r="P18" i="56" a="1"/>
  <c r="P18" i="56"/>
  <c r="X18" i="56" s="1"/>
  <c r="Z18" i="56" s="1"/>
  <c r="H18" i="56" a="1"/>
  <c r="H18" i="56" s="1"/>
  <c r="D18" i="56" a="1"/>
  <c r="D18" i="56"/>
  <c r="Z16" i="56"/>
  <c r="T16" i="56"/>
  <c r="T67" i="56" s="1"/>
  <c r="J16" i="56"/>
  <c r="D16" i="56"/>
  <c r="D67" i="56" s="1"/>
  <c r="V14" i="56"/>
  <c r="T14" i="56"/>
  <c r="Z14" i="56" s="1"/>
  <c r="R14" i="56"/>
  <c r="P14" i="56"/>
  <c r="L14" i="56"/>
  <c r="H14" i="56"/>
  <c r="N14" i="56" s="1"/>
  <c r="D14" i="56"/>
  <c r="Z12" i="56"/>
  <c r="T12" i="56"/>
  <c r="V62" i="56" s="1"/>
  <c r="P12" i="56"/>
  <c r="R69" i="56" s="1"/>
  <c r="H12" i="56"/>
  <c r="J58" i="56" s="1"/>
  <c r="D12" i="56"/>
  <c r="F62" i="56" s="1"/>
  <c r="D6" i="56"/>
  <c r="D4" i="56"/>
  <c r="V34" i="55"/>
  <c r="F34" i="55"/>
  <c r="Z32" i="55"/>
  <c r="X32" i="55"/>
  <c r="N32" i="55"/>
  <c r="L32" i="55"/>
  <c r="Z28" i="55"/>
  <c r="V28" i="55"/>
  <c r="T28" i="55"/>
  <c r="P28" i="55"/>
  <c r="X28" i="55" s="1"/>
  <c r="H28" i="55"/>
  <c r="N28" i="55" s="1"/>
  <c r="F28" i="55"/>
  <c r="D28" i="55"/>
  <c r="X26" i="55"/>
  <c r="Z26" i="55" s="1"/>
  <c r="N26" i="55"/>
  <c r="L26" i="55"/>
  <c r="B26" i="55"/>
  <c r="V25" i="55"/>
  <c r="T25" i="55"/>
  <c r="R25" i="55"/>
  <c r="P25" i="55"/>
  <c r="X25" i="55" s="1"/>
  <c r="Z25" i="55" s="1"/>
  <c r="N25" i="55"/>
  <c r="H25" i="55"/>
  <c r="F25" i="55"/>
  <c r="D25" i="55"/>
  <c r="L25" i="55" s="1"/>
  <c r="B25" i="55"/>
  <c r="Z24" i="55"/>
  <c r="X24" i="55"/>
  <c r="V24" i="55"/>
  <c r="R24" i="55"/>
  <c r="L24" i="55"/>
  <c r="N24" i="55" s="1"/>
  <c r="F24" i="55"/>
  <c r="B24" i="55"/>
  <c r="V23" i="55"/>
  <c r="T23" i="55"/>
  <c r="P23" i="55"/>
  <c r="X23" i="55" s="1"/>
  <c r="Z23" i="55" s="1"/>
  <c r="L23" i="55"/>
  <c r="N23" i="55" s="1"/>
  <c r="H23" i="55"/>
  <c r="F23" i="55"/>
  <c r="D23" i="55"/>
  <c r="B23" i="55"/>
  <c r="X22" i="55"/>
  <c r="Z22" i="55" s="1"/>
  <c r="V22" i="55"/>
  <c r="L22" i="55"/>
  <c r="N22" i="55" s="1"/>
  <c r="F22" i="55"/>
  <c r="B22" i="55"/>
  <c r="X21" i="55"/>
  <c r="Z21" i="55" s="1"/>
  <c r="T21" i="55"/>
  <c r="R21" i="55"/>
  <c r="P21" i="55"/>
  <c r="H21" i="55"/>
  <c r="D21" i="55"/>
  <c r="B21" i="55"/>
  <c r="X20" i="55"/>
  <c r="Z20" i="55" s="1"/>
  <c r="V20" i="55"/>
  <c r="R20" i="55"/>
  <c r="N20" i="55"/>
  <c r="L20" i="55"/>
  <c r="F20" i="55"/>
  <c r="B20" i="55"/>
  <c r="V19" i="55"/>
  <c r="T19" i="55"/>
  <c r="P19" i="55"/>
  <c r="H19" i="55"/>
  <c r="F19" i="55"/>
  <c r="D19" i="55"/>
  <c r="L19" i="55" s="1"/>
  <c r="N19" i="55" s="1"/>
  <c r="B19" i="55"/>
  <c r="T18" i="55" a="1"/>
  <c r="T18" i="55" s="1"/>
  <c r="R18" i="55"/>
  <c r="P18" i="55" a="1"/>
  <c r="P18" i="55" s="1"/>
  <c r="X18" i="55" s="1"/>
  <c r="H18" i="55" a="1"/>
  <c r="H18" i="55" s="1"/>
  <c r="F18" i="55"/>
  <c r="D18" i="55" a="1"/>
  <c r="D18" i="55" s="1"/>
  <c r="L18" i="55" s="1"/>
  <c r="T16" i="55"/>
  <c r="Z16" i="55" s="1"/>
  <c r="D16" i="55"/>
  <c r="Z14" i="55"/>
  <c r="V14" i="55"/>
  <c r="T14" i="55"/>
  <c r="P14" i="55"/>
  <c r="H14" i="55"/>
  <c r="N14" i="55" s="1"/>
  <c r="F14" i="55"/>
  <c r="D14" i="55"/>
  <c r="Z12" i="55"/>
  <c r="X12" i="55"/>
  <c r="T12" i="55"/>
  <c r="V37" i="55" s="1"/>
  <c r="P12" i="55"/>
  <c r="R34" i="55" s="1"/>
  <c r="H12" i="55"/>
  <c r="J26" i="55" s="1"/>
  <c r="D12" i="55"/>
  <c r="F37" i="55" s="1"/>
  <c r="D6" i="55"/>
  <c r="D4" i="55"/>
  <c r="T29" i="54"/>
  <c r="P29" i="54"/>
  <c r="J29" i="54"/>
  <c r="H29" i="54"/>
  <c r="D29" i="54"/>
  <c r="L29" i="54" s="1"/>
  <c r="N29" i="54" s="1"/>
  <c r="T28" i="54"/>
  <c r="P28" i="54"/>
  <c r="L28" i="54"/>
  <c r="H28" i="54"/>
  <c r="D28" i="54"/>
  <c r="J26" i="54"/>
  <c r="Z24" i="54"/>
  <c r="X24" i="54"/>
  <c r="N24" i="54"/>
  <c r="L24" i="54"/>
  <c r="F24" i="54"/>
  <c r="R22" i="54"/>
  <c r="T20" i="54"/>
  <c r="Z20" i="54" s="1"/>
  <c r="P20" i="54"/>
  <c r="N20" i="54"/>
  <c r="J20" i="54"/>
  <c r="H20" i="54"/>
  <c r="D20" i="54"/>
  <c r="L20" i="54" s="1"/>
  <c r="V18" i="54"/>
  <c r="T18" i="54"/>
  <c r="Z18" i="54" s="1"/>
  <c r="R18" i="54"/>
  <c r="P18" i="54"/>
  <c r="L18" i="54"/>
  <c r="H18" i="54"/>
  <c r="N18" i="54" s="1"/>
  <c r="D18" i="54"/>
  <c r="Z16" i="54"/>
  <c r="T16" i="54"/>
  <c r="J16" i="54"/>
  <c r="D16" i="54"/>
  <c r="V14" i="54"/>
  <c r="T14" i="54"/>
  <c r="Z14" i="54" s="1"/>
  <c r="R14" i="54"/>
  <c r="P14" i="54"/>
  <c r="L14" i="54"/>
  <c r="H14" i="54"/>
  <c r="N14" i="54" s="1"/>
  <c r="D14" i="54"/>
  <c r="Z12" i="54"/>
  <c r="T12" i="54"/>
  <c r="V29" i="54" s="1"/>
  <c r="P12" i="54"/>
  <c r="R31" i="54" s="1"/>
  <c r="H12" i="54"/>
  <c r="J24" i="54" s="1"/>
  <c r="D12" i="54"/>
  <c r="F29" i="54" s="1"/>
  <c r="D6" i="54"/>
  <c r="D4" i="54"/>
  <c r="B39" i="53"/>
  <c r="B38" i="53"/>
  <c r="T34" i="53"/>
  <c r="Z34" i="53" s="1"/>
  <c r="P34" i="53"/>
  <c r="H34" i="53"/>
  <c r="N34" i="53" s="1"/>
  <c r="D34" i="53"/>
  <c r="T33" i="53"/>
  <c r="P33" i="53"/>
  <c r="H33" i="53"/>
  <c r="N33" i="53" s="1"/>
  <c r="D33" i="53"/>
  <c r="T29" i="53"/>
  <c r="P29" i="53"/>
  <c r="H29" i="53"/>
  <c r="N29" i="53" s="1"/>
  <c r="D29" i="53"/>
  <c r="T25" i="53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D20" i="53"/>
  <c r="T16" i="53"/>
  <c r="Z16" i="53" s="1"/>
  <c r="P16" i="53"/>
  <c r="H16" i="53"/>
  <c r="N16" i="53" s="1"/>
  <c r="D16" i="53"/>
  <c r="B16" i="53"/>
  <c r="T15" i="53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P12" i="53"/>
  <c r="R34" i="53" s="1"/>
  <c r="H12" i="53"/>
  <c r="J20" i="53" s="1"/>
  <c r="D12" i="53"/>
  <c r="F22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P13" i="52"/>
  <c r="H13" i="52"/>
  <c r="N13" i="52" s="1"/>
  <c r="D13" i="52"/>
  <c r="B13" i="52"/>
  <c r="T12" i="52"/>
  <c r="V21" i="52" s="1"/>
  <c r="P12" i="52"/>
  <c r="R22" i="52" s="1"/>
  <c r="H12" i="52"/>
  <c r="J16" i="52" s="1"/>
  <c r="D12" i="52"/>
  <c r="F20" i="52" s="1"/>
  <c r="D5" i="52"/>
  <c r="D4" i="52"/>
  <c r="X105" i="51"/>
  <c r="Z105" i="51" s="1"/>
  <c r="N105" i="51"/>
  <c r="L105" i="51"/>
  <c r="T101" i="51"/>
  <c r="P101" i="51"/>
  <c r="L101" i="51"/>
  <c r="H101" i="51"/>
  <c r="D101" i="51"/>
  <c r="B101" i="51"/>
  <c r="T100" i="51"/>
  <c r="Z100" i="51" s="1"/>
  <c r="P100" i="51"/>
  <c r="N100" i="51"/>
  <c r="H100" i="51"/>
  <c r="D100" i="51"/>
  <c r="L100" i="51" s="1"/>
  <c r="B100" i="51"/>
  <c r="X99" i="51"/>
  <c r="T99" i="51"/>
  <c r="P99" i="51"/>
  <c r="P98" i="51" s="1"/>
  <c r="H99" i="51"/>
  <c r="D99" i="51"/>
  <c r="D98" i="51" s="1"/>
  <c r="B99" i="51"/>
  <c r="Z96" i="51"/>
  <c r="X96" i="51"/>
  <c r="N96" i="51"/>
  <c r="L96" i="51"/>
  <c r="B96" i="51"/>
  <c r="T95" i="51"/>
  <c r="P95" i="51"/>
  <c r="L95" i="51"/>
  <c r="H95" i="51"/>
  <c r="N95" i="51" s="1"/>
  <c r="D95" i="51"/>
  <c r="B95" i="51"/>
  <c r="X94" i="51"/>
  <c r="Z94" i="51" s="1"/>
  <c r="N94" i="51"/>
  <c r="L94" i="51"/>
  <c r="B94" i="51"/>
  <c r="Z93" i="51"/>
  <c r="X93" i="51"/>
  <c r="T93" i="51"/>
  <c r="P93" i="51"/>
  <c r="L93" i="51"/>
  <c r="N93" i="51" s="1"/>
  <c r="H93" i="51"/>
  <c r="D93" i="51"/>
  <c r="B93" i="51"/>
  <c r="Z92" i="51"/>
  <c r="X92" i="51"/>
  <c r="N92" i="51"/>
  <c r="L92" i="51"/>
  <c r="B92" i="51"/>
  <c r="X91" i="51"/>
  <c r="Z91" i="51" s="1"/>
  <c r="N91" i="51"/>
  <c r="L91" i="51"/>
  <c r="B91" i="51"/>
  <c r="Z90" i="51"/>
  <c r="X90" i="51"/>
  <c r="N90" i="51"/>
  <c r="L90" i="51"/>
  <c r="B90" i="51"/>
  <c r="Z89" i="51"/>
  <c r="X89" i="51"/>
  <c r="N89" i="51"/>
  <c r="L89" i="51"/>
  <c r="B89" i="51"/>
  <c r="X88" i="51"/>
  <c r="T88" i="51"/>
  <c r="Z88" i="51" s="1"/>
  <c r="P88" i="51"/>
  <c r="H88" i="51"/>
  <c r="N88" i="51" s="1"/>
  <c r="D88" i="51"/>
  <c r="L88" i="51" s="1"/>
  <c r="B88" i="51"/>
  <c r="X87" i="51"/>
  <c r="Z87" i="51" s="1"/>
  <c r="N87" i="51"/>
  <c r="L87" i="51"/>
  <c r="B87" i="51"/>
  <c r="T86" i="51"/>
  <c r="Z86" i="51" s="1"/>
  <c r="P86" i="51"/>
  <c r="X86" i="51" s="1"/>
  <c r="N86" i="51"/>
  <c r="H86" i="51"/>
  <c r="D86" i="51"/>
  <c r="L86" i="51" s="1"/>
  <c r="B86" i="51"/>
  <c r="Z85" i="51"/>
  <c r="X85" i="51"/>
  <c r="N85" i="51"/>
  <c r="L85" i="51"/>
  <c r="B85" i="51"/>
  <c r="T84" i="51"/>
  <c r="P84" i="51"/>
  <c r="X84" i="51" s="1"/>
  <c r="Z84" i="51" s="1"/>
  <c r="H84" i="51"/>
  <c r="N84" i="51" s="1"/>
  <c r="D84" i="51"/>
  <c r="B84" i="51"/>
  <c r="Z83" i="51"/>
  <c r="X83" i="51"/>
  <c r="L83" i="51"/>
  <c r="N83" i="51" s="1"/>
  <c r="B83" i="51"/>
  <c r="T82" i="51"/>
  <c r="P82" i="51"/>
  <c r="L82" i="51"/>
  <c r="H82" i="51"/>
  <c r="N82" i="51" s="1"/>
  <c r="D82" i="51"/>
  <c r="B82" i="51"/>
  <c r="Z81" i="51"/>
  <c r="X81" i="51"/>
  <c r="N81" i="51"/>
  <c r="L81" i="51"/>
  <c r="B81" i="51"/>
  <c r="X80" i="51"/>
  <c r="T80" i="51"/>
  <c r="Z80" i="51" s="1"/>
  <c r="P80" i="51"/>
  <c r="L80" i="51"/>
  <c r="H80" i="51"/>
  <c r="N80" i="51" s="1"/>
  <c r="D80" i="51"/>
  <c r="B80" i="51"/>
  <c r="X79" i="51"/>
  <c r="Z79" i="51" s="1"/>
  <c r="N79" i="51"/>
  <c r="L79" i="51"/>
  <c r="B79" i="51"/>
  <c r="X78" i="51"/>
  <c r="Z78" i="51" s="1"/>
  <c r="N78" i="51"/>
  <c r="L78" i="51"/>
  <c r="B78" i="51"/>
  <c r="T77" i="51"/>
  <c r="P77" i="51"/>
  <c r="X77" i="51" s="1"/>
  <c r="Z77" i="51" s="1"/>
  <c r="L77" i="51"/>
  <c r="N77" i="51" s="1"/>
  <c r="H77" i="51"/>
  <c r="D77" i="51"/>
  <c r="B77" i="51"/>
  <c r="Z76" i="51"/>
  <c r="X76" i="51"/>
  <c r="N76" i="51"/>
  <c r="L76" i="51"/>
  <c r="B76" i="51"/>
  <c r="Z75" i="51"/>
  <c r="X75" i="51"/>
  <c r="T75" i="51"/>
  <c r="P75" i="51"/>
  <c r="H75" i="51"/>
  <c r="N75" i="51" s="1"/>
  <c r="D75" i="51"/>
  <c r="B75" i="51"/>
  <c r="Z74" i="51"/>
  <c r="X74" i="51"/>
  <c r="L74" i="51"/>
  <c r="N74" i="51" s="1"/>
  <c r="B74" i="51"/>
  <c r="T73" i="51"/>
  <c r="P73" i="51"/>
  <c r="H73" i="51"/>
  <c r="D73" i="51"/>
  <c r="L73" i="51" s="1"/>
  <c r="N73" i="51" s="1"/>
  <c r="B73" i="51"/>
  <c r="X72" i="51"/>
  <c r="Z72" i="51" s="1"/>
  <c r="L72" i="51"/>
  <c r="N72" i="51" s="1"/>
  <c r="B72" i="51"/>
  <c r="T71" i="51"/>
  <c r="P71" i="51"/>
  <c r="X71" i="51" s="1"/>
  <c r="Z71" i="51" s="1"/>
  <c r="N71" i="51"/>
  <c r="H71" i="51"/>
  <c r="D71" i="51"/>
  <c r="L71" i="51" s="1"/>
  <c r="B71" i="51"/>
  <c r="Z70" i="51"/>
  <c r="X70" i="51"/>
  <c r="N70" i="51"/>
  <c r="L70" i="51"/>
  <c r="B70" i="51"/>
  <c r="Z69" i="51"/>
  <c r="X69" i="51"/>
  <c r="N69" i="51"/>
  <c r="L69" i="51"/>
  <c r="B69" i="51"/>
  <c r="Z68" i="51"/>
  <c r="X68" i="51"/>
  <c r="N68" i="51"/>
  <c r="L68" i="51"/>
  <c r="B68" i="51"/>
  <c r="Z67" i="51"/>
  <c r="X67" i="51"/>
  <c r="L67" i="51"/>
  <c r="N67" i="51" s="1"/>
  <c r="B67" i="51"/>
  <c r="Z66" i="51"/>
  <c r="X66" i="51"/>
  <c r="L66" i="51"/>
  <c r="N66" i="51" s="1"/>
  <c r="B66" i="51"/>
  <c r="T65" i="51"/>
  <c r="P65" i="51"/>
  <c r="H65" i="51"/>
  <c r="D65" i="51"/>
  <c r="L65" i="51" s="1"/>
  <c r="N65" i="51" s="1"/>
  <c r="B65" i="51"/>
  <c r="X64" i="51"/>
  <c r="Z64" i="51" s="1"/>
  <c r="L64" i="51"/>
  <c r="N64" i="51" s="1"/>
  <c r="B64" i="51"/>
  <c r="Z63" i="51"/>
  <c r="X63" i="51"/>
  <c r="L63" i="51"/>
  <c r="N63" i="51" s="1"/>
  <c r="B63" i="51"/>
  <c r="Z62" i="51"/>
  <c r="X62" i="51"/>
  <c r="L62" i="51"/>
  <c r="N62" i="51" s="1"/>
  <c r="B62" i="51"/>
  <c r="Z61" i="51"/>
  <c r="X61" i="51"/>
  <c r="N61" i="51"/>
  <c r="L61" i="51"/>
  <c r="B61" i="51"/>
  <c r="X60" i="51"/>
  <c r="Z60" i="51" s="1"/>
  <c r="L60" i="51"/>
  <c r="N60" i="51" s="1"/>
  <c r="B60" i="51"/>
  <c r="X59" i="51"/>
  <c r="Z59" i="51" s="1"/>
  <c r="N59" i="51"/>
  <c r="L59" i="51"/>
  <c r="B59" i="51"/>
  <c r="X58" i="51"/>
  <c r="Z58" i="51" s="1"/>
  <c r="N58" i="51"/>
  <c r="L58" i="51"/>
  <c r="B58" i="51"/>
  <c r="Z57" i="51"/>
  <c r="X57" i="51"/>
  <c r="N57" i="51"/>
  <c r="L57" i="51"/>
  <c r="B57" i="51"/>
  <c r="X56" i="51"/>
  <c r="Z56" i="51" s="1"/>
  <c r="L56" i="51"/>
  <c r="N56" i="51" s="1"/>
  <c r="B56" i="51"/>
  <c r="T55" i="51"/>
  <c r="P55" i="51"/>
  <c r="X55" i="51" s="1"/>
  <c r="Z55" i="51" s="1"/>
  <c r="N55" i="51"/>
  <c r="H55" i="51"/>
  <c r="D55" i="51"/>
  <c r="L55" i="51" s="1"/>
  <c r="B55" i="51"/>
  <c r="T54" i="51" a="1"/>
  <c r="T54" i="51" s="1"/>
  <c r="P54" i="51" a="1"/>
  <c r="P54" i="51"/>
  <c r="L54" i="51"/>
  <c r="H54" i="51" a="1"/>
  <c r="H54" i="51" s="1"/>
  <c r="D54" i="51" a="1"/>
  <c r="D54" i="51" s="1"/>
  <c r="Z50" i="51"/>
  <c r="X50" i="51"/>
  <c r="N50" i="51"/>
  <c r="L50" i="51"/>
  <c r="B50" i="51"/>
  <c r="X49" i="51"/>
  <c r="Z49" i="51" s="1"/>
  <c r="N49" i="51"/>
  <c r="L49" i="51"/>
  <c r="B49" i="51"/>
  <c r="Z48" i="51"/>
  <c r="X48" i="51"/>
  <c r="N48" i="51"/>
  <c r="L48" i="51"/>
  <c r="B48" i="51"/>
  <c r="X47" i="51"/>
  <c r="Z47" i="51" s="1"/>
  <c r="N47" i="51"/>
  <c r="L47" i="51"/>
  <c r="B47" i="51"/>
  <c r="X46" i="51"/>
  <c r="Z46" i="51" s="1"/>
  <c r="N46" i="51"/>
  <c r="L46" i="51"/>
  <c r="B46" i="51"/>
  <c r="Z45" i="51"/>
  <c r="X45" i="51"/>
  <c r="N45" i="51"/>
  <c r="L45" i="51"/>
  <c r="B45" i="51"/>
  <c r="X44" i="51"/>
  <c r="Z44" i="51" s="1"/>
  <c r="N44" i="51"/>
  <c r="L44" i="51"/>
  <c r="B44" i="51"/>
  <c r="Z43" i="51"/>
  <c r="X43" i="51"/>
  <c r="L43" i="51"/>
  <c r="N43" i="51" s="1"/>
  <c r="B43" i="51"/>
  <c r="Z42" i="51"/>
  <c r="X42" i="51"/>
  <c r="L42" i="51"/>
  <c r="N42" i="51" s="1"/>
  <c r="B42" i="51"/>
  <c r="X41" i="51"/>
  <c r="Z41" i="51" s="1"/>
  <c r="N41" i="51"/>
  <c r="L41" i="51"/>
  <c r="B41" i="51"/>
  <c r="Z40" i="51"/>
  <c r="X40" i="51"/>
  <c r="L40" i="51"/>
  <c r="N40" i="51" s="1"/>
  <c r="B40" i="51"/>
  <c r="X39" i="51"/>
  <c r="Z39" i="51" s="1"/>
  <c r="N39" i="51"/>
  <c r="L39" i="51"/>
  <c r="B39" i="51"/>
  <c r="X38" i="51"/>
  <c r="Z38" i="51" s="1"/>
  <c r="N38" i="51"/>
  <c r="L38" i="51"/>
  <c r="B38" i="51"/>
  <c r="Z37" i="51"/>
  <c r="X37" i="51"/>
  <c r="N37" i="51"/>
  <c r="L37" i="51"/>
  <c r="B37" i="51"/>
  <c r="X36" i="51"/>
  <c r="T36" i="51"/>
  <c r="Z36" i="51" s="1"/>
  <c r="P36" i="51"/>
  <c r="L36" i="51"/>
  <c r="H36" i="51"/>
  <c r="N36" i="51" s="1"/>
  <c r="D36" i="51"/>
  <c r="T34" i="51"/>
  <c r="Z34" i="51" s="1"/>
  <c r="P34" i="51"/>
  <c r="X34" i="51" s="1"/>
  <c r="L34" i="51"/>
  <c r="H34" i="51"/>
  <c r="N34" i="51" s="1"/>
  <c r="D34" i="51"/>
  <c r="B34" i="51"/>
  <c r="T33" i="51"/>
  <c r="P33" i="51"/>
  <c r="N33" i="51"/>
  <c r="H33" i="51"/>
  <c r="D33" i="51"/>
  <c r="L33" i="51" s="1"/>
  <c r="B33" i="51"/>
  <c r="X32" i="51"/>
  <c r="Z32" i="51" s="1"/>
  <c r="T32" i="51"/>
  <c r="P32" i="51"/>
  <c r="H32" i="51"/>
  <c r="N32" i="51" s="1"/>
  <c r="D32" i="51"/>
  <c r="L32" i="51" s="1"/>
  <c r="B32" i="51"/>
  <c r="Z31" i="51"/>
  <c r="T31" i="51"/>
  <c r="P31" i="51"/>
  <c r="X31" i="51" s="1"/>
  <c r="H31" i="51"/>
  <c r="N31" i="51" s="1"/>
  <c r="D31" i="51"/>
  <c r="L31" i="51" s="1"/>
  <c r="B31" i="51"/>
  <c r="X30" i="51"/>
  <c r="T30" i="51"/>
  <c r="Z30" i="51" s="1"/>
  <c r="P30" i="51"/>
  <c r="H30" i="51"/>
  <c r="N30" i="51" s="1"/>
  <c r="D30" i="51"/>
  <c r="L30" i="51" s="1"/>
  <c r="B30" i="51"/>
  <c r="T29" i="51"/>
  <c r="P29" i="51"/>
  <c r="X29" i="51" s="1"/>
  <c r="Z29" i="51" s="1"/>
  <c r="H29" i="51"/>
  <c r="D29" i="51"/>
  <c r="B29" i="51"/>
  <c r="T28" i="51"/>
  <c r="Z28" i="51" s="1"/>
  <c r="P28" i="51"/>
  <c r="X28" i="51" s="1"/>
  <c r="L28" i="51"/>
  <c r="N28" i="51" s="1"/>
  <c r="H28" i="51"/>
  <c r="D28" i="51"/>
  <c r="B28" i="51"/>
  <c r="T27" i="51"/>
  <c r="Z27" i="51" s="1"/>
  <c r="P27" i="51"/>
  <c r="X27" i="51" s="1"/>
  <c r="N27" i="51"/>
  <c r="H27" i="51"/>
  <c r="D27" i="51"/>
  <c r="L27" i="51" s="1"/>
  <c r="B27" i="51"/>
  <c r="T26" i="51"/>
  <c r="P26" i="51"/>
  <c r="X26" i="51" s="1"/>
  <c r="L26" i="51"/>
  <c r="H26" i="51"/>
  <c r="N26" i="51" s="1"/>
  <c r="D26" i="51"/>
  <c r="B26" i="51"/>
  <c r="T25" i="51"/>
  <c r="P25" i="51"/>
  <c r="N25" i="51"/>
  <c r="H25" i="51"/>
  <c r="D25" i="51"/>
  <c r="L25" i="51" s="1"/>
  <c r="B25" i="51"/>
  <c r="X24" i="51"/>
  <c r="Z24" i="51" s="1"/>
  <c r="T24" i="51"/>
  <c r="P24" i="51"/>
  <c r="H24" i="51"/>
  <c r="N24" i="51" s="1"/>
  <c r="D24" i="51"/>
  <c r="L24" i="51" s="1"/>
  <c r="B24" i="51"/>
  <c r="T23" i="51"/>
  <c r="P23" i="51"/>
  <c r="X23" i="51" s="1"/>
  <c r="Z23" i="51" s="1"/>
  <c r="H23" i="51"/>
  <c r="N23" i="51" s="1"/>
  <c r="D23" i="51"/>
  <c r="L23" i="51" s="1"/>
  <c r="B23" i="51"/>
  <c r="X22" i="51"/>
  <c r="T22" i="51"/>
  <c r="Z22" i="51" s="1"/>
  <c r="P22" i="51"/>
  <c r="H22" i="51"/>
  <c r="D22" i="51"/>
  <c r="L22" i="51" s="1"/>
  <c r="B22" i="51"/>
  <c r="T21" i="51"/>
  <c r="P21" i="51"/>
  <c r="X21" i="51" s="1"/>
  <c r="Z21" i="51" s="1"/>
  <c r="H21" i="51"/>
  <c r="D21" i="51"/>
  <c r="B21" i="51"/>
  <c r="T20" i="51"/>
  <c r="P20" i="51"/>
  <c r="X20" i="51" s="1"/>
  <c r="L20" i="51"/>
  <c r="N20" i="51" s="1"/>
  <c r="H20" i="51"/>
  <c r="D20" i="51"/>
  <c r="B20" i="51"/>
  <c r="T19" i="51"/>
  <c r="Z19" i="51" s="1"/>
  <c r="P19" i="51"/>
  <c r="X19" i="51" s="1"/>
  <c r="N19" i="51"/>
  <c r="H19" i="51"/>
  <c r="D19" i="51"/>
  <c r="L19" i="51" s="1"/>
  <c r="B19" i="51"/>
  <c r="T18" i="51"/>
  <c r="Z18" i="51" s="1"/>
  <c r="P18" i="51"/>
  <c r="X18" i="51" s="1"/>
  <c r="L18" i="51"/>
  <c r="H18" i="51"/>
  <c r="N18" i="51" s="1"/>
  <c r="D18" i="51"/>
  <c r="B18" i="51"/>
  <c r="T17" i="51"/>
  <c r="P17" i="51"/>
  <c r="N17" i="51"/>
  <c r="H17" i="51"/>
  <c r="D17" i="51"/>
  <c r="L17" i="51" s="1"/>
  <c r="B17" i="51"/>
  <c r="X16" i="51"/>
  <c r="Z16" i="51" s="1"/>
  <c r="T16" i="51"/>
  <c r="P16" i="51"/>
  <c r="P12" i="51" s="1"/>
  <c r="R76" i="51" s="1"/>
  <c r="H16" i="51"/>
  <c r="D16" i="51"/>
  <c r="L16" i="51" s="1"/>
  <c r="B16" i="51"/>
  <c r="Z15" i="51"/>
  <c r="T15" i="51"/>
  <c r="P15" i="51"/>
  <c r="X15" i="51" s="1"/>
  <c r="H15" i="51"/>
  <c r="N15" i="51" s="1"/>
  <c r="D15" i="51"/>
  <c r="L15" i="51" s="1"/>
  <c r="B15" i="51"/>
  <c r="X14" i="51"/>
  <c r="T14" i="51"/>
  <c r="Z14" i="51" s="1"/>
  <c r="P14" i="51"/>
  <c r="H14" i="51"/>
  <c r="D14" i="51"/>
  <c r="B14" i="51"/>
  <c r="T13" i="51"/>
  <c r="P13" i="51"/>
  <c r="X13" i="51" s="1"/>
  <c r="Z13" i="51" s="1"/>
  <c r="H13" i="51"/>
  <c r="D13" i="51"/>
  <c r="B13" i="5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D13" i="50"/>
  <c r="B13" i="50"/>
  <c r="T12" i="50"/>
  <c r="V22" i="50" s="1"/>
  <c r="P12" i="50"/>
  <c r="R18" i="50" s="1"/>
  <c r="H12" i="50"/>
  <c r="D12" i="50"/>
  <c r="F25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P12" i="49"/>
  <c r="R18" i="49" s="1"/>
  <c r="H12" i="49"/>
  <c r="J20" i="49" s="1"/>
  <c r="D12" i="49"/>
  <c r="F36" i="49" s="1"/>
  <c r="D5" i="49"/>
  <c r="D4" i="49"/>
  <c r="X68" i="48"/>
  <c r="Z68" i="48" s="1"/>
  <c r="N68" i="48"/>
  <c r="L68" i="48"/>
  <c r="Z64" i="48"/>
  <c r="X64" i="48"/>
  <c r="T64" i="48"/>
  <c r="P64" i="48"/>
  <c r="P63" i="48" s="1"/>
  <c r="X63" i="48" s="1"/>
  <c r="H64" i="48"/>
  <c r="D64" i="48"/>
  <c r="L64" i="48" s="1"/>
  <c r="N64" i="48" s="1"/>
  <c r="B64" i="48"/>
  <c r="T63" i="48"/>
  <c r="H63" i="48"/>
  <c r="D63" i="48"/>
  <c r="L63" i="48" s="1"/>
  <c r="Z61" i="48"/>
  <c r="X61" i="48"/>
  <c r="N61" i="48"/>
  <c r="L61" i="48"/>
  <c r="F61" i="48"/>
  <c r="B61" i="48"/>
  <c r="T60" i="48"/>
  <c r="Z60" i="48" s="1"/>
  <c r="P60" i="48"/>
  <c r="N60" i="48"/>
  <c r="L60" i="48"/>
  <c r="H60" i="48"/>
  <c r="D60" i="48"/>
  <c r="B60" i="48"/>
  <c r="X59" i="48"/>
  <c r="Z59" i="48" s="1"/>
  <c r="N59" i="48"/>
  <c r="L59" i="48"/>
  <c r="F59" i="48"/>
  <c r="B59" i="48"/>
  <c r="Z58" i="48"/>
  <c r="X58" i="48"/>
  <c r="T58" i="48"/>
  <c r="P58" i="48"/>
  <c r="N58" i="48"/>
  <c r="H58" i="48"/>
  <c r="D58" i="48"/>
  <c r="L58" i="48" s="1"/>
  <c r="B58" i="48"/>
  <c r="Z57" i="48"/>
  <c r="X57" i="48"/>
  <c r="N57" i="48"/>
  <c r="L57" i="48"/>
  <c r="B57" i="48"/>
  <c r="Z56" i="48"/>
  <c r="X56" i="48"/>
  <c r="L56" i="48"/>
  <c r="N56" i="48" s="1"/>
  <c r="B56" i="48"/>
  <c r="X55" i="48"/>
  <c r="T55" i="48"/>
  <c r="Z55" i="48" s="1"/>
  <c r="P55" i="48"/>
  <c r="L55" i="48"/>
  <c r="H55" i="48"/>
  <c r="D55" i="48"/>
  <c r="B55" i="48"/>
  <c r="Z54" i="48"/>
  <c r="X54" i="48"/>
  <c r="N54" i="48"/>
  <c r="L54" i="48"/>
  <c r="B54" i="48"/>
  <c r="X53" i="48"/>
  <c r="T53" i="48"/>
  <c r="Z53" i="48" s="1"/>
  <c r="P53" i="48"/>
  <c r="H53" i="48"/>
  <c r="N53" i="48" s="1"/>
  <c r="D53" i="48"/>
  <c r="B53" i="48"/>
  <c r="X52" i="48"/>
  <c r="Z52" i="48" s="1"/>
  <c r="N52" i="48"/>
  <c r="L52" i="48"/>
  <c r="B52" i="48"/>
  <c r="X51" i="48"/>
  <c r="Z51" i="48" s="1"/>
  <c r="N51" i="48"/>
  <c r="L51" i="48"/>
  <c r="B51" i="48"/>
  <c r="Z50" i="48"/>
  <c r="X50" i="48"/>
  <c r="V50" i="48"/>
  <c r="N50" i="48"/>
  <c r="L50" i="48"/>
  <c r="B50" i="48"/>
  <c r="X49" i="48"/>
  <c r="Z49" i="48" s="1"/>
  <c r="N49" i="48"/>
  <c r="L49" i="48"/>
  <c r="B49" i="48"/>
  <c r="Z48" i="48"/>
  <c r="T48" i="48"/>
  <c r="P48" i="48"/>
  <c r="X48" i="48" s="1"/>
  <c r="H48" i="48"/>
  <c r="F48" i="48"/>
  <c r="D48" i="48"/>
  <c r="L48" i="48" s="1"/>
  <c r="N48" i="48" s="1"/>
  <c r="B48" i="48"/>
  <c r="Z47" i="48"/>
  <c r="X47" i="48"/>
  <c r="L47" i="48"/>
  <c r="N47" i="48" s="1"/>
  <c r="B47" i="48"/>
  <c r="T46" i="48"/>
  <c r="P46" i="48"/>
  <c r="X46" i="48" s="1"/>
  <c r="Z46" i="48" s="1"/>
  <c r="L46" i="48"/>
  <c r="H46" i="48"/>
  <c r="N46" i="48" s="1"/>
  <c r="F46" i="48"/>
  <c r="D46" i="48"/>
  <c r="B46" i="48"/>
  <c r="Z45" i="48"/>
  <c r="X45" i="48"/>
  <c r="L45" i="48"/>
  <c r="N45" i="48" s="1"/>
  <c r="F45" i="48"/>
  <c r="B45" i="48"/>
  <c r="X44" i="48"/>
  <c r="T44" i="48"/>
  <c r="Z44" i="48" s="1"/>
  <c r="P44" i="48"/>
  <c r="N44" i="48"/>
  <c r="L44" i="48"/>
  <c r="H44" i="48"/>
  <c r="D44" i="48"/>
  <c r="B44" i="48"/>
  <c r="X43" i="48"/>
  <c r="Z43" i="48" s="1"/>
  <c r="N43" i="48"/>
  <c r="L43" i="48"/>
  <c r="F43" i="48"/>
  <c r="B43" i="48"/>
  <c r="Z42" i="48"/>
  <c r="X42" i="48"/>
  <c r="N42" i="48"/>
  <c r="L42" i="48"/>
  <c r="B42" i="48"/>
  <c r="T41" i="48"/>
  <c r="P41" i="48"/>
  <c r="X41" i="48" s="1"/>
  <c r="Z41" i="48" s="1"/>
  <c r="L41" i="48"/>
  <c r="H41" i="48"/>
  <c r="N41" i="48" s="1"/>
  <c r="D41" i="48"/>
  <c r="B41" i="48"/>
  <c r="Z40" i="48"/>
  <c r="X40" i="48"/>
  <c r="L40" i="48"/>
  <c r="N40" i="48" s="1"/>
  <c r="B40" i="48"/>
  <c r="X39" i="48"/>
  <c r="T39" i="48"/>
  <c r="Z39" i="48" s="1"/>
  <c r="P39" i="48"/>
  <c r="L39" i="48"/>
  <c r="H39" i="48"/>
  <c r="D39" i="48"/>
  <c r="B39" i="48"/>
  <c r="Z38" i="48"/>
  <c r="X38" i="48"/>
  <c r="N38" i="48"/>
  <c r="L38" i="48"/>
  <c r="B38" i="48"/>
  <c r="X37" i="48"/>
  <c r="T37" i="48"/>
  <c r="Z37" i="48" s="1"/>
  <c r="P37" i="48"/>
  <c r="H37" i="48"/>
  <c r="N37" i="48" s="1"/>
  <c r="D37" i="48"/>
  <c r="B37" i="48"/>
  <c r="X36" i="48"/>
  <c r="Z36" i="48" s="1"/>
  <c r="N36" i="48"/>
  <c r="L36" i="48"/>
  <c r="B36" i="48"/>
  <c r="Z35" i="48"/>
  <c r="X35" i="48"/>
  <c r="N35" i="48"/>
  <c r="L35" i="48"/>
  <c r="B35" i="48"/>
  <c r="Z34" i="48"/>
  <c r="X34" i="48"/>
  <c r="N34" i="48"/>
  <c r="L34" i="48"/>
  <c r="B34" i="48"/>
  <c r="Z33" i="48"/>
  <c r="X33" i="48"/>
  <c r="N33" i="48"/>
  <c r="L33" i="48"/>
  <c r="B33" i="48"/>
  <c r="Z32" i="48"/>
  <c r="X32" i="48"/>
  <c r="L32" i="48"/>
  <c r="N32" i="48" s="1"/>
  <c r="B32" i="48"/>
  <c r="X31" i="48"/>
  <c r="Z31" i="48" s="1"/>
  <c r="N31" i="48"/>
  <c r="L31" i="48"/>
  <c r="F31" i="48"/>
  <c r="B31" i="48"/>
  <c r="Z30" i="48"/>
  <c r="X30" i="48"/>
  <c r="T30" i="48"/>
  <c r="P30" i="48"/>
  <c r="N30" i="48"/>
  <c r="H30" i="48"/>
  <c r="D30" i="48"/>
  <c r="L30" i="48" s="1"/>
  <c r="B30" i="48"/>
  <c r="X29" i="48"/>
  <c r="Z29" i="48" s="1"/>
  <c r="N29" i="48"/>
  <c r="L29" i="48"/>
  <c r="B29" i="48"/>
  <c r="Z28" i="48"/>
  <c r="X28" i="48"/>
  <c r="L28" i="48"/>
  <c r="N28" i="48" s="1"/>
  <c r="B28" i="48"/>
  <c r="X27" i="48"/>
  <c r="Z27" i="48" s="1"/>
  <c r="N27" i="48"/>
  <c r="L27" i="48"/>
  <c r="F27" i="48"/>
  <c r="B27" i="48"/>
  <c r="Z26" i="48"/>
  <c r="X26" i="48"/>
  <c r="L26" i="48"/>
  <c r="N26" i="48" s="1"/>
  <c r="B26" i="48"/>
  <c r="Z25" i="48"/>
  <c r="X25" i="48"/>
  <c r="L25" i="48"/>
  <c r="N25" i="48" s="1"/>
  <c r="F25" i="48"/>
  <c r="B25" i="48"/>
  <c r="X24" i="48"/>
  <c r="Z24" i="48" s="1"/>
  <c r="N24" i="48"/>
  <c r="L24" i="48"/>
  <c r="B24" i="48"/>
  <c r="Z23" i="48"/>
  <c r="X23" i="48"/>
  <c r="L23" i="48"/>
  <c r="N23" i="48" s="1"/>
  <c r="B23" i="48"/>
  <c r="X22" i="48"/>
  <c r="Z22" i="48" s="1"/>
  <c r="N22" i="48"/>
  <c r="L22" i="48"/>
  <c r="B22" i="48"/>
  <c r="X21" i="48"/>
  <c r="Z21" i="48" s="1"/>
  <c r="N21" i="48"/>
  <c r="L21" i="48"/>
  <c r="B21" i="48"/>
  <c r="Z20" i="48"/>
  <c r="T20" i="48"/>
  <c r="P20" i="48"/>
  <c r="X20" i="48" s="1"/>
  <c r="H20" i="48"/>
  <c r="F20" i="48"/>
  <c r="D20" i="48"/>
  <c r="L20" i="48" s="1"/>
  <c r="N20" i="48" s="1"/>
  <c r="B20" i="48"/>
  <c r="T19" i="48" a="1"/>
  <c r="T19" i="48" s="1"/>
  <c r="P19" i="48" a="1"/>
  <c r="P19" i="48" s="1"/>
  <c r="H19" i="48" a="1"/>
  <c r="H19" i="48" s="1"/>
  <c r="D19" i="48" a="1"/>
  <c r="D19" i="48" s="1"/>
  <c r="D17" i="48"/>
  <c r="X15" i="48"/>
  <c r="T15" i="48"/>
  <c r="Z15" i="48" s="1"/>
  <c r="P15" i="48"/>
  <c r="L15" i="48"/>
  <c r="H15" i="48"/>
  <c r="N15" i="48" s="1"/>
  <c r="F15" i="48"/>
  <c r="D15" i="48"/>
  <c r="T13" i="48"/>
  <c r="P13" i="48"/>
  <c r="L13" i="48"/>
  <c r="H13" i="48"/>
  <c r="N13" i="48" s="1"/>
  <c r="D13" i="48"/>
  <c r="B13" i="48"/>
  <c r="T12" i="48"/>
  <c r="T17" i="48" s="1"/>
  <c r="D12" i="48"/>
  <c r="F63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V24" i="47" s="1"/>
  <c r="P12" i="47"/>
  <c r="H12" i="47"/>
  <c r="D12" i="47"/>
  <c r="F21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P13" i="46"/>
  <c r="H13" i="46"/>
  <c r="N13" i="46" s="1"/>
  <c r="D13" i="46"/>
  <c r="B13" i="46"/>
  <c r="T12" i="46"/>
  <c r="P12" i="46"/>
  <c r="H12" i="46"/>
  <c r="J18" i="46" s="1"/>
  <c r="D12" i="46"/>
  <c r="F24" i="46" s="1"/>
  <c r="D5" i="46"/>
  <c r="D4" i="46"/>
  <c r="X97" i="45"/>
  <c r="Z97" i="45" s="1"/>
  <c r="N97" i="45"/>
  <c r="L97" i="45"/>
  <c r="T93" i="45"/>
  <c r="Z93" i="45" s="1"/>
  <c r="P93" i="45"/>
  <c r="N93" i="45"/>
  <c r="H93" i="45"/>
  <c r="D93" i="45"/>
  <c r="L93" i="45" s="1"/>
  <c r="Z91" i="45"/>
  <c r="X91" i="45"/>
  <c r="N91" i="45"/>
  <c r="L91" i="45"/>
  <c r="B91" i="45"/>
  <c r="Z90" i="45"/>
  <c r="X90" i="45"/>
  <c r="N90" i="45"/>
  <c r="L90" i="45"/>
  <c r="B90" i="45"/>
  <c r="Z89" i="45"/>
  <c r="X89" i="45"/>
  <c r="N89" i="45"/>
  <c r="L89" i="45"/>
  <c r="B89" i="45"/>
  <c r="X88" i="45"/>
  <c r="T88" i="45"/>
  <c r="Z88" i="45" s="1"/>
  <c r="P88" i="45"/>
  <c r="N88" i="45"/>
  <c r="L88" i="45"/>
  <c r="H88" i="45"/>
  <c r="D88" i="45"/>
  <c r="B88" i="45"/>
  <c r="X87" i="45"/>
  <c r="Z87" i="45" s="1"/>
  <c r="N87" i="45"/>
  <c r="L87" i="45"/>
  <c r="B87" i="45"/>
  <c r="Z86" i="45"/>
  <c r="X86" i="45"/>
  <c r="T86" i="45"/>
  <c r="P86" i="45"/>
  <c r="N86" i="45"/>
  <c r="H86" i="45"/>
  <c r="D86" i="45"/>
  <c r="L86" i="45" s="1"/>
  <c r="B86" i="45"/>
  <c r="X85" i="45"/>
  <c r="Z85" i="45" s="1"/>
  <c r="N85" i="45"/>
  <c r="L85" i="45"/>
  <c r="B85" i="45"/>
  <c r="Z84" i="45"/>
  <c r="T84" i="45"/>
  <c r="P84" i="45"/>
  <c r="X84" i="45" s="1"/>
  <c r="H84" i="45"/>
  <c r="D84" i="45"/>
  <c r="L84" i="45" s="1"/>
  <c r="N84" i="45" s="1"/>
  <c r="B84" i="45"/>
  <c r="Z83" i="45"/>
  <c r="X83" i="45"/>
  <c r="N83" i="45"/>
  <c r="L83" i="45"/>
  <c r="B83" i="45"/>
  <c r="Z82" i="45"/>
  <c r="X82" i="45"/>
  <c r="N82" i="45"/>
  <c r="L82" i="45"/>
  <c r="B82" i="45"/>
  <c r="X81" i="45"/>
  <c r="Z81" i="45" s="1"/>
  <c r="N81" i="45"/>
  <c r="L81" i="45"/>
  <c r="B81" i="45"/>
  <c r="Z80" i="45"/>
  <c r="X80" i="45"/>
  <c r="L80" i="45"/>
  <c r="N80" i="45" s="1"/>
  <c r="B80" i="45"/>
  <c r="X79" i="45"/>
  <c r="Z79" i="45" s="1"/>
  <c r="N79" i="45"/>
  <c r="L79" i="45"/>
  <c r="B79" i="45"/>
  <c r="Z78" i="45"/>
  <c r="X78" i="45"/>
  <c r="N78" i="45"/>
  <c r="L78" i="45"/>
  <c r="B78" i="45"/>
  <c r="Z77" i="45"/>
  <c r="X77" i="45"/>
  <c r="L77" i="45"/>
  <c r="N77" i="45" s="1"/>
  <c r="B77" i="45"/>
  <c r="Z76" i="45"/>
  <c r="X76" i="45"/>
  <c r="N76" i="45"/>
  <c r="L76" i="45"/>
  <c r="B76" i="45"/>
  <c r="T75" i="45"/>
  <c r="P75" i="45"/>
  <c r="X75" i="45" s="1"/>
  <c r="H75" i="45"/>
  <c r="D75" i="45"/>
  <c r="L75" i="45" s="1"/>
  <c r="N75" i="45" s="1"/>
  <c r="B75" i="45"/>
  <c r="Z74" i="45"/>
  <c r="X74" i="45"/>
  <c r="N74" i="45"/>
  <c r="L74" i="45"/>
  <c r="B74" i="45"/>
  <c r="T73" i="45"/>
  <c r="P73" i="45"/>
  <c r="X73" i="45" s="1"/>
  <c r="Z73" i="45" s="1"/>
  <c r="N73" i="45"/>
  <c r="L73" i="45"/>
  <c r="H73" i="45"/>
  <c r="D73" i="45"/>
  <c r="B73" i="45"/>
  <c r="Z72" i="45"/>
  <c r="X72" i="45"/>
  <c r="L72" i="45"/>
  <c r="N72" i="45" s="1"/>
  <c r="B72" i="45"/>
  <c r="X71" i="45"/>
  <c r="Z71" i="45" s="1"/>
  <c r="L71" i="45"/>
  <c r="N71" i="45" s="1"/>
  <c r="B71" i="45"/>
  <c r="Z70" i="45"/>
  <c r="X70" i="45"/>
  <c r="N70" i="45"/>
  <c r="L70" i="45"/>
  <c r="B70" i="45"/>
  <c r="Z69" i="45"/>
  <c r="X69" i="45"/>
  <c r="L69" i="45"/>
  <c r="N69" i="45" s="1"/>
  <c r="B69" i="45"/>
  <c r="X68" i="45"/>
  <c r="T68" i="45"/>
  <c r="Z68" i="45" s="1"/>
  <c r="P68" i="45"/>
  <c r="N68" i="45"/>
  <c r="L68" i="45"/>
  <c r="H68" i="45"/>
  <c r="D68" i="45"/>
  <c r="B68" i="45"/>
  <c r="X67" i="45"/>
  <c r="Z67" i="45" s="1"/>
  <c r="L67" i="45"/>
  <c r="N67" i="45" s="1"/>
  <c r="B67" i="45"/>
  <c r="Z66" i="45"/>
  <c r="X66" i="45"/>
  <c r="N66" i="45"/>
  <c r="L66" i="45"/>
  <c r="B66" i="45"/>
  <c r="Z65" i="45"/>
  <c r="X65" i="45"/>
  <c r="L65" i="45"/>
  <c r="N65" i="45" s="1"/>
  <c r="B65" i="45"/>
  <c r="X64" i="45"/>
  <c r="T64" i="45"/>
  <c r="Z64" i="45" s="1"/>
  <c r="P64" i="45"/>
  <c r="N64" i="45"/>
  <c r="L64" i="45"/>
  <c r="H64" i="45"/>
  <c r="D64" i="45"/>
  <c r="B64" i="45"/>
  <c r="X63" i="45"/>
  <c r="Z63" i="45" s="1"/>
  <c r="L63" i="45"/>
  <c r="N63" i="45" s="1"/>
  <c r="B63" i="45"/>
  <c r="Z62" i="45"/>
  <c r="X62" i="45"/>
  <c r="T62" i="45"/>
  <c r="P62" i="45"/>
  <c r="H62" i="45"/>
  <c r="D62" i="45"/>
  <c r="L62" i="45" s="1"/>
  <c r="N62" i="45" s="1"/>
  <c r="B62" i="45"/>
  <c r="X61" i="45"/>
  <c r="Z61" i="45" s="1"/>
  <c r="N61" i="45"/>
  <c r="L61" i="45"/>
  <c r="B61" i="45"/>
  <c r="T60" i="45"/>
  <c r="P60" i="45"/>
  <c r="X60" i="45" s="1"/>
  <c r="Z60" i="45" s="1"/>
  <c r="H60" i="45"/>
  <c r="D60" i="45"/>
  <c r="L60" i="45" s="1"/>
  <c r="N60" i="45" s="1"/>
  <c r="B60" i="45"/>
  <c r="X59" i="45"/>
  <c r="Z59" i="45" s="1"/>
  <c r="L59" i="45"/>
  <c r="N59" i="45" s="1"/>
  <c r="B59" i="45"/>
  <c r="T58" i="45"/>
  <c r="P58" i="45"/>
  <c r="X58" i="45" s="1"/>
  <c r="Z58" i="45" s="1"/>
  <c r="L58" i="45"/>
  <c r="H58" i="45"/>
  <c r="N58" i="45" s="1"/>
  <c r="D58" i="45"/>
  <c r="B58" i="45"/>
  <c r="Z57" i="45"/>
  <c r="X57" i="45"/>
  <c r="L57" i="45"/>
  <c r="N57" i="45" s="1"/>
  <c r="B57" i="45"/>
  <c r="X56" i="45"/>
  <c r="T56" i="45"/>
  <c r="Z56" i="45" s="1"/>
  <c r="P56" i="45"/>
  <c r="N56" i="45"/>
  <c r="L56" i="45"/>
  <c r="H56" i="45"/>
  <c r="D56" i="45"/>
  <c r="B56" i="45"/>
  <c r="Z55" i="45"/>
  <c r="X55" i="45"/>
  <c r="N55" i="45"/>
  <c r="L55" i="45"/>
  <c r="B55" i="45"/>
  <c r="Z54" i="45"/>
  <c r="X54" i="45"/>
  <c r="T54" i="45"/>
  <c r="P54" i="45"/>
  <c r="N54" i="45"/>
  <c r="H54" i="45"/>
  <c r="D54" i="45"/>
  <c r="L54" i="45" s="1"/>
  <c r="B54" i="45"/>
  <c r="X53" i="45"/>
  <c r="Z53" i="45" s="1"/>
  <c r="N53" i="45"/>
  <c r="L53" i="45"/>
  <c r="B53" i="45"/>
  <c r="Z52" i="45"/>
  <c r="T52" i="45"/>
  <c r="P52" i="45"/>
  <c r="X52" i="45" s="1"/>
  <c r="H52" i="45"/>
  <c r="D52" i="45"/>
  <c r="L52" i="45" s="1"/>
  <c r="N52" i="45" s="1"/>
  <c r="B52" i="45"/>
  <c r="Z51" i="45"/>
  <c r="X51" i="45"/>
  <c r="L51" i="45"/>
  <c r="N51" i="45" s="1"/>
  <c r="B51" i="45"/>
  <c r="T50" i="45"/>
  <c r="P50" i="45"/>
  <c r="X50" i="45" s="1"/>
  <c r="Z50" i="45" s="1"/>
  <c r="L50" i="45"/>
  <c r="H50" i="45"/>
  <c r="N50" i="45" s="1"/>
  <c r="D50" i="45"/>
  <c r="B50" i="45"/>
  <c r="Z49" i="45"/>
  <c r="X49" i="45"/>
  <c r="L49" i="45"/>
  <c r="N49" i="45" s="1"/>
  <c r="B49" i="45"/>
  <c r="X48" i="45"/>
  <c r="T48" i="45"/>
  <c r="Z48" i="45" s="1"/>
  <c r="P48" i="45"/>
  <c r="N48" i="45"/>
  <c r="L48" i="45"/>
  <c r="H48" i="45"/>
  <c r="D48" i="45"/>
  <c r="B48" i="45"/>
  <c r="X47" i="45"/>
  <c r="Z47" i="45" s="1"/>
  <c r="N47" i="45"/>
  <c r="L47" i="45"/>
  <c r="B47" i="45"/>
  <c r="Z46" i="45"/>
  <c r="X46" i="45"/>
  <c r="T46" i="45"/>
  <c r="P46" i="45"/>
  <c r="N46" i="45"/>
  <c r="H46" i="45"/>
  <c r="D46" i="45"/>
  <c r="L46" i="45" s="1"/>
  <c r="B46" i="45"/>
  <c r="X45" i="45"/>
  <c r="Z45" i="45" s="1"/>
  <c r="N45" i="45"/>
  <c r="L45" i="45"/>
  <c r="B45" i="45"/>
  <c r="Z44" i="45"/>
  <c r="T44" i="45"/>
  <c r="P44" i="45"/>
  <c r="X44" i="45" s="1"/>
  <c r="H44" i="45"/>
  <c r="N44" i="45" s="1"/>
  <c r="D44" i="45"/>
  <c r="L44" i="45" s="1"/>
  <c r="B44" i="45"/>
  <c r="Z43" i="45"/>
  <c r="X43" i="45"/>
  <c r="N43" i="45"/>
  <c r="L43" i="45"/>
  <c r="B43" i="45"/>
  <c r="X42" i="45"/>
  <c r="Z42" i="45" s="1"/>
  <c r="N42" i="45"/>
  <c r="L42" i="45"/>
  <c r="B42" i="45"/>
  <c r="X41" i="45"/>
  <c r="Z41" i="45" s="1"/>
  <c r="N41" i="45"/>
  <c r="L41" i="45"/>
  <c r="B41" i="45"/>
  <c r="Z40" i="45"/>
  <c r="X40" i="45"/>
  <c r="L40" i="45"/>
  <c r="N40" i="45" s="1"/>
  <c r="B40" i="45"/>
  <c r="X39" i="45"/>
  <c r="Z39" i="45" s="1"/>
  <c r="N39" i="45"/>
  <c r="L39" i="45"/>
  <c r="B39" i="45"/>
  <c r="Z38" i="45"/>
  <c r="X38" i="45"/>
  <c r="L38" i="45"/>
  <c r="N38" i="45" s="1"/>
  <c r="B38" i="45"/>
  <c r="Z37" i="45"/>
  <c r="X37" i="45"/>
  <c r="L37" i="45"/>
  <c r="N37" i="45" s="1"/>
  <c r="B37" i="45"/>
  <c r="X36" i="45"/>
  <c r="T36" i="45"/>
  <c r="Z36" i="45" s="1"/>
  <c r="P36" i="45"/>
  <c r="N36" i="45"/>
  <c r="L36" i="45"/>
  <c r="H36" i="45"/>
  <c r="D36" i="45"/>
  <c r="B36" i="45"/>
  <c r="X35" i="45"/>
  <c r="Z35" i="45" s="1"/>
  <c r="N35" i="45"/>
  <c r="L35" i="45"/>
  <c r="B35" i="45"/>
  <c r="Z34" i="45"/>
  <c r="X34" i="45"/>
  <c r="L34" i="45"/>
  <c r="N34" i="45" s="1"/>
  <c r="B34" i="45"/>
  <c r="Z33" i="45"/>
  <c r="X33" i="45"/>
  <c r="L33" i="45"/>
  <c r="N33" i="45" s="1"/>
  <c r="B33" i="45"/>
  <c r="X32" i="45"/>
  <c r="Z32" i="45" s="1"/>
  <c r="N32" i="45"/>
  <c r="L32" i="45"/>
  <c r="B32" i="45"/>
  <c r="Z31" i="45"/>
  <c r="X31" i="45"/>
  <c r="L31" i="45"/>
  <c r="N31" i="45" s="1"/>
  <c r="B31" i="45"/>
  <c r="X30" i="45"/>
  <c r="Z30" i="45" s="1"/>
  <c r="V30" i="45"/>
  <c r="N30" i="45"/>
  <c r="L30" i="45"/>
  <c r="B30" i="45"/>
  <c r="X29" i="45"/>
  <c r="Z29" i="45" s="1"/>
  <c r="N29" i="45"/>
  <c r="L29" i="45"/>
  <c r="B29" i="45"/>
  <c r="Z28" i="45"/>
  <c r="X28" i="45"/>
  <c r="L28" i="45"/>
  <c r="N28" i="45" s="1"/>
  <c r="B28" i="45"/>
  <c r="X27" i="45"/>
  <c r="Z27" i="45" s="1"/>
  <c r="N27" i="45"/>
  <c r="L27" i="45"/>
  <c r="B27" i="45"/>
  <c r="Z26" i="45"/>
  <c r="X26" i="45"/>
  <c r="T26" i="45"/>
  <c r="P26" i="45"/>
  <c r="N26" i="45"/>
  <c r="H26" i="45"/>
  <c r="D26" i="45"/>
  <c r="L26" i="45" s="1"/>
  <c r="B26" i="45"/>
  <c r="T25" i="45" a="1"/>
  <c r="T25" i="45" s="1"/>
  <c r="P25" i="45" a="1"/>
  <c r="P25" i="45" s="1"/>
  <c r="X25" i="45" s="1"/>
  <c r="H25" i="45" a="1"/>
  <c r="H25" i="45" s="1"/>
  <c r="D25" i="45" a="1"/>
  <c r="D25" i="45" s="1"/>
  <c r="L25" i="45" s="1"/>
  <c r="Z21" i="45"/>
  <c r="X21" i="45"/>
  <c r="L21" i="45"/>
  <c r="N21" i="45" s="1"/>
  <c r="B21" i="45"/>
  <c r="X20" i="45"/>
  <c r="Z20" i="45" s="1"/>
  <c r="N20" i="45"/>
  <c r="L20" i="45"/>
  <c r="B20" i="45"/>
  <c r="T19" i="45"/>
  <c r="P19" i="45"/>
  <c r="X19" i="45" s="1"/>
  <c r="H19" i="45"/>
  <c r="D19" i="45"/>
  <c r="L19" i="45" s="1"/>
  <c r="N19" i="45" s="1"/>
  <c r="X17" i="45"/>
  <c r="T17" i="45"/>
  <c r="Z17" i="45" s="1"/>
  <c r="P17" i="45"/>
  <c r="N17" i="45"/>
  <c r="H17" i="45"/>
  <c r="D17" i="45"/>
  <c r="L17" i="45" s="1"/>
  <c r="B17" i="45"/>
  <c r="Z16" i="45"/>
  <c r="X16" i="45"/>
  <c r="T16" i="45"/>
  <c r="P16" i="45"/>
  <c r="H16" i="45"/>
  <c r="D16" i="45"/>
  <c r="B16" i="45"/>
  <c r="T15" i="45"/>
  <c r="P15" i="45"/>
  <c r="X15" i="45" s="1"/>
  <c r="Z15" i="45" s="1"/>
  <c r="L15" i="45"/>
  <c r="H15" i="45"/>
  <c r="D15" i="45"/>
  <c r="B15" i="45"/>
  <c r="X14" i="45"/>
  <c r="T14" i="45"/>
  <c r="Z14" i="45" s="1"/>
  <c r="P14" i="45"/>
  <c r="N14" i="45"/>
  <c r="H14" i="45"/>
  <c r="D14" i="45"/>
  <c r="L14" i="45" s="1"/>
  <c r="B14" i="45"/>
  <c r="T13" i="45"/>
  <c r="P13" i="45"/>
  <c r="L13" i="45"/>
  <c r="H13" i="45"/>
  <c r="N13" i="45" s="1"/>
  <c r="D13" i="45"/>
  <c r="B13" i="45"/>
  <c r="T12" i="45"/>
  <c r="V82" i="45" s="1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D20" i="44"/>
  <c r="T16" i="44"/>
  <c r="Z16" i="44" s="1"/>
  <c r="P16" i="44"/>
  <c r="H16" i="44"/>
  <c r="D16" i="44"/>
  <c r="B16" i="44"/>
  <c r="T15" i="44"/>
  <c r="Z15" i="44" s="1"/>
  <c r="P15" i="44"/>
  <c r="H15" i="44"/>
  <c r="D15" i="44"/>
  <c r="T13" i="44"/>
  <c r="Z13" i="44" s="1"/>
  <c r="P13" i="44"/>
  <c r="H13" i="44"/>
  <c r="N13" i="44" s="1"/>
  <c r="D13" i="44"/>
  <c r="B13" i="44"/>
  <c r="T12" i="44"/>
  <c r="P12" i="44"/>
  <c r="R34" i="44" s="1"/>
  <c r="H12" i="44"/>
  <c r="J36" i="44" s="1"/>
  <c r="D12" i="44"/>
  <c r="F21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P29" i="43"/>
  <c r="H29" i="43"/>
  <c r="N29" i="43" s="1"/>
  <c r="D29" i="43"/>
  <c r="T25" i="43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P12" i="43"/>
  <c r="H12" i="43"/>
  <c r="J18" i="43" s="1"/>
  <c r="D12" i="43"/>
  <c r="F24" i="43" s="1"/>
  <c r="D5" i="43"/>
  <c r="D4" i="43"/>
  <c r="X110" i="42"/>
  <c r="Z110" i="42" s="1"/>
  <c r="N110" i="42"/>
  <c r="L110" i="42"/>
  <c r="T106" i="42"/>
  <c r="P106" i="42"/>
  <c r="H106" i="42"/>
  <c r="D106" i="42"/>
  <c r="L106" i="42" s="1"/>
  <c r="N106" i="42" s="1"/>
  <c r="B106" i="42"/>
  <c r="Z105" i="42"/>
  <c r="T105" i="42"/>
  <c r="X105" i="42" s="1"/>
  <c r="P105" i="42"/>
  <c r="N105" i="42"/>
  <c r="H105" i="42"/>
  <c r="D105" i="42"/>
  <c r="L105" i="42" s="1"/>
  <c r="B105" i="42"/>
  <c r="X104" i="42"/>
  <c r="T104" i="42"/>
  <c r="P104" i="42"/>
  <c r="H104" i="42"/>
  <c r="D104" i="42"/>
  <c r="B104" i="42"/>
  <c r="Z101" i="42"/>
  <c r="X101" i="42"/>
  <c r="L101" i="42"/>
  <c r="N101" i="42" s="1"/>
  <c r="B101" i="42"/>
  <c r="X100" i="42"/>
  <c r="Z100" i="42" s="1"/>
  <c r="T100" i="42"/>
  <c r="P100" i="42"/>
  <c r="L100" i="42"/>
  <c r="H100" i="42"/>
  <c r="D100" i="42"/>
  <c r="B100" i="42"/>
  <c r="X99" i="42"/>
  <c r="Z99" i="42" s="1"/>
  <c r="N99" i="42"/>
  <c r="L99" i="42"/>
  <c r="B99" i="42"/>
  <c r="Z98" i="42"/>
  <c r="X98" i="42"/>
  <c r="N98" i="42"/>
  <c r="L98" i="42"/>
  <c r="B98" i="42"/>
  <c r="T97" i="42"/>
  <c r="P97" i="42"/>
  <c r="X97" i="42" s="1"/>
  <c r="Z97" i="42" s="1"/>
  <c r="H97" i="42"/>
  <c r="N97" i="42" s="1"/>
  <c r="D97" i="42"/>
  <c r="L97" i="42" s="1"/>
  <c r="B97" i="42"/>
  <c r="Z96" i="42"/>
  <c r="X96" i="42"/>
  <c r="N96" i="42"/>
  <c r="L96" i="42"/>
  <c r="B96" i="42"/>
  <c r="T95" i="42"/>
  <c r="Z95" i="42" s="1"/>
  <c r="P95" i="42"/>
  <c r="X95" i="42" s="1"/>
  <c r="L95" i="42"/>
  <c r="H95" i="42"/>
  <c r="N95" i="42" s="1"/>
  <c r="D95" i="42"/>
  <c r="B95" i="42"/>
  <c r="Z94" i="42"/>
  <c r="X94" i="42"/>
  <c r="L94" i="42"/>
  <c r="N94" i="42" s="1"/>
  <c r="F94" i="42"/>
  <c r="B94" i="42"/>
  <c r="X93" i="42"/>
  <c r="T93" i="42"/>
  <c r="Z93" i="42" s="1"/>
  <c r="P93" i="42"/>
  <c r="N93" i="42"/>
  <c r="H93" i="42"/>
  <c r="L93" i="42" s="1"/>
  <c r="D93" i="42"/>
  <c r="B93" i="42"/>
  <c r="Z92" i="42"/>
  <c r="X92" i="42"/>
  <c r="N92" i="42"/>
  <c r="L92" i="42"/>
  <c r="B92" i="42"/>
  <c r="Z91" i="42"/>
  <c r="X91" i="42"/>
  <c r="N91" i="42"/>
  <c r="L91" i="42"/>
  <c r="B91" i="42"/>
  <c r="Z90" i="42"/>
  <c r="X90" i="42"/>
  <c r="N90" i="42"/>
  <c r="L90" i="42"/>
  <c r="B90" i="42"/>
  <c r="X89" i="42"/>
  <c r="Z89" i="42" s="1"/>
  <c r="N89" i="42"/>
  <c r="L89" i="42"/>
  <c r="B89" i="42"/>
  <c r="Z88" i="42"/>
  <c r="X88" i="42"/>
  <c r="L88" i="42"/>
  <c r="N88" i="42" s="1"/>
  <c r="B88" i="42"/>
  <c r="X87" i="42"/>
  <c r="Z87" i="42" s="1"/>
  <c r="N87" i="42"/>
  <c r="L87" i="42"/>
  <c r="B87" i="42"/>
  <c r="X86" i="42"/>
  <c r="Z86" i="42" s="1"/>
  <c r="N86" i="42"/>
  <c r="L86" i="42"/>
  <c r="B86" i="42"/>
  <c r="Z85" i="42"/>
  <c r="X85" i="42"/>
  <c r="N85" i="42"/>
  <c r="L85" i="42"/>
  <c r="B85" i="42"/>
  <c r="X84" i="42"/>
  <c r="Z84" i="42" s="1"/>
  <c r="N84" i="42"/>
  <c r="L84" i="42"/>
  <c r="B84" i="42"/>
  <c r="Z83" i="42"/>
  <c r="T83" i="42"/>
  <c r="X83" i="42" s="1"/>
  <c r="P83" i="42"/>
  <c r="N83" i="42"/>
  <c r="H83" i="42"/>
  <c r="D83" i="42"/>
  <c r="L83" i="42" s="1"/>
  <c r="B83" i="42"/>
  <c r="X82" i="42"/>
  <c r="Z82" i="42" s="1"/>
  <c r="N82" i="42"/>
  <c r="L82" i="42"/>
  <c r="B82" i="42"/>
  <c r="T81" i="42"/>
  <c r="P81" i="42"/>
  <c r="X81" i="42" s="1"/>
  <c r="Z81" i="42" s="1"/>
  <c r="H81" i="42"/>
  <c r="D81" i="42"/>
  <c r="L81" i="42" s="1"/>
  <c r="B81" i="42"/>
  <c r="Z80" i="42"/>
  <c r="X80" i="42"/>
  <c r="N80" i="42"/>
  <c r="L80" i="42"/>
  <c r="B80" i="42"/>
  <c r="X79" i="42"/>
  <c r="Z79" i="42" s="1"/>
  <c r="N79" i="42"/>
  <c r="L79" i="42"/>
  <c r="B79" i="42"/>
  <c r="X78" i="42"/>
  <c r="Z78" i="42" s="1"/>
  <c r="N78" i="42"/>
  <c r="L78" i="42"/>
  <c r="B78" i="42"/>
  <c r="Z77" i="42"/>
  <c r="X77" i="42"/>
  <c r="L77" i="42"/>
  <c r="N77" i="42" s="1"/>
  <c r="B77" i="42"/>
  <c r="X76" i="42"/>
  <c r="Z76" i="42" s="1"/>
  <c r="T76" i="42"/>
  <c r="P76" i="42"/>
  <c r="H76" i="42"/>
  <c r="D76" i="42"/>
  <c r="B76" i="42"/>
  <c r="Z75" i="42"/>
  <c r="X75" i="42"/>
  <c r="N75" i="42"/>
  <c r="L75" i="42"/>
  <c r="B75" i="42"/>
  <c r="T74" i="42"/>
  <c r="Z74" i="42" s="1"/>
  <c r="P74" i="42"/>
  <c r="H74" i="42"/>
  <c r="N74" i="42" s="1"/>
  <c r="D74" i="42"/>
  <c r="B74" i="42"/>
  <c r="X73" i="42"/>
  <c r="Z73" i="42" s="1"/>
  <c r="N73" i="42"/>
  <c r="L73" i="42"/>
  <c r="B73" i="42"/>
  <c r="Z72" i="42"/>
  <c r="X72" i="42"/>
  <c r="N72" i="42"/>
  <c r="L72" i="42"/>
  <c r="B72" i="42"/>
  <c r="X71" i="42"/>
  <c r="Z71" i="42" s="1"/>
  <c r="N71" i="42"/>
  <c r="L71" i="42"/>
  <c r="B71" i="42"/>
  <c r="X70" i="42"/>
  <c r="Z70" i="42" s="1"/>
  <c r="N70" i="42"/>
  <c r="L70" i="42"/>
  <c r="B70" i="42"/>
  <c r="Z69" i="42"/>
  <c r="T69" i="42"/>
  <c r="P69" i="42"/>
  <c r="X69" i="42" s="1"/>
  <c r="H69" i="42"/>
  <c r="N69" i="42" s="1"/>
  <c r="F69" i="42"/>
  <c r="D69" i="42"/>
  <c r="L69" i="42" s="1"/>
  <c r="B69" i="42"/>
  <c r="Z68" i="42"/>
  <c r="X68" i="42"/>
  <c r="L68" i="42"/>
  <c r="N68" i="42" s="1"/>
  <c r="B68" i="42"/>
  <c r="T67" i="42"/>
  <c r="Z67" i="42" s="1"/>
  <c r="P67" i="42"/>
  <c r="X67" i="42" s="1"/>
  <c r="L67" i="42"/>
  <c r="H67" i="42"/>
  <c r="N67" i="42" s="1"/>
  <c r="D67" i="42"/>
  <c r="B67" i="42"/>
  <c r="Z66" i="42"/>
  <c r="X66" i="42"/>
  <c r="N66" i="42"/>
  <c r="L66" i="42"/>
  <c r="B66" i="42"/>
  <c r="X65" i="42"/>
  <c r="T65" i="42"/>
  <c r="Z65" i="42" s="1"/>
  <c r="P65" i="42"/>
  <c r="N65" i="42"/>
  <c r="L65" i="42"/>
  <c r="H65" i="42"/>
  <c r="D65" i="42"/>
  <c r="B65" i="42"/>
  <c r="X64" i="42"/>
  <c r="Z64" i="42" s="1"/>
  <c r="N64" i="42"/>
  <c r="L64" i="42"/>
  <c r="B64" i="42"/>
  <c r="Z63" i="42"/>
  <c r="T63" i="42"/>
  <c r="X63" i="42" s="1"/>
  <c r="P63" i="42"/>
  <c r="H63" i="42"/>
  <c r="D63" i="42"/>
  <c r="B63" i="42"/>
  <c r="X62" i="42"/>
  <c r="Z62" i="42" s="1"/>
  <c r="N62" i="42"/>
  <c r="L62" i="42"/>
  <c r="B62" i="42"/>
  <c r="Z61" i="42"/>
  <c r="T61" i="42"/>
  <c r="P61" i="42"/>
  <c r="X61" i="42" s="1"/>
  <c r="L61" i="42"/>
  <c r="H61" i="42"/>
  <c r="D61" i="42"/>
  <c r="B61" i="42"/>
  <c r="Z60" i="42"/>
  <c r="X60" i="42"/>
  <c r="N60" i="42"/>
  <c r="L60" i="42"/>
  <c r="B60" i="42"/>
  <c r="T59" i="42"/>
  <c r="P59" i="42"/>
  <c r="X59" i="42" s="1"/>
  <c r="H59" i="42"/>
  <c r="N59" i="42" s="1"/>
  <c r="D59" i="42"/>
  <c r="L59" i="42" s="1"/>
  <c r="B59" i="42"/>
  <c r="Z58" i="42"/>
  <c r="X58" i="42"/>
  <c r="N58" i="42"/>
  <c r="L58" i="42"/>
  <c r="B58" i="42"/>
  <c r="X57" i="42"/>
  <c r="T57" i="42"/>
  <c r="P57" i="42"/>
  <c r="N57" i="42"/>
  <c r="L57" i="42"/>
  <c r="H57" i="42"/>
  <c r="D57" i="42"/>
  <c r="B57" i="42"/>
  <c r="Z56" i="42"/>
  <c r="X56" i="42"/>
  <c r="N56" i="42"/>
  <c r="L56" i="42"/>
  <c r="B56" i="42"/>
  <c r="T55" i="42"/>
  <c r="Z55" i="42" s="1"/>
  <c r="P55" i="42"/>
  <c r="X55" i="42" s="1"/>
  <c r="N55" i="42"/>
  <c r="H55" i="42"/>
  <c r="D55" i="42"/>
  <c r="L55" i="42" s="1"/>
  <c r="B55" i="42"/>
  <c r="Z54" i="42"/>
  <c r="X54" i="42"/>
  <c r="N54" i="42"/>
  <c r="L54" i="42"/>
  <c r="B54" i="42"/>
  <c r="X53" i="42"/>
  <c r="T53" i="42"/>
  <c r="Z53" i="42" s="1"/>
  <c r="P53" i="42"/>
  <c r="L53" i="42"/>
  <c r="H53" i="42"/>
  <c r="N53" i="42" s="1"/>
  <c r="D53" i="42"/>
  <c r="B53" i="42"/>
  <c r="Z52" i="42"/>
  <c r="X52" i="42"/>
  <c r="L52" i="42"/>
  <c r="N52" i="42" s="1"/>
  <c r="B52" i="42"/>
  <c r="Z51" i="42"/>
  <c r="X51" i="42"/>
  <c r="L51" i="42"/>
  <c r="N51" i="42" s="1"/>
  <c r="B51" i="42"/>
  <c r="T50" i="42"/>
  <c r="P50" i="42"/>
  <c r="L50" i="42"/>
  <c r="H50" i="42"/>
  <c r="N50" i="42" s="1"/>
  <c r="D50" i="42"/>
  <c r="B50" i="42"/>
  <c r="X49" i="42"/>
  <c r="Z49" i="42" s="1"/>
  <c r="N49" i="42"/>
  <c r="L49" i="42"/>
  <c r="B49" i="42"/>
  <c r="Z48" i="42"/>
  <c r="T48" i="42"/>
  <c r="P48" i="42"/>
  <c r="X48" i="42" s="1"/>
  <c r="H48" i="42"/>
  <c r="D48" i="42"/>
  <c r="B48" i="42"/>
  <c r="X47" i="42"/>
  <c r="Z47" i="42" s="1"/>
  <c r="L47" i="42"/>
  <c r="N47" i="42" s="1"/>
  <c r="B47" i="42"/>
  <c r="X46" i="42"/>
  <c r="T46" i="42"/>
  <c r="Z46" i="42" s="1"/>
  <c r="P46" i="42"/>
  <c r="H46" i="42"/>
  <c r="D46" i="42"/>
  <c r="L46" i="42" s="1"/>
  <c r="N46" i="42" s="1"/>
  <c r="B46" i="42"/>
  <c r="X45" i="42"/>
  <c r="Z45" i="42" s="1"/>
  <c r="L45" i="42"/>
  <c r="N45" i="42" s="1"/>
  <c r="B45" i="42"/>
  <c r="T44" i="42"/>
  <c r="P44" i="42"/>
  <c r="X44" i="42" s="1"/>
  <c r="Z44" i="42" s="1"/>
  <c r="H44" i="42"/>
  <c r="D44" i="42"/>
  <c r="L44" i="42" s="1"/>
  <c r="N44" i="42" s="1"/>
  <c r="B44" i="42"/>
  <c r="Z43" i="42"/>
  <c r="X43" i="42"/>
  <c r="N43" i="42"/>
  <c r="L43" i="42"/>
  <c r="B43" i="42"/>
  <c r="Z42" i="42"/>
  <c r="X42" i="42"/>
  <c r="N42" i="42"/>
  <c r="L42" i="42"/>
  <c r="B42" i="42"/>
  <c r="X41" i="42"/>
  <c r="Z41" i="42" s="1"/>
  <c r="L41" i="42"/>
  <c r="N41" i="42" s="1"/>
  <c r="B41" i="42"/>
  <c r="Z40" i="42"/>
  <c r="X40" i="42"/>
  <c r="N40" i="42"/>
  <c r="L40" i="42"/>
  <c r="B40" i="42"/>
  <c r="Z39" i="42"/>
  <c r="X39" i="42"/>
  <c r="L39" i="42"/>
  <c r="N39" i="42" s="1"/>
  <c r="B39" i="42"/>
  <c r="X38" i="42"/>
  <c r="Z38" i="42" s="1"/>
  <c r="N38" i="42"/>
  <c r="L38" i="42"/>
  <c r="B38" i="42"/>
  <c r="T37" i="42"/>
  <c r="P37" i="42"/>
  <c r="X37" i="42" s="1"/>
  <c r="H37" i="42"/>
  <c r="N37" i="42" s="1"/>
  <c r="D37" i="42"/>
  <c r="L37" i="42" s="1"/>
  <c r="B37" i="42"/>
  <c r="Z36" i="42"/>
  <c r="X36" i="42"/>
  <c r="N36" i="42"/>
  <c r="L36" i="42"/>
  <c r="B36" i="42"/>
  <c r="Z35" i="42"/>
  <c r="X35" i="42"/>
  <c r="L35" i="42"/>
  <c r="N35" i="42" s="1"/>
  <c r="B35" i="42"/>
  <c r="X34" i="42"/>
  <c r="Z34" i="42" s="1"/>
  <c r="N34" i="42"/>
  <c r="L34" i="42"/>
  <c r="B34" i="42"/>
  <c r="Z33" i="42"/>
  <c r="X33" i="42"/>
  <c r="N33" i="42"/>
  <c r="L33" i="42"/>
  <c r="B33" i="42"/>
  <c r="Z32" i="42"/>
  <c r="X32" i="42"/>
  <c r="N32" i="42"/>
  <c r="L32" i="42"/>
  <c r="B32" i="42"/>
  <c r="X31" i="42"/>
  <c r="Z31" i="42" s="1"/>
  <c r="N31" i="42"/>
  <c r="L31" i="42"/>
  <c r="B31" i="42"/>
  <c r="Z30" i="42"/>
  <c r="X30" i="42"/>
  <c r="L30" i="42"/>
  <c r="N30" i="42" s="1"/>
  <c r="B30" i="42"/>
  <c r="X29" i="42"/>
  <c r="Z29" i="42" s="1"/>
  <c r="L29" i="42"/>
  <c r="N29" i="42" s="1"/>
  <c r="B29" i="42"/>
  <c r="Z28" i="42"/>
  <c r="X28" i="42"/>
  <c r="N28" i="42"/>
  <c r="L28" i="42"/>
  <c r="B28" i="42"/>
  <c r="T27" i="42"/>
  <c r="P27" i="42"/>
  <c r="X27" i="42" s="1"/>
  <c r="L27" i="42"/>
  <c r="H27" i="42"/>
  <c r="N27" i="42" s="1"/>
  <c r="D27" i="42"/>
  <c r="B27" i="42"/>
  <c r="T26" i="42" a="1"/>
  <c r="T26" i="42" s="1"/>
  <c r="P26" i="42" a="1"/>
  <c r="P26" i="42" s="1"/>
  <c r="X26" i="42" s="1"/>
  <c r="Z26" i="42" s="1"/>
  <c r="N26" i="42"/>
  <c r="H26" i="42" a="1"/>
  <c r="H26" i="42" s="1"/>
  <c r="D26" i="42" a="1"/>
  <c r="D26" i="42" s="1"/>
  <c r="L26" i="42" s="1"/>
  <c r="X22" i="42"/>
  <c r="Z22" i="42" s="1"/>
  <c r="N22" i="42"/>
  <c r="L22" i="42"/>
  <c r="B22" i="42"/>
  <c r="X21" i="42"/>
  <c r="Z21" i="42" s="1"/>
  <c r="L21" i="42"/>
  <c r="N21" i="42" s="1"/>
  <c r="B21" i="42"/>
  <c r="T20" i="42"/>
  <c r="P20" i="42"/>
  <c r="X20" i="42" s="1"/>
  <c r="Z20" i="42" s="1"/>
  <c r="L20" i="42"/>
  <c r="H20" i="42"/>
  <c r="N20" i="42" s="1"/>
  <c r="D20" i="42"/>
  <c r="T18" i="42"/>
  <c r="P18" i="42"/>
  <c r="X18" i="42" s="1"/>
  <c r="Z18" i="42" s="1"/>
  <c r="H18" i="42"/>
  <c r="D18" i="42"/>
  <c r="B18" i="42"/>
  <c r="T17" i="42"/>
  <c r="P17" i="42"/>
  <c r="X17" i="42" s="1"/>
  <c r="L17" i="42"/>
  <c r="N17" i="42" s="1"/>
  <c r="H17" i="42"/>
  <c r="D17" i="42"/>
  <c r="B17" i="42"/>
  <c r="T16" i="42"/>
  <c r="X16" i="42" s="1"/>
  <c r="P16" i="42"/>
  <c r="N16" i="42"/>
  <c r="H16" i="42"/>
  <c r="D16" i="42"/>
  <c r="L16" i="42" s="1"/>
  <c r="B16" i="42"/>
  <c r="Z15" i="42"/>
  <c r="T15" i="42"/>
  <c r="P15" i="42"/>
  <c r="X15" i="42" s="1"/>
  <c r="L15" i="42"/>
  <c r="H15" i="42"/>
  <c r="N15" i="42" s="1"/>
  <c r="D15" i="42"/>
  <c r="B15" i="42"/>
  <c r="T14" i="42"/>
  <c r="P14" i="42"/>
  <c r="H14" i="42"/>
  <c r="D14" i="42"/>
  <c r="L14" i="42" s="1"/>
  <c r="N14" i="42" s="1"/>
  <c r="B14" i="42"/>
  <c r="X13" i="42"/>
  <c r="Z13" i="42" s="1"/>
  <c r="T13" i="42"/>
  <c r="P13" i="42"/>
  <c r="H13" i="42"/>
  <c r="D13" i="42"/>
  <c r="D12" i="42" s="1"/>
  <c r="F41" i="42" s="1"/>
  <c r="B13" i="42"/>
  <c r="D4" i="42"/>
  <c r="B39" i="41"/>
  <c r="B38" i="41"/>
  <c r="T34" i="41"/>
  <c r="Z34" i="41" s="1"/>
  <c r="P34" i="41"/>
  <c r="H34" i="4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36" i="41" s="1"/>
  <c r="P12" i="41"/>
  <c r="R36" i="41" s="1"/>
  <c r="H12" i="41"/>
  <c r="D12" i="4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D25" i="40"/>
  <c r="B25" i="40"/>
  <c r="T24" i="40"/>
  <c r="Z24" i="40" s="1"/>
  <c r="P24" i="40"/>
  <c r="H24" i="40"/>
  <c r="D24" i="40"/>
  <c r="T22" i="40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D20" i="40"/>
  <c r="T16" i="40"/>
  <c r="Z16" i="40" s="1"/>
  <c r="P16" i="40"/>
  <c r="H16" i="40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D13" i="40"/>
  <c r="B13" i="40"/>
  <c r="T12" i="40"/>
  <c r="P12" i="40"/>
  <c r="R22" i="40" s="1"/>
  <c r="H12" i="40"/>
  <c r="J20" i="40" s="1"/>
  <c r="D12" i="40"/>
  <c r="D5" i="40"/>
  <c r="D4" i="40"/>
  <c r="Z121" i="39"/>
  <c r="X121" i="39"/>
  <c r="L121" i="39"/>
  <c r="N121" i="39" s="1"/>
  <c r="X117" i="39"/>
  <c r="T117" i="39"/>
  <c r="P117" i="39"/>
  <c r="H117" i="39"/>
  <c r="D117" i="39"/>
  <c r="B117" i="39"/>
  <c r="X116" i="39"/>
  <c r="T116" i="39"/>
  <c r="T114" i="39" s="1"/>
  <c r="R116" i="39"/>
  <c r="P116" i="39"/>
  <c r="N116" i="39"/>
  <c r="H116" i="39"/>
  <c r="L116" i="39" s="1"/>
  <c r="D116" i="39"/>
  <c r="D114" i="39" s="1"/>
  <c r="B116" i="39"/>
  <c r="T115" i="39"/>
  <c r="P115" i="39"/>
  <c r="X115" i="39" s="1"/>
  <c r="L115" i="39"/>
  <c r="H115" i="39"/>
  <c r="D115" i="39"/>
  <c r="B115" i="39"/>
  <c r="Z112" i="39"/>
  <c r="X112" i="39"/>
  <c r="N112" i="39"/>
  <c r="L112" i="39"/>
  <c r="B112" i="39"/>
  <c r="T111" i="39"/>
  <c r="Z111" i="39" s="1"/>
  <c r="P111" i="39"/>
  <c r="X111" i="39" s="1"/>
  <c r="H111" i="39"/>
  <c r="D111" i="39"/>
  <c r="L111" i="39" s="1"/>
  <c r="B111" i="39"/>
  <c r="Z110" i="39"/>
  <c r="X110" i="39"/>
  <c r="N110" i="39"/>
  <c r="L110" i="39"/>
  <c r="B110" i="39"/>
  <c r="Z109" i="39"/>
  <c r="X109" i="39"/>
  <c r="N109" i="39"/>
  <c r="L109" i="39"/>
  <c r="B109" i="39"/>
  <c r="T108" i="39"/>
  <c r="X108" i="39" s="1"/>
  <c r="Z108" i="39" s="1"/>
  <c r="P108" i="39"/>
  <c r="N108" i="39"/>
  <c r="H108" i="39"/>
  <c r="D108" i="39"/>
  <c r="L108" i="39" s="1"/>
  <c r="B108" i="39"/>
  <c r="X107" i="39"/>
  <c r="Z107" i="39" s="1"/>
  <c r="N107" i="39"/>
  <c r="L107" i="39"/>
  <c r="B107" i="39"/>
  <c r="T106" i="39"/>
  <c r="P106" i="39"/>
  <c r="X106" i="39" s="1"/>
  <c r="Z106" i="39" s="1"/>
  <c r="N106" i="39"/>
  <c r="H106" i="39"/>
  <c r="D106" i="39"/>
  <c r="L106" i="39" s="1"/>
  <c r="B106" i="39"/>
  <c r="X105" i="39"/>
  <c r="Z105" i="39" s="1"/>
  <c r="L105" i="39"/>
  <c r="N105" i="39" s="1"/>
  <c r="B105" i="39"/>
  <c r="T104" i="39"/>
  <c r="P104" i="39"/>
  <c r="X104" i="39" s="1"/>
  <c r="Z104" i="39" s="1"/>
  <c r="L104" i="39"/>
  <c r="H104" i="39"/>
  <c r="N104" i="39" s="1"/>
  <c r="D104" i="39"/>
  <c r="B104" i="39"/>
  <c r="Z103" i="39"/>
  <c r="X103" i="39"/>
  <c r="N103" i="39"/>
  <c r="L103" i="39"/>
  <c r="B103" i="39"/>
  <c r="X102" i="39"/>
  <c r="Z102" i="39" s="1"/>
  <c r="N102" i="39"/>
  <c r="L102" i="39"/>
  <c r="B102" i="39"/>
  <c r="Z101" i="39"/>
  <c r="X101" i="39"/>
  <c r="N101" i="39"/>
  <c r="L101" i="39"/>
  <c r="B101" i="39"/>
  <c r="Z100" i="39"/>
  <c r="X100" i="39"/>
  <c r="N100" i="39"/>
  <c r="L100" i="39"/>
  <c r="B100" i="39"/>
  <c r="X99" i="39"/>
  <c r="Z99" i="39" s="1"/>
  <c r="N99" i="39"/>
  <c r="L99" i="39"/>
  <c r="B99" i="39"/>
  <c r="Z98" i="39"/>
  <c r="X98" i="39"/>
  <c r="N98" i="39"/>
  <c r="L98" i="39"/>
  <c r="B98" i="39"/>
  <c r="X97" i="39"/>
  <c r="Z97" i="39" s="1"/>
  <c r="L97" i="39"/>
  <c r="N97" i="39" s="1"/>
  <c r="B97" i="39"/>
  <c r="Z96" i="39"/>
  <c r="X96" i="39"/>
  <c r="N96" i="39"/>
  <c r="L96" i="39"/>
  <c r="B96" i="39"/>
  <c r="Z95" i="39"/>
  <c r="X95" i="39"/>
  <c r="N95" i="39"/>
  <c r="L95" i="39"/>
  <c r="B95" i="39"/>
  <c r="X94" i="39"/>
  <c r="T94" i="39"/>
  <c r="Z94" i="39" s="1"/>
  <c r="P94" i="39"/>
  <c r="H94" i="39"/>
  <c r="L94" i="39" s="1"/>
  <c r="N94" i="39" s="1"/>
  <c r="D94" i="39"/>
  <c r="B94" i="39"/>
  <c r="X93" i="39"/>
  <c r="Z93" i="39" s="1"/>
  <c r="L93" i="39"/>
  <c r="N93" i="39" s="1"/>
  <c r="B93" i="39"/>
  <c r="T92" i="39"/>
  <c r="X92" i="39" s="1"/>
  <c r="Z92" i="39" s="1"/>
  <c r="P92" i="39"/>
  <c r="N92" i="39"/>
  <c r="H92" i="39"/>
  <c r="D92" i="39"/>
  <c r="L92" i="39" s="1"/>
  <c r="B92" i="39"/>
  <c r="X91" i="39"/>
  <c r="Z91" i="39" s="1"/>
  <c r="N91" i="39"/>
  <c r="L91" i="39"/>
  <c r="B91" i="39"/>
  <c r="Z90" i="39"/>
  <c r="X90" i="39"/>
  <c r="L90" i="39"/>
  <c r="N90" i="39" s="1"/>
  <c r="B90" i="39"/>
  <c r="X89" i="39"/>
  <c r="Z89" i="39" s="1"/>
  <c r="L89" i="39"/>
  <c r="N89" i="39" s="1"/>
  <c r="B89" i="39"/>
  <c r="Z88" i="39"/>
  <c r="X88" i="39"/>
  <c r="N88" i="39"/>
  <c r="L88" i="39"/>
  <c r="B88" i="39"/>
  <c r="T87" i="39"/>
  <c r="Z87" i="39" s="1"/>
  <c r="P87" i="39"/>
  <c r="X87" i="39" s="1"/>
  <c r="H87" i="39"/>
  <c r="D87" i="39"/>
  <c r="L87" i="39" s="1"/>
  <c r="N87" i="39" s="1"/>
  <c r="B87" i="39"/>
  <c r="Z86" i="39"/>
  <c r="X86" i="39"/>
  <c r="N86" i="39"/>
  <c r="L86" i="39"/>
  <c r="B86" i="39"/>
  <c r="T85" i="39"/>
  <c r="P85" i="39"/>
  <c r="X85" i="39" s="1"/>
  <c r="Z85" i="39" s="1"/>
  <c r="L85" i="39"/>
  <c r="H85" i="39"/>
  <c r="N85" i="39" s="1"/>
  <c r="D85" i="39"/>
  <c r="B85" i="39"/>
  <c r="Z84" i="39"/>
  <c r="X84" i="39"/>
  <c r="N84" i="39"/>
  <c r="L84" i="39"/>
  <c r="B84" i="39"/>
  <c r="X83" i="39"/>
  <c r="Z83" i="39" s="1"/>
  <c r="N83" i="39"/>
  <c r="L83" i="39"/>
  <c r="B83" i="39"/>
  <c r="Z82" i="39"/>
  <c r="X82" i="39"/>
  <c r="N82" i="39"/>
  <c r="L82" i="39"/>
  <c r="B82" i="39"/>
  <c r="X81" i="39"/>
  <c r="Z81" i="39" s="1"/>
  <c r="L81" i="39"/>
  <c r="N81" i="39" s="1"/>
  <c r="B81" i="39"/>
  <c r="T80" i="39"/>
  <c r="X80" i="39" s="1"/>
  <c r="Z80" i="39" s="1"/>
  <c r="P80" i="39"/>
  <c r="N80" i="39"/>
  <c r="H80" i="39"/>
  <c r="D80" i="39"/>
  <c r="L80" i="39" s="1"/>
  <c r="B80" i="39"/>
  <c r="X79" i="39"/>
  <c r="Z79" i="39" s="1"/>
  <c r="N79" i="39"/>
  <c r="L79" i="39"/>
  <c r="B79" i="39"/>
  <c r="Z78" i="39"/>
  <c r="T78" i="39"/>
  <c r="P78" i="39"/>
  <c r="X78" i="39" s="1"/>
  <c r="H78" i="39"/>
  <c r="D78" i="39"/>
  <c r="L78" i="39" s="1"/>
  <c r="N78" i="39" s="1"/>
  <c r="B78" i="39"/>
  <c r="Z77" i="39"/>
  <c r="X77" i="39"/>
  <c r="N77" i="39"/>
  <c r="L77" i="39"/>
  <c r="B77" i="39"/>
  <c r="Z76" i="39"/>
  <c r="T76" i="39"/>
  <c r="P76" i="39"/>
  <c r="X76" i="39" s="1"/>
  <c r="L76" i="39"/>
  <c r="H76" i="39"/>
  <c r="N76" i="39" s="1"/>
  <c r="D76" i="39"/>
  <c r="B76" i="39"/>
  <c r="Z75" i="39"/>
  <c r="X75" i="39"/>
  <c r="L75" i="39"/>
  <c r="N75" i="39" s="1"/>
  <c r="B75" i="39"/>
  <c r="X74" i="39"/>
  <c r="T74" i="39"/>
  <c r="Z74" i="39" s="1"/>
  <c r="P74" i="39"/>
  <c r="H74" i="39"/>
  <c r="L74" i="39" s="1"/>
  <c r="N74" i="39" s="1"/>
  <c r="D74" i="39"/>
  <c r="B74" i="39"/>
  <c r="X73" i="39"/>
  <c r="Z73" i="39" s="1"/>
  <c r="L73" i="39"/>
  <c r="N73" i="39" s="1"/>
  <c r="B73" i="39"/>
  <c r="T72" i="39"/>
  <c r="X72" i="39" s="1"/>
  <c r="Z72" i="39" s="1"/>
  <c r="P72" i="39"/>
  <c r="H72" i="39"/>
  <c r="D72" i="39"/>
  <c r="L72" i="39" s="1"/>
  <c r="N72" i="39" s="1"/>
  <c r="B72" i="39"/>
  <c r="X71" i="39"/>
  <c r="Z71" i="39" s="1"/>
  <c r="N71" i="39"/>
  <c r="L71" i="39"/>
  <c r="B71" i="39"/>
  <c r="T70" i="39"/>
  <c r="P70" i="39"/>
  <c r="X70" i="39" s="1"/>
  <c r="Z70" i="39" s="1"/>
  <c r="H70" i="39"/>
  <c r="D70" i="39"/>
  <c r="L70" i="39" s="1"/>
  <c r="N70" i="39" s="1"/>
  <c r="B70" i="39"/>
  <c r="X69" i="39"/>
  <c r="Z69" i="39" s="1"/>
  <c r="N69" i="39"/>
  <c r="L69" i="39"/>
  <c r="B69" i="39"/>
  <c r="Z68" i="39"/>
  <c r="X68" i="39"/>
  <c r="N68" i="39"/>
  <c r="L68" i="39"/>
  <c r="B68" i="39"/>
  <c r="X67" i="39"/>
  <c r="T67" i="39"/>
  <c r="P67" i="39"/>
  <c r="H67" i="39"/>
  <c r="D67" i="39"/>
  <c r="B67" i="39"/>
  <c r="X66" i="39"/>
  <c r="Z66" i="39" s="1"/>
  <c r="N66" i="39"/>
  <c r="L66" i="39"/>
  <c r="B66" i="39"/>
  <c r="T65" i="39"/>
  <c r="P65" i="39"/>
  <c r="H65" i="39"/>
  <c r="N65" i="39" s="1"/>
  <c r="D65" i="39"/>
  <c r="L65" i="39" s="1"/>
  <c r="B65" i="39"/>
  <c r="Z64" i="39"/>
  <c r="X64" i="39"/>
  <c r="N64" i="39"/>
  <c r="L64" i="39"/>
  <c r="B64" i="39"/>
  <c r="T63" i="39"/>
  <c r="Z63" i="39" s="1"/>
  <c r="P63" i="39"/>
  <c r="X63" i="39" s="1"/>
  <c r="N63" i="39"/>
  <c r="H63" i="39"/>
  <c r="D63" i="39"/>
  <c r="L63" i="39" s="1"/>
  <c r="B63" i="39"/>
  <c r="Z62" i="39"/>
  <c r="X62" i="39"/>
  <c r="L62" i="39"/>
  <c r="N62" i="39" s="1"/>
  <c r="B62" i="39"/>
  <c r="X61" i="39"/>
  <c r="Z61" i="39" s="1"/>
  <c r="L61" i="39"/>
  <c r="N61" i="39" s="1"/>
  <c r="B61" i="39"/>
  <c r="T60" i="39"/>
  <c r="X60" i="39" s="1"/>
  <c r="Z60" i="39" s="1"/>
  <c r="P60" i="39"/>
  <c r="H60" i="39"/>
  <c r="D60" i="39"/>
  <c r="L60" i="39" s="1"/>
  <c r="N60" i="39" s="1"/>
  <c r="B60" i="39"/>
  <c r="X59" i="39"/>
  <c r="Z59" i="39" s="1"/>
  <c r="N59" i="39"/>
  <c r="L59" i="39"/>
  <c r="B59" i="39"/>
  <c r="T58" i="39"/>
  <c r="P58" i="39"/>
  <c r="X58" i="39" s="1"/>
  <c r="Z58" i="39" s="1"/>
  <c r="H58" i="39"/>
  <c r="D58" i="39"/>
  <c r="L58" i="39" s="1"/>
  <c r="N58" i="39" s="1"/>
  <c r="B58" i="39"/>
  <c r="X57" i="39"/>
  <c r="Z57" i="39" s="1"/>
  <c r="L57" i="39"/>
  <c r="N57" i="39" s="1"/>
  <c r="B57" i="39"/>
  <c r="T56" i="39"/>
  <c r="P56" i="39"/>
  <c r="X56" i="39" s="1"/>
  <c r="Z56" i="39" s="1"/>
  <c r="L56" i="39"/>
  <c r="H56" i="39"/>
  <c r="N56" i="39" s="1"/>
  <c r="D56" i="39"/>
  <c r="B56" i="39"/>
  <c r="Z55" i="39"/>
  <c r="X55" i="39"/>
  <c r="L55" i="39"/>
  <c r="N55" i="39" s="1"/>
  <c r="B55" i="39"/>
  <c r="X54" i="39"/>
  <c r="T54" i="39"/>
  <c r="Z54" i="39" s="1"/>
  <c r="P54" i="39"/>
  <c r="H54" i="39"/>
  <c r="L54" i="39" s="1"/>
  <c r="N54" i="39" s="1"/>
  <c r="D54" i="39"/>
  <c r="B54" i="39"/>
  <c r="Z53" i="39"/>
  <c r="X53" i="39"/>
  <c r="N53" i="39"/>
  <c r="L53" i="39"/>
  <c r="B53" i="39"/>
  <c r="Z52" i="39"/>
  <c r="X52" i="39"/>
  <c r="N52" i="39"/>
  <c r="L52" i="39"/>
  <c r="B52" i="39"/>
  <c r="Z51" i="39"/>
  <c r="X51" i="39"/>
  <c r="N51" i="39"/>
  <c r="L51" i="39"/>
  <c r="B51" i="39"/>
  <c r="X50" i="39"/>
  <c r="Z50" i="39" s="1"/>
  <c r="N50" i="39"/>
  <c r="L50" i="39"/>
  <c r="B50" i="39"/>
  <c r="X49" i="39"/>
  <c r="Z49" i="39" s="1"/>
  <c r="L49" i="39"/>
  <c r="N49" i="39" s="1"/>
  <c r="B49" i="39"/>
  <c r="Z48" i="39"/>
  <c r="X48" i="39"/>
  <c r="N48" i="39"/>
  <c r="L48" i="39"/>
  <c r="B48" i="39"/>
  <c r="X47" i="39"/>
  <c r="Z47" i="39" s="1"/>
  <c r="N47" i="39"/>
  <c r="L47" i="39"/>
  <c r="B47" i="39"/>
  <c r="T46" i="39"/>
  <c r="P46" i="39"/>
  <c r="X46" i="39" s="1"/>
  <c r="Z46" i="39" s="1"/>
  <c r="H46" i="39"/>
  <c r="D46" i="39"/>
  <c r="L46" i="39" s="1"/>
  <c r="N46" i="39" s="1"/>
  <c r="B46" i="39"/>
  <c r="X45" i="39"/>
  <c r="Z45" i="39" s="1"/>
  <c r="L45" i="39"/>
  <c r="N45" i="39" s="1"/>
  <c r="B45" i="39"/>
  <c r="Z44" i="39"/>
  <c r="X44" i="39"/>
  <c r="N44" i="39"/>
  <c r="L44" i="39"/>
  <c r="B44" i="39"/>
  <c r="X43" i="39"/>
  <c r="Z43" i="39" s="1"/>
  <c r="N43" i="39"/>
  <c r="L43" i="39"/>
  <c r="B43" i="39"/>
  <c r="Z42" i="39"/>
  <c r="X42" i="39"/>
  <c r="N42" i="39"/>
  <c r="L42" i="39"/>
  <c r="B42" i="39"/>
  <c r="X41" i="39"/>
  <c r="Z41" i="39" s="1"/>
  <c r="L41" i="39"/>
  <c r="N41" i="39" s="1"/>
  <c r="B41" i="39"/>
  <c r="Z40" i="39"/>
  <c r="X40" i="39"/>
  <c r="N40" i="39"/>
  <c r="L40" i="39"/>
  <c r="B40" i="39"/>
  <c r="Z39" i="39"/>
  <c r="X39" i="39"/>
  <c r="L39" i="39"/>
  <c r="N39" i="39" s="1"/>
  <c r="B39" i="39"/>
  <c r="X38" i="39"/>
  <c r="Z38" i="39" s="1"/>
  <c r="N38" i="39"/>
  <c r="L38" i="39"/>
  <c r="B38" i="39"/>
  <c r="X37" i="39"/>
  <c r="Z37" i="39" s="1"/>
  <c r="L37" i="39"/>
  <c r="N37" i="39" s="1"/>
  <c r="B37" i="39"/>
  <c r="T36" i="39"/>
  <c r="P36" i="39"/>
  <c r="X36" i="39" s="1"/>
  <c r="Z36" i="39" s="1"/>
  <c r="L36" i="39"/>
  <c r="H36" i="39"/>
  <c r="N36" i="39" s="1"/>
  <c r="D36" i="39"/>
  <c r="B36" i="39"/>
  <c r="T35" i="39" a="1"/>
  <c r="T35" i="39" s="1"/>
  <c r="P35" i="39" a="1"/>
  <c r="P35" i="39"/>
  <c r="H35" i="39" a="1"/>
  <c r="H35" i="39" s="1"/>
  <c r="D35" i="39" a="1"/>
  <c r="D35" i="39"/>
  <c r="L35" i="39" s="1"/>
  <c r="X31" i="39"/>
  <c r="Z31" i="39" s="1"/>
  <c r="N31" i="39"/>
  <c r="L31" i="39"/>
  <c r="B31" i="39"/>
  <c r="Z30" i="39"/>
  <c r="X30" i="39"/>
  <c r="L30" i="39"/>
  <c r="N30" i="39" s="1"/>
  <c r="B30" i="39"/>
  <c r="Z29" i="39"/>
  <c r="X29" i="39"/>
  <c r="N29" i="39"/>
  <c r="L29" i="39"/>
  <c r="B29" i="39"/>
  <c r="T28" i="39"/>
  <c r="P28" i="39"/>
  <c r="X28" i="39" s="1"/>
  <c r="Z28" i="39" s="1"/>
  <c r="N28" i="39"/>
  <c r="H28" i="39"/>
  <c r="D28" i="39"/>
  <c r="L28" i="39" s="1"/>
  <c r="T26" i="39"/>
  <c r="P26" i="39"/>
  <c r="H26" i="39"/>
  <c r="D26" i="39"/>
  <c r="L26" i="39" s="1"/>
  <c r="N26" i="39" s="1"/>
  <c r="B26" i="39"/>
  <c r="X25" i="39"/>
  <c r="T25" i="39"/>
  <c r="Z25" i="39" s="1"/>
  <c r="P25" i="39"/>
  <c r="H25" i="39"/>
  <c r="N25" i="39" s="1"/>
  <c r="D25" i="39"/>
  <c r="L25" i="39" s="1"/>
  <c r="B25" i="39"/>
  <c r="Z24" i="39"/>
  <c r="T24" i="39"/>
  <c r="X24" i="39" s="1"/>
  <c r="P24" i="39"/>
  <c r="H24" i="39"/>
  <c r="L24" i="39" s="1"/>
  <c r="D24" i="39"/>
  <c r="B24" i="39"/>
  <c r="Z23" i="39"/>
  <c r="X23" i="39"/>
  <c r="T23" i="39"/>
  <c r="P23" i="39"/>
  <c r="N23" i="39"/>
  <c r="H23" i="39"/>
  <c r="D23" i="39"/>
  <c r="L23" i="39" s="1"/>
  <c r="B23" i="39"/>
  <c r="Z22" i="39"/>
  <c r="T22" i="39"/>
  <c r="P22" i="39"/>
  <c r="X22" i="39" s="1"/>
  <c r="H22" i="39"/>
  <c r="N22" i="39" s="1"/>
  <c r="D22" i="39"/>
  <c r="L22" i="39" s="1"/>
  <c r="B22" i="39"/>
  <c r="T21" i="39"/>
  <c r="P21" i="39"/>
  <c r="X21" i="39" s="1"/>
  <c r="L21" i="39"/>
  <c r="H21" i="39"/>
  <c r="N21" i="39" s="1"/>
  <c r="D21" i="39"/>
  <c r="B21" i="39"/>
  <c r="T20" i="39"/>
  <c r="X20" i="39" s="1"/>
  <c r="P20" i="39"/>
  <c r="N20" i="39"/>
  <c r="H20" i="39"/>
  <c r="L20" i="39" s="1"/>
  <c r="D20" i="39"/>
  <c r="B20" i="39"/>
  <c r="T19" i="39"/>
  <c r="P19" i="39"/>
  <c r="X19" i="39" s="1"/>
  <c r="Z19" i="39" s="1"/>
  <c r="N19" i="39"/>
  <c r="L19" i="39"/>
  <c r="H19" i="39"/>
  <c r="D19" i="39"/>
  <c r="B19" i="39"/>
  <c r="T18" i="39"/>
  <c r="P18" i="39"/>
  <c r="N18" i="39"/>
  <c r="H18" i="39"/>
  <c r="D18" i="39"/>
  <c r="L18" i="39" s="1"/>
  <c r="B18" i="39"/>
  <c r="X17" i="39"/>
  <c r="T17" i="39"/>
  <c r="P17" i="39"/>
  <c r="H17" i="39"/>
  <c r="N17" i="39" s="1"/>
  <c r="D17" i="39"/>
  <c r="L17" i="39" s="1"/>
  <c r="B17" i="39"/>
  <c r="Z16" i="39"/>
  <c r="T16" i="39"/>
  <c r="X16" i="39" s="1"/>
  <c r="P16" i="39"/>
  <c r="H16" i="39"/>
  <c r="L16" i="39" s="1"/>
  <c r="D16" i="39"/>
  <c r="B16" i="39"/>
  <c r="Z15" i="39"/>
  <c r="X15" i="39"/>
  <c r="T15" i="39"/>
  <c r="P15" i="39"/>
  <c r="N15" i="39"/>
  <c r="H15" i="39"/>
  <c r="D15" i="39"/>
  <c r="L15" i="39" s="1"/>
  <c r="B15" i="39"/>
  <c r="T14" i="39"/>
  <c r="P14" i="39"/>
  <c r="X14" i="39" s="1"/>
  <c r="Z14" i="39" s="1"/>
  <c r="H14" i="39"/>
  <c r="D14" i="39"/>
  <c r="B14" i="39"/>
  <c r="T13" i="39"/>
  <c r="Z13" i="39" s="1"/>
  <c r="P13" i="39"/>
  <c r="P12" i="39" s="1"/>
  <c r="R77" i="39" s="1"/>
  <c r="L13" i="39"/>
  <c r="H13" i="39"/>
  <c r="N13" i="39" s="1"/>
  <c r="D13" i="39"/>
  <c r="B13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D33" i="38"/>
  <c r="T29" i="38"/>
  <c r="Z29" i="38" s="1"/>
  <c r="P29" i="38"/>
  <c r="H29" i="38"/>
  <c r="D29" i="38"/>
  <c r="T25" i="38"/>
  <c r="Z25" i="38" s="1"/>
  <c r="P25" i="38"/>
  <c r="H25" i="38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P21" i="38"/>
  <c r="H21" i="38"/>
  <c r="N21" i="38" s="1"/>
  <c r="D21" i="38"/>
  <c r="B21" i="38"/>
  <c r="T20" i="38"/>
  <c r="P20" i="38"/>
  <c r="H20" i="38"/>
  <c r="N20" i="38" s="1"/>
  <c r="D20" i="38"/>
  <c r="T16" i="38"/>
  <c r="P16" i="38"/>
  <c r="H16" i="38"/>
  <c r="N16" i="38" s="1"/>
  <c r="D16" i="38"/>
  <c r="B16" i="38"/>
  <c r="T15" i="38"/>
  <c r="Z15" i="38" s="1"/>
  <c r="P15" i="38"/>
  <c r="H15" i="38"/>
  <c r="D15" i="38"/>
  <c r="T13" i="38"/>
  <c r="Z13" i="38" s="1"/>
  <c r="P13" i="38"/>
  <c r="H13" i="38"/>
  <c r="N13" i="38" s="1"/>
  <c r="D13" i="38"/>
  <c r="B13" i="38"/>
  <c r="T12" i="38"/>
  <c r="V34" i="38" s="1"/>
  <c r="P12" i="38"/>
  <c r="R34" i="38" s="1"/>
  <c r="H12" i="38"/>
  <c r="D12" i="38"/>
  <c r="D5" i="38"/>
  <c r="D4" i="38"/>
  <c r="B39" i="37"/>
  <c r="B38" i="37"/>
  <c r="T34" i="37"/>
  <c r="Z34" i="37" s="1"/>
  <c r="P34" i="37"/>
  <c r="H34" i="37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P13" i="37"/>
  <c r="H13" i="37"/>
  <c r="N13" i="37" s="1"/>
  <c r="D13" i="37"/>
  <c r="B13" i="37"/>
  <c r="T12" i="37"/>
  <c r="V15" i="37" s="1"/>
  <c r="P12" i="37"/>
  <c r="H12" i="37"/>
  <c r="D12" i="37"/>
  <c r="F18" i="37" s="1"/>
  <c r="D5" i="37"/>
  <c r="D4" i="37"/>
  <c r="X120" i="36"/>
  <c r="Z120" i="36" s="1"/>
  <c r="N120" i="36"/>
  <c r="L120" i="36"/>
  <c r="T116" i="36"/>
  <c r="P116" i="36"/>
  <c r="X116" i="36" s="1"/>
  <c r="H116" i="36"/>
  <c r="D116" i="36"/>
  <c r="L116" i="36" s="1"/>
  <c r="N116" i="36" s="1"/>
  <c r="B116" i="36"/>
  <c r="Z115" i="36"/>
  <c r="T115" i="36"/>
  <c r="P115" i="36"/>
  <c r="X115" i="36" s="1"/>
  <c r="N115" i="36"/>
  <c r="L115" i="36"/>
  <c r="H115" i="36"/>
  <c r="D115" i="36"/>
  <c r="B115" i="36"/>
  <c r="T114" i="36"/>
  <c r="P114" i="36"/>
  <c r="H114" i="36"/>
  <c r="D114" i="36"/>
  <c r="B114" i="36"/>
  <c r="Z111" i="36"/>
  <c r="X111" i="36"/>
  <c r="N111" i="36"/>
  <c r="L111" i="36"/>
  <c r="B111" i="36"/>
  <c r="X110" i="36"/>
  <c r="T110" i="36"/>
  <c r="Z110" i="36" s="1"/>
  <c r="P110" i="36"/>
  <c r="H110" i="36"/>
  <c r="D110" i="36"/>
  <c r="B110" i="36"/>
  <c r="X109" i="36"/>
  <c r="Z109" i="36" s="1"/>
  <c r="N109" i="36"/>
  <c r="L109" i="36"/>
  <c r="B109" i="36"/>
  <c r="X108" i="36"/>
  <c r="Z108" i="36" s="1"/>
  <c r="N108" i="36"/>
  <c r="L108" i="36"/>
  <c r="B108" i="36"/>
  <c r="Z107" i="36"/>
  <c r="X107" i="36"/>
  <c r="N107" i="36"/>
  <c r="L107" i="36"/>
  <c r="B107" i="36"/>
  <c r="X106" i="36"/>
  <c r="T106" i="36"/>
  <c r="Z106" i="36" s="1"/>
  <c r="P106" i="36"/>
  <c r="H106" i="36"/>
  <c r="D106" i="36"/>
  <c r="B106" i="36"/>
  <c r="X105" i="36"/>
  <c r="Z105" i="36" s="1"/>
  <c r="N105" i="36"/>
  <c r="L105" i="36"/>
  <c r="B105" i="36"/>
  <c r="T104" i="36"/>
  <c r="P104" i="36"/>
  <c r="H104" i="36"/>
  <c r="N104" i="36" s="1"/>
  <c r="D104" i="36"/>
  <c r="L104" i="36" s="1"/>
  <c r="B104" i="36"/>
  <c r="Z103" i="36"/>
  <c r="X103" i="36"/>
  <c r="N103" i="36"/>
  <c r="L103" i="36"/>
  <c r="B103" i="36"/>
  <c r="T102" i="36"/>
  <c r="P102" i="36"/>
  <c r="X102" i="36" s="1"/>
  <c r="H102" i="36"/>
  <c r="N102" i="36" s="1"/>
  <c r="D102" i="36"/>
  <c r="L102" i="36" s="1"/>
  <c r="B102" i="36"/>
  <c r="Z101" i="36"/>
  <c r="X101" i="36"/>
  <c r="N101" i="36"/>
  <c r="L101" i="36"/>
  <c r="B101" i="36"/>
  <c r="Z100" i="36"/>
  <c r="X100" i="36"/>
  <c r="N100" i="36"/>
  <c r="L100" i="36"/>
  <c r="B100" i="36"/>
  <c r="Z99" i="36"/>
  <c r="X99" i="36"/>
  <c r="N99" i="36"/>
  <c r="L99" i="36"/>
  <c r="B99" i="36"/>
  <c r="X98" i="36"/>
  <c r="Z98" i="36" s="1"/>
  <c r="L98" i="36"/>
  <c r="N98" i="36" s="1"/>
  <c r="B98" i="36"/>
  <c r="X97" i="36"/>
  <c r="Z97" i="36" s="1"/>
  <c r="N97" i="36"/>
  <c r="L97" i="36"/>
  <c r="B97" i="36"/>
  <c r="X96" i="36"/>
  <c r="Z96" i="36" s="1"/>
  <c r="L96" i="36"/>
  <c r="N96" i="36" s="1"/>
  <c r="B96" i="36"/>
  <c r="Z95" i="36"/>
  <c r="X95" i="36"/>
  <c r="N95" i="36"/>
  <c r="L95" i="36"/>
  <c r="B95" i="36"/>
  <c r="X94" i="36"/>
  <c r="Z94" i="36" s="1"/>
  <c r="L94" i="36"/>
  <c r="N94" i="36" s="1"/>
  <c r="B94" i="36"/>
  <c r="Z93" i="36"/>
  <c r="X93" i="36"/>
  <c r="N93" i="36"/>
  <c r="L93" i="36"/>
  <c r="B93" i="36"/>
  <c r="T92" i="36"/>
  <c r="Z92" i="36" s="1"/>
  <c r="P92" i="36"/>
  <c r="X92" i="36" s="1"/>
  <c r="L92" i="36"/>
  <c r="H92" i="36"/>
  <c r="D92" i="36"/>
  <c r="B92" i="36"/>
  <c r="Z91" i="36"/>
  <c r="X91" i="36"/>
  <c r="N91" i="36"/>
  <c r="L91" i="36"/>
  <c r="B91" i="36"/>
  <c r="X90" i="36"/>
  <c r="Z90" i="36" s="1"/>
  <c r="N90" i="36"/>
  <c r="L90" i="36"/>
  <c r="B90" i="36"/>
  <c r="T89" i="36"/>
  <c r="P89" i="36"/>
  <c r="X89" i="36" s="1"/>
  <c r="Z89" i="36" s="1"/>
  <c r="H89" i="36"/>
  <c r="D89" i="36"/>
  <c r="L89" i="36" s="1"/>
  <c r="N89" i="36" s="1"/>
  <c r="B89" i="36"/>
  <c r="X88" i="36"/>
  <c r="Z88" i="36" s="1"/>
  <c r="L88" i="36"/>
  <c r="N88" i="36" s="1"/>
  <c r="B88" i="36"/>
  <c r="Z87" i="36"/>
  <c r="X87" i="36"/>
  <c r="N87" i="36"/>
  <c r="L87" i="36"/>
  <c r="B87" i="36"/>
  <c r="X86" i="36"/>
  <c r="Z86" i="36" s="1"/>
  <c r="L86" i="36"/>
  <c r="N86" i="36" s="1"/>
  <c r="B86" i="36"/>
  <c r="Z85" i="36"/>
  <c r="X85" i="36"/>
  <c r="L85" i="36"/>
  <c r="N85" i="36" s="1"/>
  <c r="B85" i="36"/>
  <c r="T84" i="36"/>
  <c r="Z84" i="36" s="1"/>
  <c r="P84" i="36"/>
  <c r="X84" i="36" s="1"/>
  <c r="L84" i="36"/>
  <c r="H84" i="36"/>
  <c r="N84" i="36" s="1"/>
  <c r="D84" i="36"/>
  <c r="B84" i="36"/>
  <c r="Z83" i="36"/>
  <c r="X83" i="36"/>
  <c r="N83" i="36"/>
  <c r="L83" i="36"/>
  <c r="B83" i="36"/>
  <c r="X82" i="36"/>
  <c r="T82" i="36"/>
  <c r="Z82" i="36" s="1"/>
  <c r="P82" i="36"/>
  <c r="H82" i="36"/>
  <c r="D82" i="36"/>
  <c r="B82" i="36"/>
  <c r="X81" i="36"/>
  <c r="Z81" i="36" s="1"/>
  <c r="N81" i="36"/>
  <c r="L81" i="36"/>
  <c r="B81" i="36"/>
  <c r="X80" i="36"/>
  <c r="Z80" i="36" s="1"/>
  <c r="L80" i="36"/>
  <c r="N80" i="36" s="1"/>
  <c r="B80" i="36"/>
  <c r="Z79" i="36"/>
  <c r="X79" i="36"/>
  <c r="N79" i="36"/>
  <c r="L79" i="36"/>
  <c r="B79" i="36"/>
  <c r="X78" i="36"/>
  <c r="Z78" i="36" s="1"/>
  <c r="L78" i="36"/>
  <c r="N78" i="36" s="1"/>
  <c r="F78" i="36"/>
  <c r="B78" i="36"/>
  <c r="T77" i="36"/>
  <c r="P77" i="36"/>
  <c r="X77" i="36" s="1"/>
  <c r="Z77" i="36" s="1"/>
  <c r="H77" i="36"/>
  <c r="D77" i="36"/>
  <c r="L77" i="36" s="1"/>
  <c r="N77" i="36" s="1"/>
  <c r="B77" i="36"/>
  <c r="X76" i="36"/>
  <c r="Z76" i="36" s="1"/>
  <c r="L76" i="36"/>
  <c r="N76" i="36" s="1"/>
  <c r="B76" i="36"/>
  <c r="T75" i="36"/>
  <c r="P75" i="36"/>
  <c r="X75" i="36" s="1"/>
  <c r="Z75" i="36" s="1"/>
  <c r="L75" i="36"/>
  <c r="N75" i="36" s="1"/>
  <c r="H75" i="36"/>
  <c r="D75" i="36"/>
  <c r="B75" i="36"/>
  <c r="X74" i="36"/>
  <c r="Z74" i="36" s="1"/>
  <c r="L74" i="36"/>
  <c r="N74" i="36" s="1"/>
  <c r="B74" i="36"/>
  <c r="X73" i="36"/>
  <c r="Z73" i="36" s="1"/>
  <c r="T73" i="36"/>
  <c r="P73" i="36"/>
  <c r="H73" i="36"/>
  <c r="L73" i="36" s="1"/>
  <c r="N73" i="36" s="1"/>
  <c r="D73" i="36"/>
  <c r="B73" i="36"/>
  <c r="Z72" i="36"/>
  <c r="X72" i="36"/>
  <c r="N72" i="36"/>
  <c r="L72" i="36"/>
  <c r="B72" i="36"/>
  <c r="Z71" i="36"/>
  <c r="T71" i="36"/>
  <c r="P71" i="36"/>
  <c r="X71" i="36" s="1"/>
  <c r="N71" i="36"/>
  <c r="H71" i="36"/>
  <c r="D71" i="36"/>
  <c r="L71" i="36" s="1"/>
  <c r="B71" i="36"/>
  <c r="X70" i="36"/>
  <c r="Z70" i="36" s="1"/>
  <c r="L70" i="36"/>
  <c r="N70" i="36" s="1"/>
  <c r="B70" i="36"/>
  <c r="Z69" i="36"/>
  <c r="T69" i="36"/>
  <c r="P69" i="36"/>
  <c r="X69" i="36" s="1"/>
  <c r="H69" i="36"/>
  <c r="D69" i="36"/>
  <c r="L69" i="36" s="1"/>
  <c r="N69" i="36" s="1"/>
  <c r="B69" i="36"/>
  <c r="X68" i="36"/>
  <c r="Z68" i="36" s="1"/>
  <c r="L68" i="36"/>
  <c r="N68" i="36" s="1"/>
  <c r="B68" i="36"/>
  <c r="Z67" i="36"/>
  <c r="T67" i="36"/>
  <c r="P67" i="36"/>
  <c r="X67" i="36" s="1"/>
  <c r="L67" i="36"/>
  <c r="N67" i="36" s="1"/>
  <c r="H67" i="36"/>
  <c r="D67" i="36"/>
  <c r="B67" i="36"/>
  <c r="X66" i="36"/>
  <c r="Z66" i="36" s="1"/>
  <c r="L66" i="36"/>
  <c r="N66" i="36" s="1"/>
  <c r="B66" i="36"/>
  <c r="X65" i="36"/>
  <c r="Z65" i="36" s="1"/>
  <c r="T65" i="36"/>
  <c r="P65" i="36"/>
  <c r="H65" i="36"/>
  <c r="D65" i="36"/>
  <c r="L65" i="36" s="1"/>
  <c r="N65" i="36" s="1"/>
  <c r="B65" i="36"/>
  <c r="X64" i="36"/>
  <c r="Z64" i="36" s="1"/>
  <c r="N64" i="36"/>
  <c r="L64" i="36"/>
  <c r="B64" i="36"/>
  <c r="T63" i="36"/>
  <c r="P63" i="36"/>
  <c r="X63" i="36" s="1"/>
  <c r="Z63" i="36" s="1"/>
  <c r="N63" i="36"/>
  <c r="H63" i="36"/>
  <c r="D63" i="36"/>
  <c r="L63" i="36" s="1"/>
  <c r="B63" i="36"/>
  <c r="X62" i="36"/>
  <c r="Z62" i="36" s="1"/>
  <c r="L62" i="36"/>
  <c r="N62" i="36" s="1"/>
  <c r="F62" i="36"/>
  <c r="B62" i="36"/>
  <c r="T61" i="36"/>
  <c r="P61" i="36"/>
  <c r="X61" i="36" s="1"/>
  <c r="Z61" i="36" s="1"/>
  <c r="H61" i="36"/>
  <c r="D61" i="36"/>
  <c r="L61" i="36" s="1"/>
  <c r="N61" i="36" s="1"/>
  <c r="B61" i="36"/>
  <c r="X60" i="36"/>
  <c r="Z60" i="36" s="1"/>
  <c r="N60" i="36"/>
  <c r="L60" i="36"/>
  <c r="B60" i="36"/>
  <c r="Z59" i="36"/>
  <c r="T59" i="36"/>
  <c r="P59" i="36"/>
  <c r="X59" i="36" s="1"/>
  <c r="N59" i="36"/>
  <c r="L59" i="36"/>
  <c r="H59" i="36"/>
  <c r="D59" i="36"/>
  <c r="B59" i="36"/>
  <c r="X58" i="36"/>
  <c r="Z58" i="36" s="1"/>
  <c r="L58" i="36"/>
  <c r="N58" i="36" s="1"/>
  <c r="B58" i="36"/>
  <c r="X57" i="36"/>
  <c r="Z57" i="36" s="1"/>
  <c r="T57" i="36"/>
  <c r="P57" i="36"/>
  <c r="H57" i="36"/>
  <c r="L57" i="36" s="1"/>
  <c r="N57" i="36" s="1"/>
  <c r="F57" i="36"/>
  <c r="D57" i="36"/>
  <c r="B57" i="36"/>
  <c r="X56" i="36"/>
  <c r="Z56" i="36" s="1"/>
  <c r="L56" i="36"/>
  <c r="N56" i="36" s="1"/>
  <c r="B56" i="36"/>
  <c r="Z55" i="36"/>
  <c r="X55" i="36"/>
  <c r="N55" i="36"/>
  <c r="L55" i="36"/>
  <c r="B55" i="36"/>
  <c r="T54" i="36"/>
  <c r="P54" i="36"/>
  <c r="X54" i="36" s="1"/>
  <c r="H54" i="36"/>
  <c r="D54" i="36"/>
  <c r="L54" i="36" s="1"/>
  <c r="N54" i="36" s="1"/>
  <c r="B54" i="36"/>
  <c r="Z53" i="36"/>
  <c r="X53" i="36"/>
  <c r="L53" i="36"/>
  <c r="N53" i="36" s="1"/>
  <c r="B53" i="36"/>
  <c r="T52" i="36"/>
  <c r="P52" i="36"/>
  <c r="X52" i="36" s="1"/>
  <c r="Z52" i="36" s="1"/>
  <c r="L52" i="36"/>
  <c r="H52" i="36"/>
  <c r="D52" i="36"/>
  <c r="B52" i="36"/>
  <c r="Z51" i="36"/>
  <c r="X51" i="36"/>
  <c r="N51" i="36"/>
  <c r="L51" i="36"/>
  <c r="B51" i="36"/>
  <c r="X50" i="36"/>
  <c r="T50" i="36"/>
  <c r="P50" i="36"/>
  <c r="H50" i="36"/>
  <c r="D50" i="36"/>
  <c r="L50" i="36" s="1"/>
  <c r="B50" i="36"/>
  <c r="X49" i="36"/>
  <c r="Z49" i="36" s="1"/>
  <c r="N49" i="36"/>
  <c r="L49" i="36"/>
  <c r="B49" i="36"/>
  <c r="T48" i="36"/>
  <c r="P48" i="36"/>
  <c r="H48" i="36"/>
  <c r="D48" i="36"/>
  <c r="B48" i="36"/>
  <c r="Z47" i="36"/>
  <c r="X47" i="36"/>
  <c r="N47" i="36"/>
  <c r="L47" i="36"/>
  <c r="B47" i="36"/>
  <c r="X46" i="36"/>
  <c r="Z46" i="36" s="1"/>
  <c r="L46" i="36"/>
  <c r="N46" i="36" s="1"/>
  <c r="B46" i="36"/>
  <c r="X45" i="36"/>
  <c r="Z45" i="36" s="1"/>
  <c r="N45" i="36"/>
  <c r="L45" i="36"/>
  <c r="B45" i="36"/>
  <c r="X44" i="36"/>
  <c r="Z44" i="36" s="1"/>
  <c r="L44" i="36"/>
  <c r="N44" i="36" s="1"/>
  <c r="B44" i="36"/>
  <c r="Z43" i="36"/>
  <c r="X43" i="36"/>
  <c r="N43" i="36"/>
  <c r="L43" i="36"/>
  <c r="B43" i="36"/>
  <c r="X42" i="36"/>
  <c r="Z42" i="36" s="1"/>
  <c r="L42" i="36"/>
  <c r="N42" i="36" s="1"/>
  <c r="B42" i="36"/>
  <c r="Z41" i="36"/>
  <c r="X41" i="36"/>
  <c r="L41" i="36"/>
  <c r="N41" i="36" s="1"/>
  <c r="B41" i="36"/>
  <c r="T40" i="36"/>
  <c r="P40" i="36"/>
  <c r="X40" i="36" s="1"/>
  <c r="H40" i="36"/>
  <c r="D40" i="36"/>
  <c r="B40" i="36"/>
  <c r="Z39" i="36"/>
  <c r="X39" i="36"/>
  <c r="N39" i="36"/>
  <c r="L39" i="36"/>
  <c r="B39" i="36"/>
  <c r="X38" i="36"/>
  <c r="Z38" i="36" s="1"/>
  <c r="L38" i="36"/>
  <c r="N38" i="36" s="1"/>
  <c r="B38" i="36"/>
  <c r="Z37" i="36"/>
  <c r="X37" i="36"/>
  <c r="L37" i="36"/>
  <c r="N37" i="36" s="1"/>
  <c r="B37" i="36"/>
  <c r="X36" i="36"/>
  <c r="Z36" i="36" s="1"/>
  <c r="L36" i="36"/>
  <c r="N36" i="36" s="1"/>
  <c r="B36" i="36"/>
  <c r="Z35" i="36"/>
  <c r="X35" i="36"/>
  <c r="N35" i="36"/>
  <c r="L35" i="36"/>
  <c r="B35" i="36"/>
  <c r="X34" i="36"/>
  <c r="Z34" i="36" s="1"/>
  <c r="L34" i="36"/>
  <c r="N34" i="36" s="1"/>
  <c r="F34" i="36"/>
  <c r="B34" i="36"/>
  <c r="X33" i="36"/>
  <c r="Z33" i="36" s="1"/>
  <c r="N33" i="36"/>
  <c r="L33" i="36"/>
  <c r="B33" i="36"/>
  <c r="X32" i="36"/>
  <c r="Z32" i="36" s="1"/>
  <c r="L32" i="36"/>
  <c r="N32" i="36" s="1"/>
  <c r="B32" i="36"/>
  <c r="Z31" i="36"/>
  <c r="X31" i="36"/>
  <c r="N31" i="36"/>
  <c r="L31" i="36"/>
  <c r="B31" i="36"/>
  <c r="X30" i="36"/>
  <c r="T30" i="36"/>
  <c r="P30" i="36"/>
  <c r="H30" i="36"/>
  <c r="D30" i="36"/>
  <c r="L30" i="36" s="1"/>
  <c r="B30" i="36"/>
  <c r="T29" i="36" a="1"/>
  <c r="T29" i="36"/>
  <c r="P29" i="36" a="1"/>
  <c r="P29" i="36" s="1"/>
  <c r="X29" i="36" s="1"/>
  <c r="H29" i="36" a="1"/>
  <c r="H29" i="36"/>
  <c r="D29" i="36" a="1"/>
  <c r="D29" i="36" s="1"/>
  <c r="L29" i="36" s="1"/>
  <c r="Z25" i="36"/>
  <c r="X25" i="36"/>
  <c r="L25" i="36"/>
  <c r="N25" i="36" s="1"/>
  <c r="B25" i="36"/>
  <c r="X24" i="36"/>
  <c r="Z24" i="36" s="1"/>
  <c r="L24" i="36"/>
  <c r="N24" i="36" s="1"/>
  <c r="B24" i="36"/>
  <c r="Z23" i="36"/>
  <c r="T23" i="36"/>
  <c r="P23" i="36"/>
  <c r="X23" i="36" s="1"/>
  <c r="N23" i="36"/>
  <c r="H23" i="36"/>
  <c r="D23" i="36"/>
  <c r="L23" i="36" s="1"/>
  <c r="T21" i="36"/>
  <c r="P21" i="36"/>
  <c r="N21" i="36"/>
  <c r="H21" i="36"/>
  <c r="D21" i="36"/>
  <c r="L21" i="36" s="1"/>
  <c r="B21" i="36"/>
  <c r="T20" i="36"/>
  <c r="P20" i="36"/>
  <c r="X20" i="36" s="1"/>
  <c r="Z20" i="36" s="1"/>
  <c r="H20" i="36"/>
  <c r="D20" i="36"/>
  <c r="L20" i="36" s="1"/>
  <c r="B20" i="36"/>
  <c r="Z19" i="36"/>
  <c r="T19" i="36"/>
  <c r="X19" i="36" s="1"/>
  <c r="P19" i="36"/>
  <c r="H19" i="36"/>
  <c r="N19" i="36" s="1"/>
  <c r="D19" i="36"/>
  <c r="L19" i="36" s="1"/>
  <c r="B19" i="36"/>
  <c r="X18" i="36"/>
  <c r="Z18" i="36" s="1"/>
  <c r="T18" i="36"/>
  <c r="P18" i="36"/>
  <c r="H18" i="36"/>
  <c r="D18" i="36"/>
  <c r="L18" i="36" s="1"/>
  <c r="B18" i="36"/>
  <c r="T17" i="36"/>
  <c r="P17" i="36"/>
  <c r="X17" i="36" s="1"/>
  <c r="Z17" i="36" s="1"/>
  <c r="N17" i="36"/>
  <c r="H17" i="36"/>
  <c r="L17" i="36" s="1"/>
  <c r="D17" i="36"/>
  <c r="B17" i="36"/>
  <c r="T16" i="36"/>
  <c r="Z16" i="36" s="1"/>
  <c r="P16" i="36"/>
  <c r="X16" i="36" s="1"/>
  <c r="N16" i="36"/>
  <c r="H16" i="36"/>
  <c r="D16" i="36"/>
  <c r="L16" i="36" s="1"/>
  <c r="B16" i="36"/>
  <c r="T15" i="36"/>
  <c r="P15" i="36"/>
  <c r="X15" i="36" s="1"/>
  <c r="H15" i="36"/>
  <c r="D15" i="36"/>
  <c r="B15" i="36"/>
  <c r="T14" i="36"/>
  <c r="P14" i="36"/>
  <c r="X14" i="36" s="1"/>
  <c r="L14" i="36"/>
  <c r="H14" i="36"/>
  <c r="D14" i="36"/>
  <c r="B14" i="36"/>
  <c r="Z13" i="36"/>
  <c r="X13" i="36"/>
  <c r="T13" i="36"/>
  <c r="P13" i="36"/>
  <c r="N13" i="36"/>
  <c r="H13" i="36"/>
  <c r="D13" i="36"/>
  <c r="L13" i="36" s="1"/>
  <c r="B13" i="36"/>
  <c r="D12" i="36"/>
  <c r="F100" i="36" s="1"/>
  <c r="D4" i="36"/>
  <c r="B39" i="35"/>
  <c r="B38" i="35"/>
  <c r="T34" i="35"/>
  <c r="Z34" i="35" s="1"/>
  <c r="P34" i="35"/>
  <c r="H34" i="35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P24" i="35"/>
  <c r="H24" i="35"/>
  <c r="D24" i="35"/>
  <c r="T22" i="35"/>
  <c r="Z22" i="35" s="1"/>
  <c r="P22" i="35"/>
  <c r="H22" i="35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P13" i="35"/>
  <c r="H13" i="35"/>
  <c r="N13" i="35" s="1"/>
  <c r="D13" i="35"/>
  <c r="B13" i="35"/>
  <c r="T12" i="35"/>
  <c r="V34" i="35" s="1"/>
  <c r="P12" i="35"/>
  <c r="R33" i="35" s="1"/>
  <c r="H12" i="35"/>
  <c r="J20" i="35" s="1"/>
  <c r="D12" i="35"/>
  <c r="F27" i="35" s="1"/>
  <c r="D5" i="35"/>
  <c r="D4" i="35"/>
  <c r="X171" i="34"/>
  <c r="Z171" i="34" s="1"/>
  <c r="N171" i="34"/>
  <c r="L171" i="34"/>
  <c r="T167" i="34"/>
  <c r="P167" i="34"/>
  <c r="H167" i="34"/>
  <c r="D167" i="34"/>
  <c r="B167" i="34"/>
  <c r="Z166" i="34"/>
  <c r="T166" i="34"/>
  <c r="P166" i="34"/>
  <c r="X166" i="34" s="1"/>
  <c r="N166" i="34"/>
  <c r="H166" i="34"/>
  <c r="D166" i="34"/>
  <c r="L166" i="34" s="1"/>
  <c r="B166" i="34"/>
  <c r="T165" i="34"/>
  <c r="P165" i="34"/>
  <c r="H165" i="34"/>
  <c r="D165" i="34"/>
  <c r="D164" i="34" s="1"/>
  <c r="B165" i="34"/>
  <c r="Z162" i="34"/>
  <c r="X162" i="34"/>
  <c r="L162" i="34"/>
  <c r="N162" i="34" s="1"/>
  <c r="B162" i="34"/>
  <c r="X161" i="34"/>
  <c r="Z161" i="34" s="1"/>
  <c r="T161" i="34"/>
  <c r="P161" i="34"/>
  <c r="H161" i="34"/>
  <c r="D161" i="34"/>
  <c r="B161" i="34"/>
  <c r="Z160" i="34"/>
  <c r="X160" i="34"/>
  <c r="N160" i="34"/>
  <c r="L160" i="34"/>
  <c r="B160" i="34"/>
  <c r="T159" i="34"/>
  <c r="P159" i="34"/>
  <c r="N159" i="34"/>
  <c r="L159" i="34"/>
  <c r="H159" i="34"/>
  <c r="D159" i="34"/>
  <c r="B159" i="34"/>
  <c r="X158" i="34"/>
  <c r="Z158" i="34" s="1"/>
  <c r="N158" i="34"/>
  <c r="L158" i="34"/>
  <c r="B158" i="34"/>
  <c r="X157" i="34"/>
  <c r="Z157" i="34" s="1"/>
  <c r="T157" i="34"/>
  <c r="P157" i="34"/>
  <c r="H157" i="34"/>
  <c r="N157" i="34" s="1"/>
  <c r="D157" i="34"/>
  <c r="L157" i="34" s="1"/>
  <c r="B157" i="34"/>
  <c r="Z156" i="34"/>
  <c r="X156" i="34"/>
  <c r="N156" i="34"/>
  <c r="L156" i="34"/>
  <c r="B156" i="34"/>
  <c r="T155" i="34"/>
  <c r="P155" i="34"/>
  <c r="X155" i="34" s="1"/>
  <c r="L155" i="34"/>
  <c r="N155" i="34" s="1"/>
  <c r="H155" i="34"/>
  <c r="D155" i="34"/>
  <c r="B155" i="34"/>
  <c r="Z154" i="34"/>
  <c r="X154" i="34"/>
  <c r="N154" i="34"/>
  <c r="L154" i="34"/>
  <c r="B154" i="34"/>
  <c r="Z153" i="34"/>
  <c r="X153" i="34"/>
  <c r="N153" i="34"/>
  <c r="L153" i="34"/>
  <c r="B153" i="34"/>
  <c r="Z152" i="34"/>
  <c r="X152" i="34"/>
  <c r="N152" i="34"/>
  <c r="L152" i="34"/>
  <c r="B152" i="34"/>
  <c r="Z151" i="34"/>
  <c r="X151" i="34"/>
  <c r="N151" i="34"/>
  <c r="L151" i="34"/>
  <c r="B151" i="34"/>
  <c r="X150" i="34"/>
  <c r="Z150" i="34" s="1"/>
  <c r="N150" i="34"/>
  <c r="L150" i="34"/>
  <c r="B150" i="34"/>
  <c r="X149" i="34"/>
  <c r="Z149" i="34" s="1"/>
  <c r="N149" i="34"/>
  <c r="L149" i="34"/>
  <c r="B149" i="34"/>
  <c r="T148" i="34"/>
  <c r="P148" i="34"/>
  <c r="X148" i="34" s="1"/>
  <c r="Z148" i="34" s="1"/>
  <c r="L148" i="34"/>
  <c r="H148" i="34"/>
  <c r="N148" i="34" s="1"/>
  <c r="D148" i="34"/>
  <c r="B148" i="34"/>
  <c r="Z147" i="34"/>
  <c r="X147" i="34"/>
  <c r="N147" i="34"/>
  <c r="L147" i="34"/>
  <c r="B147" i="34"/>
  <c r="X146" i="34"/>
  <c r="Z146" i="34" s="1"/>
  <c r="N146" i="34"/>
  <c r="L146" i="34"/>
  <c r="B146" i="34"/>
  <c r="X145" i="34"/>
  <c r="Z145" i="34" s="1"/>
  <c r="T145" i="34"/>
  <c r="P145" i="34"/>
  <c r="H145" i="34"/>
  <c r="D145" i="34"/>
  <c r="L145" i="34" s="1"/>
  <c r="B145" i="34"/>
  <c r="Z144" i="34"/>
  <c r="X144" i="34"/>
  <c r="N144" i="34"/>
  <c r="L144" i="34"/>
  <c r="B144" i="34"/>
  <c r="Z143" i="34"/>
  <c r="X143" i="34"/>
  <c r="L143" i="34"/>
  <c r="N143" i="34" s="1"/>
  <c r="B143" i="34"/>
  <c r="X142" i="34"/>
  <c r="Z142" i="34" s="1"/>
  <c r="N142" i="34"/>
  <c r="L142" i="34"/>
  <c r="B142" i="34"/>
  <c r="X141" i="34"/>
  <c r="Z141" i="34" s="1"/>
  <c r="N141" i="34"/>
  <c r="L141" i="34"/>
  <c r="B141" i="34"/>
  <c r="Z140" i="34"/>
  <c r="T140" i="34"/>
  <c r="P140" i="34"/>
  <c r="X140" i="34" s="1"/>
  <c r="L140" i="34"/>
  <c r="N140" i="34" s="1"/>
  <c r="H140" i="34"/>
  <c r="D140" i="34"/>
  <c r="B140" i="34"/>
  <c r="Z139" i="34"/>
  <c r="X139" i="34"/>
  <c r="N139" i="34"/>
  <c r="L139" i="34"/>
  <c r="B139" i="34"/>
  <c r="X138" i="34"/>
  <c r="Z138" i="34" s="1"/>
  <c r="N138" i="34"/>
  <c r="L138" i="34"/>
  <c r="B138" i="34"/>
  <c r="T137" i="34"/>
  <c r="P137" i="34"/>
  <c r="X137" i="34" s="1"/>
  <c r="Z137" i="34" s="1"/>
  <c r="H137" i="34"/>
  <c r="N137" i="34" s="1"/>
  <c r="D137" i="34"/>
  <c r="B137" i="34"/>
  <c r="Z136" i="34"/>
  <c r="X136" i="34"/>
  <c r="N136" i="34"/>
  <c r="L136" i="34"/>
  <c r="B136" i="34"/>
  <c r="Z135" i="34"/>
  <c r="X135" i="34"/>
  <c r="N135" i="34"/>
  <c r="L135" i="34"/>
  <c r="B135" i="34"/>
  <c r="X134" i="34"/>
  <c r="Z134" i="34" s="1"/>
  <c r="N134" i="34"/>
  <c r="L134" i="34"/>
  <c r="B134" i="34"/>
  <c r="T133" i="34"/>
  <c r="P133" i="34"/>
  <c r="X133" i="34" s="1"/>
  <c r="Z133" i="34" s="1"/>
  <c r="H133" i="34"/>
  <c r="N133" i="34" s="1"/>
  <c r="D133" i="34"/>
  <c r="B133" i="34"/>
  <c r="Z132" i="34"/>
  <c r="X132" i="34"/>
  <c r="N132" i="34"/>
  <c r="L132" i="34"/>
  <c r="B132" i="34"/>
  <c r="T131" i="34"/>
  <c r="P131" i="34"/>
  <c r="H131" i="34"/>
  <c r="D131" i="34"/>
  <c r="L131" i="34" s="1"/>
  <c r="N131" i="34" s="1"/>
  <c r="B131" i="34"/>
  <c r="Z130" i="34"/>
  <c r="X130" i="34"/>
  <c r="N130" i="34"/>
  <c r="L130" i="34"/>
  <c r="B130" i="34"/>
  <c r="Z129" i="34"/>
  <c r="T129" i="34"/>
  <c r="P129" i="34"/>
  <c r="X129" i="34" s="1"/>
  <c r="H129" i="34"/>
  <c r="D129" i="34"/>
  <c r="B129" i="34"/>
  <c r="Z128" i="34"/>
  <c r="X128" i="34"/>
  <c r="N128" i="34"/>
  <c r="L128" i="34"/>
  <c r="B128" i="34"/>
  <c r="X127" i="34"/>
  <c r="Z127" i="34" s="1"/>
  <c r="N127" i="34"/>
  <c r="L127" i="34"/>
  <c r="B127" i="34"/>
  <c r="T126" i="34"/>
  <c r="Z126" i="34" s="1"/>
  <c r="P126" i="34"/>
  <c r="X126" i="34" s="1"/>
  <c r="H126" i="34"/>
  <c r="D126" i="34"/>
  <c r="L126" i="34" s="1"/>
  <c r="N126" i="34" s="1"/>
  <c r="B126" i="34"/>
  <c r="X125" i="34"/>
  <c r="Z125" i="34" s="1"/>
  <c r="L125" i="34"/>
  <c r="N125" i="34" s="1"/>
  <c r="B125" i="34"/>
  <c r="T124" i="34"/>
  <c r="P124" i="34"/>
  <c r="X124" i="34" s="1"/>
  <c r="Z124" i="34" s="1"/>
  <c r="L124" i="34"/>
  <c r="H124" i="34"/>
  <c r="N124" i="34" s="1"/>
  <c r="D124" i="34"/>
  <c r="B124" i="34"/>
  <c r="Z123" i="34"/>
  <c r="X123" i="34"/>
  <c r="N123" i="34"/>
  <c r="L123" i="34"/>
  <c r="B123" i="34"/>
  <c r="X122" i="34"/>
  <c r="T122" i="34"/>
  <c r="Z122" i="34" s="1"/>
  <c r="P122" i="34"/>
  <c r="N122" i="34"/>
  <c r="H122" i="34"/>
  <c r="L122" i="34" s="1"/>
  <c r="D122" i="34"/>
  <c r="B122" i="34"/>
  <c r="X121" i="34"/>
  <c r="Z121" i="34" s="1"/>
  <c r="N121" i="34"/>
  <c r="L121" i="34"/>
  <c r="B121" i="34"/>
  <c r="Z120" i="34"/>
  <c r="X120" i="34"/>
  <c r="N120" i="34"/>
  <c r="L120" i="34"/>
  <c r="B120" i="34"/>
  <c r="T119" i="34"/>
  <c r="P119" i="34"/>
  <c r="H119" i="34"/>
  <c r="D119" i="34"/>
  <c r="L119" i="34" s="1"/>
  <c r="N119" i="34" s="1"/>
  <c r="B119" i="34"/>
  <c r="Z118" i="34"/>
  <c r="X118" i="34"/>
  <c r="N118" i="34"/>
  <c r="L118" i="34"/>
  <c r="B118" i="34"/>
  <c r="Z117" i="34"/>
  <c r="T117" i="34"/>
  <c r="P117" i="34"/>
  <c r="X117" i="34" s="1"/>
  <c r="H117" i="34"/>
  <c r="D117" i="34"/>
  <c r="B117" i="34"/>
  <c r="Z116" i="34"/>
  <c r="X116" i="34"/>
  <c r="N116" i="34"/>
  <c r="L116" i="34"/>
  <c r="B116" i="34"/>
  <c r="T115" i="34"/>
  <c r="P115" i="34"/>
  <c r="N115" i="34"/>
  <c r="L115" i="34"/>
  <c r="H115" i="34"/>
  <c r="D115" i="34"/>
  <c r="B115" i="34"/>
  <c r="Z114" i="34"/>
  <c r="X114" i="34"/>
  <c r="N114" i="34"/>
  <c r="L114" i="34"/>
  <c r="B114" i="34"/>
  <c r="Z113" i="34"/>
  <c r="X113" i="34"/>
  <c r="N113" i="34"/>
  <c r="L113" i="34"/>
  <c r="B113" i="34"/>
  <c r="Z112" i="34"/>
  <c r="T112" i="34"/>
  <c r="P112" i="34"/>
  <c r="X112" i="34" s="1"/>
  <c r="L112" i="34"/>
  <c r="H112" i="34"/>
  <c r="N112" i="34" s="1"/>
  <c r="D112" i="34"/>
  <c r="B112" i="34"/>
  <c r="Z111" i="34"/>
  <c r="X111" i="34"/>
  <c r="L111" i="34"/>
  <c r="N111" i="34" s="1"/>
  <c r="B111" i="34"/>
  <c r="X110" i="34"/>
  <c r="T110" i="34"/>
  <c r="Z110" i="34" s="1"/>
  <c r="P110" i="34"/>
  <c r="H110" i="34"/>
  <c r="L110" i="34" s="1"/>
  <c r="N110" i="34" s="1"/>
  <c r="D110" i="34"/>
  <c r="B110" i="34"/>
  <c r="X109" i="34"/>
  <c r="Z109" i="34" s="1"/>
  <c r="L109" i="34"/>
  <c r="N109" i="34" s="1"/>
  <c r="B109" i="34"/>
  <c r="T108" i="34"/>
  <c r="X108" i="34" s="1"/>
  <c r="Z108" i="34" s="1"/>
  <c r="P108" i="34"/>
  <c r="H108" i="34"/>
  <c r="N108" i="34" s="1"/>
  <c r="D108" i="34"/>
  <c r="L108" i="34" s="1"/>
  <c r="B108" i="34"/>
  <c r="X107" i="34"/>
  <c r="Z107" i="34" s="1"/>
  <c r="N107" i="34"/>
  <c r="L107" i="34"/>
  <c r="B107" i="34"/>
  <c r="T106" i="34"/>
  <c r="P106" i="34"/>
  <c r="X106" i="34" s="1"/>
  <c r="N106" i="34"/>
  <c r="H106" i="34"/>
  <c r="D106" i="34"/>
  <c r="L106" i="34" s="1"/>
  <c r="B106" i="34"/>
  <c r="X105" i="34"/>
  <c r="Z105" i="34" s="1"/>
  <c r="L105" i="34"/>
  <c r="N105" i="34" s="1"/>
  <c r="B105" i="34"/>
  <c r="Z104" i="34"/>
  <c r="X104" i="34"/>
  <c r="N104" i="34"/>
  <c r="L104" i="34"/>
  <c r="B104" i="34"/>
  <c r="X103" i="34"/>
  <c r="Z103" i="34" s="1"/>
  <c r="N103" i="34"/>
  <c r="L103" i="34"/>
  <c r="B103" i="34"/>
  <c r="Z102" i="34"/>
  <c r="X102" i="34"/>
  <c r="L102" i="34"/>
  <c r="N102" i="34" s="1"/>
  <c r="B102" i="34"/>
  <c r="X101" i="34"/>
  <c r="Z101" i="34" s="1"/>
  <c r="L101" i="34"/>
  <c r="N101" i="34" s="1"/>
  <c r="B101" i="34"/>
  <c r="Z100" i="34"/>
  <c r="X100" i="34"/>
  <c r="N100" i="34"/>
  <c r="L100" i="34"/>
  <c r="B100" i="34"/>
  <c r="T99" i="34"/>
  <c r="P99" i="34"/>
  <c r="X99" i="34" s="1"/>
  <c r="H99" i="34"/>
  <c r="D99" i="34"/>
  <c r="L99" i="34" s="1"/>
  <c r="N99" i="34" s="1"/>
  <c r="B99" i="34"/>
  <c r="Z98" i="34"/>
  <c r="X98" i="34"/>
  <c r="L98" i="34"/>
  <c r="N98" i="34" s="1"/>
  <c r="B98" i="34"/>
  <c r="X97" i="34"/>
  <c r="Z97" i="34" s="1"/>
  <c r="L97" i="34"/>
  <c r="N97" i="34" s="1"/>
  <c r="B97" i="34"/>
  <c r="Z96" i="34"/>
  <c r="X96" i="34"/>
  <c r="N96" i="34"/>
  <c r="L96" i="34"/>
  <c r="B96" i="34"/>
  <c r="Z95" i="34"/>
  <c r="X95" i="34"/>
  <c r="L95" i="34"/>
  <c r="N95" i="34" s="1"/>
  <c r="B95" i="34"/>
  <c r="X94" i="34"/>
  <c r="Z94" i="34" s="1"/>
  <c r="N94" i="34"/>
  <c r="L94" i="34"/>
  <c r="B94" i="34"/>
  <c r="X93" i="34"/>
  <c r="Z93" i="34" s="1"/>
  <c r="L93" i="34"/>
  <c r="N93" i="34" s="1"/>
  <c r="B93" i="34"/>
  <c r="Z92" i="34"/>
  <c r="X92" i="34"/>
  <c r="N92" i="34"/>
  <c r="L92" i="34"/>
  <c r="B92" i="34"/>
  <c r="X91" i="34"/>
  <c r="Z91" i="34" s="1"/>
  <c r="N91" i="34"/>
  <c r="L91" i="34"/>
  <c r="B91" i="34"/>
  <c r="T90" i="34"/>
  <c r="Z90" i="34" s="1"/>
  <c r="P90" i="34"/>
  <c r="X90" i="34" s="1"/>
  <c r="H90" i="34"/>
  <c r="D90" i="34"/>
  <c r="L90" i="34" s="1"/>
  <c r="N90" i="34" s="1"/>
  <c r="B90" i="34"/>
  <c r="T89" i="34" a="1"/>
  <c r="T89" i="34" s="1"/>
  <c r="P89" i="34" a="1"/>
  <c r="P89" i="34" s="1"/>
  <c r="H89" i="34" a="1"/>
  <c r="H89" i="34" s="1"/>
  <c r="D89" i="34" a="1"/>
  <c r="D89" i="34" s="1"/>
  <c r="X85" i="34"/>
  <c r="Z85" i="34" s="1"/>
  <c r="L85" i="34"/>
  <c r="N85" i="34" s="1"/>
  <c r="B85" i="34"/>
  <c r="Z84" i="34"/>
  <c r="X84" i="34"/>
  <c r="N84" i="34"/>
  <c r="L84" i="34"/>
  <c r="B84" i="34"/>
  <c r="Z83" i="34"/>
  <c r="X83" i="34"/>
  <c r="N83" i="34"/>
  <c r="L83" i="34"/>
  <c r="B83" i="34"/>
  <c r="X82" i="34"/>
  <c r="Z82" i="34" s="1"/>
  <c r="N82" i="34"/>
  <c r="L82" i="34"/>
  <c r="B82" i="34"/>
  <c r="X81" i="34"/>
  <c r="Z81" i="34" s="1"/>
  <c r="L81" i="34"/>
  <c r="N81" i="34" s="1"/>
  <c r="B81" i="34"/>
  <c r="Z80" i="34"/>
  <c r="X80" i="34"/>
  <c r="N80" i="34"/>
  <c r="L80" i="34"/>
  <c r="B80" i="34"/>
  <c r="X79" i="34"/>
  <c r="Z79" i="34" s="1"/>
  <c r="N79" i="34"/>
  <c r="L79" i="34"/>
  <c r="B79" i="34"/>
  <c r="Z78" i="34"/>
  <c r="X78" i="34"/>
  <c r="N78" i="34"/>
  <c r="L78" i="34"/>
  <c r="B78" i="34"/>
  <c r="Z77" i="34"/>
  <c r="X77" i="34"/>
  <c r="N77" i="34"/>
  <c r="L77" i="34"/>
  <c r="B77" i="34"/>
  <c r="Z76" i="34"/>
  <c r="X76" i="34"/>
  <c r="N76" i="34"/>
  <c r="L76" i="34"/>
  <c r="B76" i="34"/>
  <c r="Z75" i="34"/>
  <c r="X75" i="34"/>
  <c r="N75" i="34"/>
  <c r="L75" i="34"/>
  <c r="B75" i="34"/>
  <c r="X74" i="34"/>
  <c r="Z74" i="34" s="1"/>
  <c r="N74" i="34"/>
  <c r="L74" i="34"/>
  <c r="B74" i="34"/>
  <c r="X73" i="34"/>
  <c r="Z73" i="34" s="1"/>
  <c r="L73" i="34"/>
  <c r="N73" i="34" s="1"/>
  <c r="B73" i="34"/>
  <c r="Z72" i="34"/>
  <c r="X72" i="34"/>
  <c r="N72" i="34"/>
  <c r="L72" i="34"/>
  <c r="B72" i="34"/>
  <c r="X71" i="34"/>
  <c r="Z71" i="34" s="1"/>
  <c r="N71" i="34"/>
  <c r="L71" i="34"/>
  <c r="B71" i="34"/>
  <c r="Z70" i="34"/>
  <c r="X70" i="34"/>
  <c r="N70" i="34"/>
  <c r="L70" i="34"/>
  <c r="B70" i="34"/>
  <c r="X69" i="34"/>
  <c r="Z69" i="34" s="1"/>
  <c r="L69" i="34"/>
  <c r="N69" i="34" s="1"/>
  <c r="B69" i="34"/>
  <c r="Z68" i="34"/>
  <c r="X68" i="34"/>
  <c r="N68" i="34"/>
  <c r="L68" i="34"/>
  <c r="B68" i="34"/>
  <c r="Z67" i="34"/>
  <c r="X67" i="34"/>
  <c r="L67" i="34"/>
  <c r="N67" i="34" s="1"/>
  <c r="B67" i="34"/>
  <c r="X66" i="34"/>
  <c r="Z66" i="34" s="1"/>
  <c r="N66" i="34"/>
  <c r="L66" i="34"/>
  <c r="B66" i="34"/>
  <c r="X65" i="34"/>
  <c r="Z65" i="34" s="1"/>
  <c r="L65" i="34"/>
  <c r="N65" i="34" s="1"/>
  <c r="B65" i="34"/>
  <c r="Z64" i="34"/>
  <c r="X64" i="34"/>
  <c r="N64" i="34"/>
  <c r="L64" i="34"/>
  <c r="B64" i="34"/>
  <c r="X63" i="34"/>
  <c r="Z63" i="34" s="1"/>
  <c r="N63" i="34"/>
  <c r="L63" i="34"/>
  <c r="B63" i="34"/>
  <c r="Z62" i="34"/>
  <c r="X62" i="34"/>
  <c r="L62" i="34"/>
  <c r="N62" i="34" s="1"/>
  <c r="B62" i="34"/>
  <c r="X61" i="34"/>
  <c r="Z61" i="34" s="1"/>
  <c r="N61" i="34"/>
  <c r="L61" i="34"/>
  <c r="B61" i="34"/>
  <c r="Z60" i="34"/>
  <c r="X60" i="34"/>
  <c r="N60" i="34"/>
  <c r="L60" i="34"/>
  <c r="B60" i="34"/>
  <c r="T59" i="34"/>
  <c r="P59" i="34"/>
  <c r="X59" i="34" s="1"/>
  <c r="H59" i="34"/>
  <c r="D59" i="34"/>
  <c r="L59" i="34" s="1"/>
  <c r="N59" i="34" s="1"/>
  <c r="T57" i="34"/>
  <c r="Z57" i="34" s="1"/>
  <c r="P57" i="34"/>
  <c r="X57" i="34" s="1"/>
  <c r="H57" i="34"/>
  <c r="N57" i="34" s="1"/>
  <c r="D57" i="34"/>
  <c r="L57" i="34" s="1"/>
  <c r="B57" i="34"/>
  <c r="T56" i="34"/>
  <c r="P56" i="34"/>
  <c r="X56" i="34" s="1"/>
  <c r="H56" i="34"/>
  <c r="D56" i="34"/>
  <c r="B56" i="34"/>
  <c r="X55" i="34"/>
  <c r="T55" i="34"/>
  <c r="P55" i="34"/>
  <c r="N55" i="34"/>
  <c r="L55" i="34"/>
  <c r="H55" i="34"/>
  <c r="D55" i="34"/>
  <c r="B55" i="34"/>
  <c r="Z54" i="34"/>
  <c r="T54" i="34"/>
  <c r="P54" i="34"/>
  <c r="X54" i="34" s="1"/>
  <c r="H54" i="34"/>
  <c r="D54" i="34"/>
  <c r="L54" i="34" s="1"/>
  <c r="N54" i="34" s="1"/>
  <c r="B54" i="34"/>
  <c r="T53" i="34"/>
  <c r="P53" i="34"/>
  <c r="X53" i="34" s="1"/>
  <c r="H53" i="34"/>
  <c r="D53" i="34"/>
  <c r="L53" i="34" s="1"/>
  <c r="B53" i="34"/>
  <c r="T52" i="34"/>
  <c r="P52" i="34"/>
  <c r="H52" i="34"/>
  <c r="N52" i="34" s="1"/>
  <c r="D52" i="34"/>
  <c r="L52" i="34" s="1"/>
  <c r="B52" i="34"/>
  <c r="X51" i="34"/>
  <c r="Z51" i="34" s="1"/>
  <c r="T51" i="34"/>
  <c r="P51" i="34"/>
  <c r="L51" i="34"/>
  <c r="H51" i="34"/>
  <c r="D51" i="34"/>
  <c r="B51" i="34"/>
  <c r="Z50" i="34"/>
  <c r="T50" i="34"/>
  <c r="P50" i="34"/>
  <c r="X50" i="34" s="1"/>
  <c r="H50" i="34"/>
  <c r="D50" i="34"/>
  <c r="L50" i="34" s="1"/>
  <c r="N50" i="34" s="1"/>
  <c r="B50" i="34"/>
  <c r="T49" i="34"/>
  <c r="P49" i="34"/>
  <c r="X49" i="34" s="1"/>
  <c r="H49" i="34"/>
  <c r="D49" i="34"/>
  <c r="L49" i="34" s="1"/>
  <c r="B49" i="34"/>
  <c r="T48" i="34"/>
  <c r="P48" i="34"/>
  <c r="H48" i="34"/>
  <c r="D48" i="34"/>
  <c r="B48" i="34"/>
  <c r="X47" i="34"/>
  <c r="T47" i="34"/>
  <c r="Z47" i="34" s="1"/>
  <c r="P47" i="34"/>
  <c r="L47" i="34"/>
  <c r="N47" i="34" s="1"/>
  <c r="H47" i="34"/>
  <c r="D47" i="34"/>
  <c r="B47" i="34"/>
  <c r="Z46" i="34"/>
  <c r="T46" i="34"/>
  <c r="P46" i="34"/>
  <c r="X46" i="34" s="1"/>
  <c r="H46" i="34"/>
  <c r="D46" i="34"/>
  <c r="L46" i="34" s="1"/>
  <c r="N46" i="34" s="1"/>
  <c r="B46" i="34"/>
  <c r="T45" i="34"/>
  <c r="P45" i="34"/>
  <c r="X45" i="34" s="1"/>
  <c r="H45" i="34"/>
  <c r="N45" i="34" s="1"/>
  <c r="D45" i="34"/>
  <c r="L45" i="34" s="1"/>
  <c r="B45" i="34"/>
  <c r="T44" i="34"/>
  <c r="P44" i="34"/>
  <c r="H44" i="34"/>
  <c r="D44" i="34"/>
  <c r="L44" i="34" s="1"/>
  <c r="B44" i="34"/>
  <c r="X43" i="34"/>
  <c r="Z43" i="34" s="1"/>
  <c r="T43" i="34"/>
  <c r="P43" i="34"/>
  <c r="L43" i="34"/>
  <c r="H43" i="34"/>
  <c r="D43" i="34"/>
  <c r="B43" i="34"/>
  <c r="Z42" i="34"/>
  <c r="T42" i="34"/>
  <c r="P42" i="34"/>
  <c r="X42" i="34" s="1"/>
  <c r="N42" i="34"/>
  <c r="H42" i="34"/>
  <c r="D42" i="34"/>
  <c r="L42" i="34" s="1"/>
  <c r="B42" i="34"/>
  <c r="T41" i="34"/>
  <c r="P41" i="34"/>
  <c r="X41" i="34" s="1"/>
  <c r="H41" i="34"/>
  <c r="N41" i="34" s="1"/>
  <c r="D41" i="34"/>
  <c r="L41" i="34" s="1"/>
  <c r="B41" i="34"/>
  <c r="T40" i="34"/>
  <c r="P40" i="34"/>
  <c r="H40" i="34"/>
  <c r="D40" i="34"/>
  <c r="B40" i="34"/>
  <c r="X39" i="34"/>
  <c r="T39" i="34"/>
  <c r="Z39" i="34" s="1"/>
  <c r="P39" i="34"/>
  <c r="L39" i="34"/>
  <c r="N39" i="34" s="1"/>
  <c r="H39" i="34"/>
  <c r="D39" i="34"/>
  <c r="B39" i="34"/>
  <c r="Z38" i="34"/>
  <c r="T38" i="34"/>
  <c r="P38" i="34"/>
  <c r="X38" i="34" s="1"/>
  <c r="H38" i="34"/>
  <c r="D38" i="34"/>
  <c r="L38" i="34" s="1"/>
  <c r="N38" i="34" s="1"/>
  <c r="B38" i="34"/>
  <c r="T37" i="34"/>
  <c r="P37" i="34"/>
  <c r="X37" i="34" s="1"/>
  <c r="H37" i="34"/>
  <c r="D37" i="34"/>
  <c r="L37" i="34" s="1"/>
  <c r="B37" i="34"/>
  <c r="T36" i="34"/>
  <c r="P36" i="34"/>
  <c r="H36" i="34"/>
  <c r="D36" i="34"/>
  <c r="L36" i="34" s="1"/>
  <c r="B36" i="34"/>
  <c r="X35" i="34"/>
  <c r="Z35" i="34" s="1"/>
  <c r="T35" i="34"/>
  <c r="P35" i="34"/>
  <c r="L35" i="34"/>
  <c r="H35" i="34"/>
  <c r="N35" i="34" s="1"/>
  <c r="D35" i="34"/>
  <c r="B35" i="34"/>
  <c r="Z34" i="34"/>
  <c r="T34" i="34"/>
  <c r="P34" i="34"/>
  <c r="X34" i="34" s="1"/>
  <c r="N34" i="34"/>
  <c r="H34" i="34"/>
  <c r="D34" i="34"/>
  <c r="L34" i="34" s="1"/>
  <c r="B34" i="34"/>
  <c r="T33" i="34"/>
  <c r="P33" i="34"/>
  <c r="X33" i="34" s="1"/>
  <c r="H33" i="34"/>
  <c r="N33" i="34" s="1"/>
  <c r="D33" i="34"/>
  <c r="L33" i="34" s="1"/>
  <c r="B33" i="34"/>
  <c r="T32" i="34"/>
  <c r="P32" i="34"/>
  <c r="H32" i="34"/>
  <c r="D32" i="34"/>
  <c r="B32" i="34"/>
  <c r="X31" i="34"/>
  <c r="T31" i="34"/>
  <c r="Z31" i="34" s="1"/>
  <c r="P31" i="34"/>
  <c r="L31" i="34"/>
  <c r="N31" i="34" s="1"/>
  <c r="H31" i="34"/>
  <c r="D31" i="34"/>
  <c r="B31" i="34"/>
  <c r="Z30" i="34"/>
  <c r="T30" i="34"/>
  <c r="P30" i="34"/>
  <c r="X30" i="34" s="1"/>
  <c r="H30" i="34"/>
  <c r="D30" i="34"/>
  <c r="L30" i="34" s="1"/>
  <c r="N30" i="34" s="1"/>
  <c r="B30" i="34"/>
  <c r="T29" i="34"/>
  <c r="P29" i="34"/>
  <c r="X29" i="34" s="1"/>
  <c r="H29" i="34"/>
  <c r="D29" i="34"/>
  <c r="L29" i="34" s="1"/>
  <c r="B29" i="34"/>
  <c r="T28" i="34"/>
  <c r="P28" i="34"/>
  <c r="H28" i="34"/>
  <c r="N28" i="34" s="1"/>
  <c r="D28" i="34"/>
  <c r="L28" i="34" s="1"/>
  <c r="B28" i="34"/>
  <c r="Z27" i="34"/>
  <c r="X27" i="34"/>
  <c r="T27" i="34"/>
  <c r="P27" i="34"/>
  <c r="L27" i="34"/>
  <c r="H27" i="34"/>
  <c r="N27" i="34" s="1"/>
  <c r="D27" i="34"/>
  <c r="B27" i="34"/>
  <c r="T26" i="34"/>
  <c r="P26" i="34"/>
  <c r="X26" i="34" s="1"/>
  <c r="Z26" i="34" s="1"/>
  <c r="N26" i="34"/>
  <c r="H26" i="34"/>
  <c r="D26" i="34"/>
  <c r="L26" i="34" s="1"/>
  <c r="B26" i="34"/>
  <c r="T25" i="34"/>
  <c r="Z25" i="34" s="1"/>
  <c r="P25" i="34"/>
  <c r="X25" i="34" s="1"/>
  <c r="H25" i="34"/>
  <c r="N25" i="34" s="1"/>
  <c r="D25" i="34"/>
  <c r="L25" i="34" s="1"/>
  <c r="B25" i="34"/>
  <c r="T24" i="34"/>
  <c r="P24" i="34"/>
  <c r="H24" i="34"/>
  <c r="D24" i="34"/>
  <c r="B24" i="34"/>
  <c r="X23" i="34"/>
  <c r="T23" i="34"/>
  <c r="Z23" i="34" s="1"/>
  <c r="P23" i="34"/>
  <c r="L23" i="34"/>
  <c r="N23" i="34" s="1"/>
  <c r="H23" i="34"/>
  <c r="D23" i="34"/>
  <c r="B23" i="34"/>
  <c r="T22" i="34"/>
  <c r="P22" i="34"/>
  <c r="X22" i="34" s="1"/>
  <c r="Z22" i="34" s="1"/>
  <c r="N22" i="34"/>
  <c r="H22" i="34"/>
  <c r="D22" i="34"/>
  <c r="L22" i="34" s="1"/>
  <c r="B22" i="34"/>
  <c r="T21" i="34"/>
  <c r="Z21" i="34" s="1"/>
  <c r="P21" i="34"/>
  <c r="X21" i="34" s="1"/>
  <c r="H21" i="34"/>
  <c r="D21" i="34"/>
  <c r="L21" i="34" s="1"/>
  <c r="B21" i="34"/>
  <c r="T20" i="34"/>
  <c r="P20" i="34"/>
  <c r="H20" i="34"/>
  <c r="D20" i="34"/>
  <c r="L20" i="34" s="1"/>
  <c r="B20" i="34"/>
  <c r="X19" i="34"/>
  <c r="Z19" i="34" s="1"/>
  <c r="T19" i="34"/>
  <c r="P19" i="34"/>
  <c r="L19" i="34"/>
  <c r="H19" i="34"/>
  <c r="D19" i="34"/>
  <c r="B19" i="34"/>
  <c r="T18" i="34"/>
  <c r="P18" i="34"/>
  <c r="X18" i="34" s="1"/>
  <c r="Z18" i="34" s="1"/>
  <c r="N18" i="34"/>
  <c r="H18" i="34"/>
  <c r="D18" i="34"/>
  <c r="L18" i="34" s="1"/>
  <c r="B18" i="34"/>
  <c r="T17" i="34"/>
  <c r="Z17" i="34" s="1"/>
  <c r="P17" i="34"/>
  <c r="X17" i="34" s="1"/>
  <c r="H17" i="34"/>
  <c r="D17" i="34"/>
  <c r="L17" i="34" s="1"/>
  <c r="B17" i="34"/>
  <c r="T16" i="34"/>
  <c r="P16" i="34"/>
  <c r="H16" i="34"/>
  <c r="D16" i="34"/>
  <c r="B16" i="34"/>
  <c r="X15" i="34"/>
  <c r="T15" i="34"/>
  <c r="Z15" i="34" s="1"/>
  <c r="P15" i="34"/>
  <c r="L15" i="34"/>
  <c r="N15" i="34" s="1"/>
  <c r="H15" i="34"/>
  <c r="D15" i="34"/>
  <c r="B15" i="34"/>
  <c r="T14" i="34"/>
  <c r="P14" i="34"/>
  <c r="X14" i="34" s="1"/>
  <c r="Z14" i="34" s="1"/>
  <c r="N14" i="34"/>
  <c r="H14" i="34"/>
  <c r="D14" i="34"/>
  <c r="L14" i="34" s="1"/>
  <c r="B14" i="34"/>
  <c r="T13" i="34"/>
  <c r="P13" i="34"/>
  <c r="H13" i="34"/>
  <c r="D13" i="34"/>
  <c r="B13" i="34"/>
  <c r="D4" i="34"/>
  <c r="B39" i="33"/>
  <c r="B38" i="33"/>
  <c r="T34" i="33"/>
  <c r="Z34" i="33" s="1"/>
  <c r="P34" i="33"/>
  <c r="H34" i="33"/>
  <c r="N34" i="33" s="1"/>
  <c r="D34" i="33"/>
  <c r="T33" i="33"/>
  <c r="P33" i="33"/>
  <c r="H33" i="33"/>
  <c r="N33" i="33" s="1"/>
  <c r="D33" i="33"/>
  <c r="T29" i="33"/>
  <c r="P29" i="33"/>
  <c r="H29" i="33"/>
  <c r="N29" i="33" s="1"/>
  <c r="D29" i="33"/>
  <c r="T25" i="33"/>
  <c r="P25" i="33"/>
  <c r="H25" i="33"/>
  <c r="N25" i="33" s="1"/>
  <c r="D25" i="33"/>
  <c r="B25" i="33"/>
  <c r="T24" i="33"/>
  <c r="Z24" i="33" s="1"/>
  <c r="P24" i="33"/>
  <c r="H24" i="33"/>
  <c r="N24" i="33" s="1"/>
  <c r="D24" i="33"/>
  <c r="T22" i="33"/>
  <c r="Z22" i="33" s="1"/>
  <c r="P22" i="33"/>
  <c r="H22" i="33"/>
  <c r="N22" i="33" s="1"/>
  <c r="D22" i="33"/>
  <c r="B22" i="33"/>
  <c r="T21" i="33"/>
  <c r="Z21" i="33" s="1"/>
  <c r="P21" i="33"/>
  <c r="H21" i="33"/>
  <c r="N21" i="33" s="1"/>
  <c r="D21" i="33"/>
  <c r="B21" i="33"/>
  <c r="T20" i="33"/>
  <c r="Z20" i="33" s="1"/>
  <c r="P20" i="33"/>
  <c r="H20" i="33"/>
  <c r="N20" i="33" s="1"/>
  <c r="D20" i="33"/>
  <c r="T16" i="33"/>
  <c r="P16" i="33"/>
  <c r="H16" i="33"/>
  <c r="N16" i="33" s="1"/>
  <c r="D16" i="33"/>
  <c r="B16" i="33"/>
  <c r="T15" i="33"/>
  <c r="P15" i="33"/>
  <c r="H15" i="33"/>
  <c r="N15" i="33" s="1"/>
  <c r="D15" i="33"/>
  <c r="T13" i="33"/>
  <c r="Z13" i="33" s="1"/>
  <c r="P13" i="33"/>
  <c r="H13" i="33"/>
  <c r="N13" i="33" s="1"/>
  <c r="D13" i="33"/>
  <c r="B13" i="33"/>
  <c r="T12" i="33"/>
  <c r="P12" i="33"/>
  <c r="H12" i="33"/>
  <c r="J20" i="33" s="1"/>
  <c r="D12" i="33"/>
  <c r="D5" i="33"/>
  <c r="D4" i="33"/>
  <c r="B39" i="32"/>
  <c r="B38" i="32"/>
  <c r="T34" i="32"/>
  <c r="Z34" i="32" s="1"/>
  <c r="P34" i="32"/>
  <c r="H34" i="32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P13" i="32"/>
  <c r="H13" i="32"/>
  <c r="N13" i="32" s="1"/>
  <c r="D13" i="32"/>
  <c r="B13" i="32"/>
  <c r="T12" i="32"/>
  <c r="P12" i="32"/>
  <c r="R36" i="32" s="1"/>
  <c r="H12" i="32"/>
  <c r="D12" i="32"/>
  <c r="F21" i="32" s="1"/>
  <c r="D5" i="32"/>
  <c r="D4" i="32"/>
  <c r="X88" i="31"/>
  <c r="Z88" i="31" s="1"/>
  <c r="N88" i="31"/>
  <c r="L88" i="31"/>
  <c r="T84" i="31"/>
  <c r="Z84" i="31" s="1"/>
  <c r="P84" i="31"/>
  <c r="X84" i="31" s="1"/>
  <c r="N84" i="31"/>
  <c r="L84" i="31"/>
  <c r="H84" i="31"/>
  <c r="D84" i="31"/>
  <c r="B84" i="31"/>
  <c r="T83" i="31"/>
  <c r="P83" i="31"/>
  <c r="X83" i="31" s="1"/>
  <c r="N83" i="31"/>
  <c r="H83" i="31"/>
  <c r="D83" i="31"/>
  <c r="L83" i="31" s="1"/>
  <c r="B83" i="31"/>
  <c r="P82" i="31"/>
  <c r="H82" i="31"/>
  <c r="X80" i="31"/>
  <c r="Z80" i="31" s="1"/>
  <c r="N80" i="31"/>
  <c r="L80" i="31"/>
  <c r="B80" i="31"/>
  <c r="T79" i="31"/>
  <c r="X79" i="31" s="1"/>
  <c r="Z79" i="31" s="1"/>
  <c r="P79" i="31"/>
  <c r="H79" i="31"/>
  <c r="N79" i="31" s="1"/>
  <c r="D79" i="31"/>
  <c r="L79" i="31" s="1"/>
  <c r="B79" i="31"/>
  <c r="X78" i="31"/>
  <c r="Z78" i="31" s="1"/>
  <c r="N78" i="31"/>
  <c r="L78" i="31"/>
  <c r="B78" i="31"/>
  <c r="T77" i="31"/>
  <c r="P77" i="31"/>
  <c r="X77" i="31" s="1"/>
  <c r="N77" i="31"/>
  <c r="H77" i="31"/>
  <c r="D77" i="31"/>
  <c r="L77" i="31" s="1"/>
  <c r="B77" i="31"/>
  <c r="X76" i="31"/>
  <c r="Z76" i="31" s="1"/>
  <c r="L76" i="31"/>
  <c r="N76" i="31" s="1"/>
  <c r="B76" i="31"/>
  <c r="Z75" i="31"/>
  <c r="X75" i="31"/>
  <c r="N75" i="31"/>
  <c r="L75" i="31"/>
  <c r="B75" i="31"/>
  <c r="X74" i="31"/>
  <c r="Z74" i="31" s="1"/>
  <c r="N74" i="31"/>
  <c r="L74" i="31"/>
  <c r="B74" i="31"/>
  <c r="Z73" i="31"/>
  <c r="X73" i="31"/>
  <c r="L73" i="31"/>
  <c r="N73" i="31" s="1"/>
  <c r="B73" i="31"/>
  <c r="X72" i="31"/>
  <c r="Z72" i="31" s="1"/>
  <c r="N72" i="31"/>
  <c r="L72" i="31"/>
  <c r="B72" i="31"/>
  <c r="Z71" i="31"/>
  <c r="X71" i="31"/>
  <c r="N71" i="31"/>
  <c r="L71" i="31"/>
  <c r="B71" i="31"/>
  <c r="T70" i="31"/>
  <c r="P70" i="31"/>
  <c r="X70" i="31" s="1"/>
  <c r="L70" i="31"/>
  <c r="N70" i="31" s="1"/>
  <c r="H70" i="31"/>
  <c r="D70" i="31"/>
  <c r="B70" i="31"/>
  <c r="Z69" i="31"/>
  <c r="X69" i="31"/>
  <c r="L69" i="31"/>
  <c r="N69" i="31" s="1"/>
  <c r="B69" i="31"/>
  <c r="T68" i="31"/>
  <c r="P68" i="31"/>
  <c r="X68" i="31" s="1"/>
  <c r="Z68" i="31" s="1"/>
  <c r="H68" i="31"/>
  <c r="D68" i="31"/>
  <c r="B68" i="31"/>
  <c r="Z67" i="31"/>
  <c r="X67" i="31"/>
  <c r="N67" i="31"/>
  <c r="L67" i="31"/>
  <c r="B67" i="31"/>
  <c r="T66" i="31"/>
  <c r="P66" i="31"/>
  <c r="N66" i="31"/>
  <c r="L66" i="31"/>
  <c r="H66" i="31"/>
  <c r="D66" i="31"/>
  <c r="B66" i="31"/>
  <c r="X65" i="31"/>
  <c r="Z65" i="31" s="1"/>
  <c r="N65" i="31"/>
  <c r="L65" i="31"/>
  <c r="B65" i="31"/>
  <c r="X64" i="31"/>
  <c r="Z64" i="31" s="1"/>
  <c r="L64" i="31"/>
  <c r="N64" i="31" s="1"/>
  <c r="B64" i="31"/>
  <c r="Z63" i="31"/>
  <c r="X63" i="31"/>
  <c r="N63" i="31"/>
  <c r="L63" i="31"/>
  <c r="B63" i="31"/>
  <c r="T62" i="31"/>
  <c r="P62" i="31"/>
  <c r="L62" i="31"/>
  <c r="N62" i="31" s="1"/>
  <c r="H62" i="31"/>
  <c r="D62" i="31"/>
  <c r="B62" i="31"/>
  <c r="Z61" i="31"/>
  <c r="X61" i="31"/>
  <c r="N61" i="31"/>
  <c r="L61" i="31"/>
  <c r="B61" i="31"/>
  <c r="Z60" i="31"/>
  <c r="X60" i="31"/>
  <c r="T60" i="31"/>
  <c r="P60" i="31"/>
  <c r="H60" i="31"/>
  <c r="N60" i="31" s="1"/>
  <c r="D60" i="31"/>
  <c r="B60" i="31"/>
  <c r="Z59" i="31"/>
  <c r="X59" i="31"/>
  <c r="N59" i="31"/>
  <c r="L59" i="31"/>
  <c r="B59" i="31"/>
  <c r="Z58" i="31"/>
  <c r="X58" i="31"/>
  <c r="L58" i="31"/>
  <c r="N58" i="31" s="1"/>
  <c r="B58" i="31"/>
  <c r="X57" i="31"/>
  <c r="Z57" i="31" s="1"/>
  <c r="T57" i="31"/>
  <c r="P57" i="31"/>
  <c r="N57" i="31"/>
  <c r="H57" i="31"/>
  <c r="L57" i="31" s="1"/>
  <c r="D57" i="31"/>
  <c r="B57" i="31"/>
  <c r="X56" i="31"/>
  <c r="Z56" i="31" s="1"/>
  <c r="L56" i="31"/>
  <c r="N56" i="31" s="1"/>
  <c r="B56" i="31"/>
  <c r="T55" i="31"/>
  <c r="X55" i="31" s="1"/>
  <c r="P55" i="31"/>
  <c r="H55" i="31"/>
  <c r="D55" i="31"/>
  <c r="L55" i="31" s="1"/>
  <c r="B55" i="31"/>
  <c r="Z54" i="31"/>
  <c r="X54" i="31"/>
  <c r="N54" i="31"/>
  <c r="L54" i="31"/>
  <c r="B54" i="31"/>
  <c r="T53" i="31"/>
  <c r="Z53" i="31" s="1"/>
  <c r="P53" i="31"/>
  <c r="X53" i="31" s="1"/>
  <c r="N53" i="31"/>
  <c r="H53" i="31"/>
  <c r="D53" i="31"/>
  <c r="L53" i="31" s="1"/>
  <c r="B53" i="31"/>
  <c r="X52" i="31"/>
  <c r="Z52" i="31" s="1"/>
  <c r="L52" i="31"/>
  <c r="N52" i="31" s="1"/>
  <c r="B52" i="31"/>
  <c r="T51" i="31"/>
  <c r="P51" i="31"/>
  <c r="X51" i="31" s="1"/>
  <c r="Z51" i="31" s="1"/>
  <c r="L51" i="31"/>
  <c r="N51" i="31" s="1"/>
  <c r="H51" i="31"/>
  <c r="D51" i="31"/>
  <c r="B51" i="31"/>
  <c r="Z50" i="31"/>
  <c r="X50" i="31"/>
  <c r="N50" i="31"/>
  <c r="L50" i="31"/>
  <c r="B50" i="31"/>
  <c r="Z49" i="31"/>
  <c r="X49" i="31"/>
  <c r="T49" i="31"/>
  <c r="P49" i="31"/>
  <c r="H49" i="31"/>
  <c r="D49" i="31"/>
  <c r="B49" i="31"/>
  <c r="Z48" i="31"/>
  <c r="X48" i="31"/>
  <c r="N48" i="31"/>
  <c r="L48" i="31"/>
  <c r="B48" i="31"/>
  <c r="Z47" i="31"/>
  <c r="X47" i="31"/>
  <c r="N47" i="31"/>
  <c r="L47" i="31"/>
  <c r="B47" i="31"/>
  <c r="Z46" i="31"/>
  <c r="X46" i="31"/>
  <c r="N46" i="31"/>
  <c r="L46" i="31"/>
  <c r="B46" i="31"/>
  <c r="X45" i="31"/>
  <c r="Z45" i="31" s="1"/>
  <c r="N45" i="31"/>
  <c r="L45" i="31"/>
  <c r="B45" i="31"/>
  <c r="T44" i="31"/>
  <c r="P44" i="31"/>
  <c r="X44" i="31" s="1"/>
  <c r="Z44" i="31" s="1"/>
  <c r="H44" i="31"/>
  <c r="D44" i="31"/>
  <c r="L44" i="31" s="1"/>
  <c r="B44" i="31"/>
  <c r="Z43" i="31"/>
  <c r="X43" i="31"/>
  <c r="N43" i="31"/>
  <c r="L43" i="31"/>
  <c r="B43" i="31"/>
  <c r="Z42" i="31"/>
  <c r="X42" i="31"/>
  <c r="L42" i="31"/>
  <c r="N42" i="31" s="1"/>
  <c r="B42" i="31"/>
  <c r="X41" i="31"/>
  <c r="Z41" i="31" s="1"/>
  <c r="N41" i="31"/>
  <c r="L41" i="31"/>
  <c r="B41" i="31"/>
  <c r="Z40" i="31"/>
  <c r="X40" i="31"/>
  <c r="L40" i="31"/>
  <c r="N40" i="31" s="1"/>
  <c r="B40" i="31"/>
  <c r="Z39" i="31"/>
  <c r="X39" i="31"/>
  <c r="N39" i="31"/>
  <c r="L39" i="31"/>
  <c r="B39" i="31"/>
  <c r="X38" i="31"/>
  <c r="Z38" i="31" s="1"/>
  <c r="N38" i="31"/>
  <c r="L38" i="31"/>
  <c r="B38" i="31"/>
  <c r="Z37" i="31"/>
  <c r="X37" i="31"/>
  <c r="L37" i="31"/>
  <c r="N37" i="31" s="1"/>
  <c r="B37" i="31"/>
  <c r="X36" i="31"/>
  <c r="Z36" i="31" s="1"/>
  <c r="N36" i="31"/>
  <c r="L36" i="31"/>
  <c r="B36" i="31"/>
  <c r="T35" i="31"/>
  <c r="P35" i="31"/>
  <c r="H35" i="31"/>
  <c r="N35" i="31" s="1"/>
  <c r="D35" i="31"/>
  <c r="L35" i="31" s="1"/>
  <c r="B35" i="31"/>
  <c r="T34" i="31" a="1"/>
  <c r="T34" i="31" s="1"/>
  <c r="P34" i="31" a="1"/>
  <c r="P34" i="31" s="1"/>
  <c r="X34" i="31" s="1"/>
  <c r="H34" i="31" a="1"/>
  <c r="H34" i="31" s="1"/>
  <c r="D34" i="31" a="1"/>
  <c r="D34" i="31"/>
  <c r="L34" i="31" s="1"/>
  <c r="Z30" i="31"/>
  <c r="X30" i="31"/>
  <c r="N30" i="31"/>
  <c r="L30" i="31"/>
  <c r="B30" i="31"/>
  <c r="Z29" i="31"/>
  <c r="X29" i="31"/>
  <c r="N29" i="31"/>
  <c r="L29" i="31"/>
  <c r="B29" i="31"/>
  <c r="Z28" i="31"/>
  <c r="X28" i="31"/>
  <c r="N28" i="31"/>
  <c r="L28" i="31"/>
  <c r="B28" i="31"/>
  <c r="Z27" i="31"/>
  <c r="T27" i="31"/>
  <c r="P27" i="31"/>
  <c r="X27" i="31" s="1"/>
  <c r="N27" i="31"/>
  <c r="L27" i="31"/>
  <c r="H27" i="31"/>
  <c r="D27" i="31"/>
  <c r="T25" i="31"/>
  <c r="P25" i="31"/>
  <c r="X25" i="31" s="1"/>
  <c r="Z25" i="31" s="1"/>
  <c r="H25" i="31"/>
  <c r="D25" i="31"/>
  <c r="L25" i="31" s="1"/>
  <c r="N25" i="31" s="1"/>
  <c r="B25" i="31"/>
  <c r="T24" i="31"/>
  <c r="P24" i="31"/>
  <c r="H24" i="31"/>
  <c r="D24" i="31"/>
  <c r="L24" i="31" s="1"/>
  <c r="B24" i="31"/>
  <c r="T23" i="31"/>
  <c r="Z23" i="31" s="1"/>
  <c r="P23" i="31"/>
  <c r="H23" i="31"/>
  <c r="N23" i="31" s="1"/>
  <c r="D23" i="31"/>
  <c r="B23" i="31"/>
  <c r="Z22" i="31"/>
  <c r="X22" i="31"/>
  <c r="T22" i="31"/>
  <c r="P22" i="31"/>
  <c r="L22" i="31"/>
  <c r="H22" i="31"/>
  <c r="D22" i="31"/>
  <c r="B22" i="31"/>
  <c r="Z21" i="31"/>
  <c r="T21" i="31"/>
  <c r="P21" i="31"/>
  <c r="X21" i="31" s="1"/>
  <c r="H21" i="31"/>
  <c r="D21" i="31"/>
  <c r="L21" i="31" s="1"/>
  <c r="N21" i="31" s="1"/>
  <c r="B21" i="31"/>
  <c r="T20" i="31"/>
  <c r="P20" i="31"/>
  <c r="X20" i="31" s="1"/>
  <c r="H20" i="31"/>
  <c r="D20" i="31"/>
  <c r="L20" i="31" s="1"/>
  <c r="B20" i="31"/>
  <c r="T19" i="31"/>
  <c r="P19" i="31"/>
  <c r="H19" i="31"/>
  <c r="D19" i="31"/>
  <c r="B19" i="31"/>
  <c r="X18" i="31"/>
  <c r="T18" i="31"/>
  <c r="Z18" i="31" s="1"/>
  <c r="P18" i="31"/>
  <c r="N18" i="31"/>
  <c r="L18" i="31"/>
  <c r="H18" i="31"/>
  <c r="D18" i="31"/>
  <c r="B18" i="31"/>
  <c r="T17" i="31"/>
  <c r="P17" i="31"/>
  <c r="N17" i="31"/>
  <c r="H17" i="31"/>
  <c r="D17" i="31"/>
  <c r="L17" i="31" s="1"/>
  <c r="B17" i="31"/>
  <c r="T16" i="31"/>
  <c r="P16" i="31"/>
  <c r="X16" i="31" s="1"/>
  <c r="H16" i="31"/>
  <c r="D16" i="31"/>
  <c r="B16" i="31"/>
  <c r="T15" i="31"/>
  <c r="P15" i="31"/>
  <c r="H15" i="31"/>
  <c r="D15" i="31"/>
  <c r="L15" i="31" s="1"/>
  <c r="B15" i="31"/>
  <c r="Z14" i="31"/>
  <c r="X14" i="31"/>
  <c r="T14" i="31"/>
  <c r="P14" i="31"/>
  <c r="L14" i="31"/>
  <c r="H14" i="31"/>
  <c r="D14" i="31"/>
  <c r="B14" i="31"/>
  <c r="Z13" i="31"/>
  <c r="T13" i="31"/>
  <c r="P13" i="31"/>
  <c r="X13" i="31" s="1"/>
  <c r="N13" i="31"/>
  <c r="H13" i="31"/>
  <c r="D13" i="31"/>
  <c r="L13" i="31" s="1"/>
  <c r="B13" i="31"/>
  <c r="H12" i="31"/>
  <c r="D4" i="31"/>
  <c r="B39" i="30"/>
  <c r="B38" i="30"/>
  <c r="T34" i="30"/>
  <c r="Z34" i="30" s="1"/>
  <c r="P34" i="30"/>
  <c r="H34" i="30"/>
  <c r="N34" i="30" s="1"/>
  <c r="D34" i="30"/>
  <c r="T33" i="30"/>
  <c r="P33" i="30"/>
  <c r="H33" i="30"/>
  <c r="N33" i="30" s="1"/>
  <c r="D33" i="30"/>
  <c r="T29" i="30"/>
  <c r="Z29" i="30" s="1"/>
  <c r="P29" i="30"/>
  <c r="H29" i="30"/>
  <c r="N29" i="30" s="1"/>
  <c r="D29" i="30"/>
  <c r="T25" i="30"/>
  <c r="P25" i="30"/>
  <c r="H25" i="30"/>
  <c r="N25" i="30" s="1"/>
  <c r="D25" i="30"/>
  <c r="B25" i="30"/>
  <c r="T24" i="30"/>
  <c r="P24" i="30"/>
  <c r="H24" i="30"/>
  <c r="D24" i="30"/>
  <c r="T22" i="30"/>
  <c r="Z22" i="30" s="1"/>
  <c r="P22" i="30"/>
  <c r="H22" i="30"/>
  <c r="N22" i="30" s="1"/>
  <c r="D22" i="30"/>
  <c r="B22" i="30"/>
  <c r="T21" i="30"/>
  <c r="Z21" i="30" s="1"/>
  <c r="P21" i="30"/>
  <c r="H21" i="30"/>
  <c r="N21" i="30" s="1"/>
  <c r="D21" i="30"/>
  <c r="B21" i="30"/>
  <c r="T20" i="30"/>
  <c r="Z20" i="30" s="1"/>
  <c r="P20" i="30"/>
  <c r="H20" i="30"/>
  <c r="N20" i="30" s="1"/>
  <c r="D20" i="30"/>
  <c r="T16" i="30"/>
  <c r="Z16" i="30" s="1"/>
  <c r="P16" i="30"/>
  <c r="H16" i="30"/>
  <c r="N16" i="30" s="1"/>
  <c r="D16" i="30"/>
  <c r="B16" i="30"/>
  <c r="T15" i="30"/>
  <c r="Z15" i="30" s="1"/>
  <c r="P15" i="30"/>
  <c r="H15" i="30"/>
  <c r="N15" i="30" s="1"/>
  <c r="D15" i="30"/>
  <c r="T13" i="30"/>
  <c r="Z13" i="30" s="1"/>
  <c r="P13" i="30"/>
  <c r="H13" i="30"/>
  <c r="N13" i="30" s="1"/>
  <c r="D13" i="30"/>
  <c r="B13" i="30"/>
  <c r="T12" i="30"/>
  <c r="P12" i="30"/>
  <c r="R24" i="30" s="1"/>
  <c r="H12" i="30"/>
  <c r="J29" i="30" s="1"/>
  <c r="D12" i="30"/>
  <c r="D5" i="30"/>
  <c r="D4" i="30"/>
  <c r="B39" i="29"/>
  <c r="B38" i="29"/>
  <c r="T34" i="29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D20" i="29"/>
  <c r="T16" i="29"/>
  <c r="Z16" i="29" s="1"/>
  <c r="P16" i="29"/>
  <c r="H16" i="29"/>
  <c r="N16" i="29" s="1"/>
  <c r="D16" i="29"/>
  <c r="B16" i="29"/>
  <c r="T15" i="29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P12" i="29"/>
  <c r="R21" i="29" s="1"/>
  <c r="H12" i="29"/>
  <c r="J24" i="29" s="1"/>
  <c r="D12" i="29"/>
  <c r="D5" i="29"/>
  <c r="D4" i="29"/>
  <c r="X168" i="28"/>
  <c r="Z168" i="28" s="1"/>
  <c r="N168" i="28"/>
  <c r="L168" i="28"/>
  <c r="Z164" i="28"/>
  <c r="T164" i="28"/>
  <c r="P164" i="28"/>
  <c r="X164" i="28" s="1"/>
  <c r="L164" i="28"/>
  <c r="H164" i="28"/>
  <c r="N164" i="28" s="1"/>
  <c r="D164" i="28"/>
  <c r="B164" i="28"/>
  <c r="Z163" i="28"/>
  <c r="T163" i="28"/>
  <c r="P163" i="28"/>
  <c r="X163" i="28" s="1"/>
  <c r="N163" i="28"/>
  <c r="L163" i="28"/>
  <c r="H163" i="28"/>
  <c r="D163" i="28"/>
  <c r="B163" i="28"/>
  <c r="T162" i="28"/>
  <c r="T161" i="28" s="1"/>
  <c r="P162" i="28"/>
  <c r="N162" i="28"/>
  <c r="H162" i="28"/>
  <c r="D162" i="28"/>
  <c r="L162" i="28" s="1"/>
  <c r="B162" i="28"/>
  <c r="P161" i="28"/>
  <c r="X161" i="28" s="1"/>
  <c r="H161" i="28"/>
  <c r="D161" i="28"/>
  <c r="L161" i="28" s="1"/>
  <c r="X159" i="28"/>
  <c r="Z159" i="28" s="1"/>
  <c r="L159" i="28"/>
  <c r="N159" i="28" s="1"/>
  <c r="B159" i="28"/>
  <c r="X158" i="28"/>
  <c r="T158" i="28"/>
  <c r="Z158" i="28" s="1"/>
  <c r="P158" i="28"/>
  <c r="N158" i="28"/>
  <c r="H158" i="28"/>
  <c r="D158" i="28"/>
  <c r="L158" i="28" s="1"/>
  <c r="B158" i="28"/>
  <c r="X157" i="28"/>
  <c r="Z157" i="28" s="1"/>
  <c r="N157" i="28"/>
  <c r="L157" i="28"/>
  <c r="B157" i="28"/>
  <c r="Z156" i="28"/>
  <c r="T156" i="28"/>
  <c r="P156" i="28"/>
  <c r="X156" i="28" s="1"/>
  <c r="N156" i="28"/>
  <c r="H156" i="28"/>
  <c r="D156" i="28"/>
  <c r="L156" i="28" s="1"/>
  <c r="B156" i="28"/>
  <c r="Z155" i="28"/>
  <c r="X155" i="28"/>
  <c r="N155" i="28"/>
  <c r="L155" i="28"/>
  <c r="B155" i="28"/>
  <c r="Z154" i="28"/>
  <c r="T154" i="28"/>
  <c r="P154" i="28"/>
  <c r="X154" i="28" s="1"/>
  <c r="L154" i="28"/>
  <c r="H154" i="28"/>
  <c r="N154" i="28" s="1"/>
  <c r="D154" i="28"/>
  <c r="B154" i="28"/>
  <c r="Z153" i="28"/>
  <c r="X153" i="28"/>
  <c r="L153" i="28"/>
  <c r="N153" i="28" s="1"/>
  <c r="B153" i="28"/>
  <c r="X152" i="28"/>
  <c r="T152" i="28"/>
  <c r="P152" i="28"/>
  <c r="H152" i="28"/>
  <c r="L152" i="28" s="1"/>
  <c r="N152" i="28" s="1"/>
  <c r="D152" i="28"/>
  <c r="B152" i="28"/>
  <c r="X151" i="28"/>
  <c r="Z151" i="28" s="1"/>
  <c r="N151" i="28"/>
  <c r="L151" i="28"/>
  <c r="B151" i="28"/>
  <c r="Z150" i="28"/>
  <c r="X150" i="28"/>
  <c r="N150" i="28"/>
  <c r="L150" i="28"/>
  <c r="B150" i="28"/>
  <c r="Z149" i="28"/>
  <c r="X149" i="28"/>
  <c r="L149" i="28"/>
  <c r="N149" i="28" s="1"/>
  <c r="B149" i="28"/>
  <c r="X148" i="28"/>
  <c r="Z148" i="28" s="1"/>
  <c r="N148" i="28"/>
  <c r="L148" i="28"/>
  <c r="B148" i="28"/>
  <c r="X147" i="28"/>
  <c r="Z147" i="28" s="1"/>
  <c r="N147" i="28"/>
  <c r="L147" i="28"/>
  <c r="B147" i="28"/>
  <c r="Z146" i="28"/>
  <c r="X146" i="28"/>
  <c r="N146" i="28"/>
  <c r="L146" i="28"/>
  <c r="B146" i="28"/>
  <c r="X145" i="28"/>
  <c r="T145" i="28"/>
  <c r="P145" i="28"/>
  <c r="H145" i="28"/>
  <c r="L145" i="28" s="1"/>
  <c r="N145" i="28" s="1"/>
  <c r="D145" i="28"/>
  <c r="B145" i="28"/>
  <c r="X144" i="28"/>
  <c r="Z144" i="28" s="1"/>
  <c r="N144" i="28"/>
  <c r="L144" i="28"/>
  <c r="B144" i="28"/>
  <c r="X143" i="28"/>
  <c r="Z143" i="28" s="1"/>
  <c r="N143" i="28"/>
  <c r="L143" i="28"/>
  <c r="B143" i="28"/>
  <c r="T142" i="28"/>
  <c r="Z142" i="28" s="1"/>
  <c r="P142" i="28"/>
  <c r="X142" i="28" s="1"/>
  <c r="H142" i="28"/>
  <c r="D142" i="28"/>
  <c r="L142" i="28" s="1"/>
  <c r="N142" i="28" s="1"/>
  <c r="B142" i="28"/>
  <c r="Z141" i="28"/>
  <c r="X141" i="28"/>
  <c r="L141" i="28"/>
  <c r="N141" i="28" s="1"/>
  <c r="B141" i="28"/>
  <c r="X140" i="28"/>
  <c r="Z140" i="28" s="1"/>
  <c r="L140" i="28"/>
  <c r="N140" i="28" s="1"/>
  <c r="B140" i="28"/>
  <c r="X139" i="28"/>
  <c r="Z139" i="28" s="1"/>
  <c r="N139" i="28"/>
  <c r="L139" i="28"/>
  <c r="B139" i="28"/>
  <c r="T138" i="28"/>
  <c r="P138" i="28"/>
  <c r="H138" i="28"/>
  <c r="D138" i="28"/>
  <c r="L138" i="28" s="1"/>
  <c r="N138" i="28" s="1"/>
  <c r="B138" i="28"/>
  <c r="Z137" i="28"/>
  <c r="X137" i="28"/>
  <c r="N137" i="28"/>
  <c r="L137" i="28"/>
  <c r="B137" i="28"/>
  <c r="X136" i="28"/>
  <c r="Z136" i="28" s="1"/>
  <c r="N136" i="28"/>
  <c r="L136" i="28"/>
  <c r="B136" i="28"/>
  <c r="T135" i="28"/>
  <c r="X135" i="28" s="1"/>
  <c r="Z135" i="28" s="1"/>
  <c r="P135" i="28"/>
  <c r="H135" i="28"/>
  <c r="N135" i="28" s="1"/>
  <c r="D135" i="28"/>
  <c r="B135" i="28"/>
  <c r="X134" i="28"/>
  <c r="Z134" i="28" s="1"/>
  <c r="N134" i="28"/>
  <c r="L134" i="28"/>
  <c r="B134" i="28"/>
  <c r="Z133" i="28"/>
  <c r="X133" i="28"/>
  <c r="N133" i="28"/>
  <c r="L133" i="28"/>
  <c r="B133" i="28"/>
  <c r="X132" i="28"/>
  <c r="Z132" i="28" s="1"/>
  <c r="N132" i="28"/>
  <c r="L132" i="28"/>
  <c r="B132" i="28"/>
  <c r="X131" i="28"/>
  <c r="Z131" i="28" s="1"/>
  <c r="T131" i="28"/>
  <c r="P131" i="28"/>
  <c r="N131" i="28"/>
  <c r="H131" i="28"/>
  <c r="D131" i="28"/>
  <c r="L131" i="28" s="1"/>
  <c r="B131" i="28"/>
  <c r="X130" i="28"/>
  <c r="Z130" i="28" s="1"/>
  <c r="N130" i="28"/>
  <c r="L130" i="28"/>
  <c r="B130" i="28"/>
  <c r="T129" i="28"/>
  <c r="P129" i="28"/>
  <c r="X129" i="28" s="1"/>
  <c r="H129" i="28"/>
  <c r="D129" i="28"/>
  <c r="L129" i="28" s="1"/>
  <c r="N129" i="28" s="1"/>
  <c r="B129" i="28"/>
  <c r="Z128" i="28"/>
  <c r="X128" i="28"/>
  <c r="N128" i="28"/>
  <c r="L128" i="28"/>
  <c r="B128" i="28"/>
  <c r="Z127" i="28"/>
  <c r="X127" i="28"/>
  <c r="T127" i="28"/>
  <c r="P127" i="28"/>
  <c r="H127" i="28"/>
  <c r="D127" i="28"/>
  <c r="B127" i="28"/>
  <c r="Z126" i="28"/>
  <c r="X126" i="28"/>
  <c r="N126" i="28"/>
  <c r="L126" i="28"/>
  <c r="B126" i="28"/>
  <c r="X125" i="28"/>
  <c r="Z125" i="28" s="1"/>
  <c r="N125" i="28"/>
  <c r="L125" i="28"/>
  <c r="B125" i="28"/>
  <c r="T124" i="28"/>
  <c r="P124" i="28"/>
  <c r="X124" i="28" s="1"/>
  <c r="Z124" i="28" s="1"/>
  <c r="H124" i="28"/>
  <c r="D124" i="28"/>
  <c r="B124" i="28"/>
  <c r="X123" i="28"/>
  <c r="Z123" i="28" s="1"/>
  <c r="L123" i="28"/>
  <c r="N123" i="28" s="1"/>
  <c r="B123" i="28"/>
  <c r="T122" i="28"/>
  <c r="P122" i="28"/>
  <c r="H122" i="28"/>
  <c r="D122" i="28"/>
  <c r="L122" i="28" s="1"/>
  <c r="B122" i="28"/>
  <c r="Z121" i="28"/>
  <c r="X121" i="28"/>
  <c r="N121" i="28"/>
  <c r="L121" i="28"/>
  <c r="B121" i="28"/>
  <c r="T120" i="28"/>
  <c r="P120" i="28"/>
  <c r="X120" i="28" s="1"/>
  <c r="L120" i="28"/>
  <c r="H120" i="28"/>
  <c r="N120" i="28" s="1"/>
  <c r="D120" i="28"/>
  <c r="B120" i="28"/>
  <c r="X119" i="28"/>
  <c r="Z119" i="28" s="1"/>
  <c r="N119" i="28"/>
  <c r="L119" i="28"/>
  <c r="B119" i="28"/>
  <c r="Z118" i="28"/>
  <c r="X118" i="28"/>
  <c r="N118" i="28"/>
  <c r="L118" i="28"/>
  <c r="B118" i="28"/>
  <c r="Z117" i="28"/>
  <c r="T117" i="28"/>
  <c r="P117" i="28"/>
  <c r="X117" i="28" s="1"/>
  <c r="N117" i="28"/>
  <c r="L117" i="28"/>
  <c r="H117" i="28"/>
  <c r="D117" i="28"/>
  <c r="B117" i="28"/>
  <c r="Z116" i="28"/>
  <c r="X116" i="28"/>
  <c r="N116" i="28"/>
  <c r="L116" i="28"/>
  <c r="B116" i="28"/>
  <c r="Z115" i="28"/>
  <c r="X115" i="28"/>
  <c r="T115" i="28"/>
  <c r="P115" i="28"/>
  <c r="H115" i="28"/>
  <c r="N115" i="28" s="1"/>
  <c r="D115" i="28"/>
  <c r="B115" i="28"/>
  <c r="Z114" i="28"/>
  <c r="X114" i="28"/>
  <c r="N114" i="28"/>
  <c r="L114" i="28"/>
  <c r="B114" i="28"/>
  <c r="Z113" i="28"/>
  <c r="X113" i="28"/>
  <c r="T113" i="28"/>
  <c r="P113" i="28"/>
  <c r="H113" i="28"/>
  <c r="N113" i="28" s="1"/>
  <c r="D113" i="28"/>
  <c r="B113" i="28"/>
  <c r="Z112" i="28"/>
  <c r="X112" i="28"/>
  <c r="N112" i="28"/>
  <c r="L112" i="28"/>
  <c r="B112" i="28"/>
  <c r="Z111" i="28"/>
  <c r="X111" i="28"/>
  <c r="N111" i="28"/>
  <c r="L111" i="28"/>
  <c r="B111" i="28"/>
  <c r="Z110" i="28"/>
  <c r="T110" i="28"/>
  <c r="P110" i="28"/>
  <c r="X110" i="28" s="1"/>
  <c r="N110" i="28"/>
  <c r="L110" i="28"/>
  <c r="H110" i="28"/>
  <c r="D110" i="28"/>
  <c r="B110" i="28"/>
  <c r="X109" i="28"/>
  <c r="Z109" i="28" s="1"/>
  <c r="L109" i="28"/>
  <c r="N109" i="28" s="1"/>
  <c r="B109" i="28"/>
  <c r="Z108" i="28"/>
  <c r="X108" i="28"/>
  <c r="T108" i="28"/>
  <c r="P108" i="28"/>
  <c r="H108" i="28"/>
  <c r="D108" i="28"/>
  <c r="B108" i="28"/>
  <c r="X107" i="28"/>
  <c r="Z107" i="28" s="1"/>
  <c r="N107" i="28"/>
  <c r="L107" i="28"/>
  <c r="B107" i="28"/>
  <c r="T106" i="28"/>
  <c r="P106" i="28"/>
  <c r="H106" i="28"/>
  <c r="D106" i="28"/>
  <c r="L106" i="28" s="1"/>
  <c r="N106" i="28" s="1"/>
  <c r="B106" i="28"/>
  <c r="X105" i="28"/>
  <c r="Z105" i="28" s="1"/>
  <c r="L105" i="28"/>
  <c r="N105" i="28" s="1"/>
  <c r="B105" i="28"/>
  <c r="T104" i="28"/>
  <c r="P104" i="28"/>
  <c r="X104" i="28" s="1"/>
  <c r="Z104" i="28" s="1"/>
  <c r="H104" i="28"/>
  <c r="D104" i="28"/>
  <c r="L104" i="28" s="1"/>
  <c r="N104" i="28" s="1"/>
  <c r="B104" i="28"/>
  <c r="Z103" i="28"/>
  <c r="X103" i="28"/>
  <c r="L103" i="28"/>
  <c r="N103" i="28" s="1"/>
  <c r="B103" i="28"/>
  <c r="X102" i="28"/>
  <c r="Z102" i="28" s="1"/>
  <c r="L102" i="28"/>
  <c r="N102" i="28" s="1"/>
  <c r="B102" i="28"/>
  <c r="X101" i="28"/>
  <c r="Z101" i="28" s="1"/>
  <c r="L101" i="28"/>
  <c r="N101" i="28" s="1"/>
  <c r="B101" i="28"/>
  <c r="Z100" i="28"/>
  <c r="X100" i="28"/>
  <c r="N100" i="28"/>
  <c r="L100" i="28"/>
  <c r="B100" i="28"/>
  <c r="X99" i="28"/>
  <c r="Z99" i="28" s="1"/>
  <c r="N99" i="28"/>
  <c r="L99" i="28"/>
  <c r="B99" i="28"/>
  <c r="X98" i="28"/>
  <c r="Z98" i="28" s="1"/>
  <c r="L98" i="28"/>
  <c r="N98" i="28" s="1"/>
  <c r="B98" i="28"/>
  <c r="X97" i="28"/>
  <c r="Z97" i="28" s="1"/>
  <c r="T97" i="28"/>
  <c r="P97" i="28"/>
  <c r="H97" i="28"/>
  <c r="D97" i="28"/>
  <c r="B97" i="28"/>
  <c r="Z96" i="28"/>
  <c r="X96" i="28"/>
  <c r="N96" i="28"/>
  <c r="L96" i="28"/>
  <c r="B96" i="28"/>
  <c r="X95" i="28"/>
  <c r="Z95" i="28" s="1"/>
  <c r="N95" i="28"/>
  <c r="L95" i="28"/>
  <c r="B95" i="28"/>
  <c r="X94" i="28"/>
  <c r="Z94" i="28" s="1"/>
  <c r="L94" i="28"/>
  <c r="N94" i="28" s="1"/>
  <c r="B94" i="28"/>
  <c r="X93" i="28"/>
  <c r="Z93" i="28" s="1"/>
  <c r="L93" i="28"/>
  <c r="N93" i="28" s="1"/>
  <c r="B93" i="28"/>
  <c r="Z92" i="28"/>
  <c r="X92" i="28"/>
  <c r="N92" i="28"/>
  <c r="L92" i="28"/>
  <c r="B92" i="28"/>
  <c r="Z91" i="28"/>
  <c r="X91" i="28"/>
  <c r="L91" i="28"/>
  <c r="N91" i="28" s="1"/>
  <c r="B91" i="28"/>
  <c r="X90" i="28"/>
  <c r="Z90" i="28" s="1"/>
  <c r="L90" i="28"/>
  <c r="N90" i="28" s="1"/>
  <c r="B90" i="28"/>
  <c r="X89" i="28"/>
  <c r="Z89" i="28" s="1"/>
  <c r="L89" i="28"/>
  <c r="N89" i="28" s="1"/>
  <c r="B89" i="28"/>
  <c r="Z88" i="28"/>
  <c r="T88" i="28"/>
  <c r="P88" i="28"/>
  <c r="X88" i="28" s="1"/>
  <c r="H88" i="28"/>
  <c r="D88" i="28"/>
  <c r="L88" i="28" s="1"/>
  <c r="N88" i="28" s="1"/>
  <c r="B88" i="28"/>
  <c r="T87" i="28" a="1"/>
  <c r="T87" i="28" s="1"/>
  <c r="P87" i="28" a="1"/>
  <c r="P87" i="28"/>
  <c r="H87" i="28" a="1"/>
  <c r="H87" i="28" s="1"/>
  <c r="D87" i="28" a="1"/>
  <c r="D87" i="28"/>
  <c r="X83" i="28"/>
  <c r="Z83" i="28" s="1"/>
  <c r="N83" i="28"/>
  <c r="L83" i="28"/>
  <c r="B83" i="28"/>
  <c r="Z82" i="28"/>
  <c r="X82" i="28"/>
  <c r="N82" i="28"/>
  <c r="L82" i="28"/>
  <c r="B82" i="28"/>
  <c r="X81" i="28"/>
  <c r="Z81" i="28" s="1"/>
  <c r="N81" i="28"/>
  <c r="L81" i="28"/>
  <c r="B81" i="28"/>
  <c r="Z80" i="28"/>
  <c r="X80" i="28"/>
  <c r="N80" i="28"/>
  <c r="L80" i="28"/>
  <c r="B80" i="28"/>
  <c r="Z79" i="28"/>
  <c r="X79" i="28"/>
  <c r="L79" i="28"/>
  <c r="N79" i="28" s="1"/>
  <c r="B79" i="28"/>
  <c r="X78" i="28"/>
  <c r="Z78" i="28" s="1"/>
  <c r="L78" i="28"/>
  <c r="N78" i="28" s="1"/>
  <c r="B78" i="28"/>
  <c r="X77" i="28"/>
  <c r="Z77" i="28" s="1"/>
  <c r="N77" i="28"/>
  <c r="L77" i="28"/>
  <c r="B77" i="28"/>
  <c r="Z76" i="28"/>
  <c r="X76" i="28"/>
  <c r="N76" i="28"/>
  <c r="L76" i="28"/>
  <c r="B76" i="28"/>
  <c r="Z75" i="28"/>
  <c r="X75" i="28"/>
  <c r="N75" i="28"/>
  <c r="L75" i="28"/>
  <c r="B75" i="28"/>
  <c r="X74" i="28"/>
  <c r="Z74" i="28" s="1"/>
  <c r="N74" i="28"/>
  <c r="L74" i="28"/>
  <c r="B74" i="28"/>
  <c r="Z73" i="28"/>
  <c r="X73" i="28"/>
  <c r="N73" i="28"/>
  <c r="L73" i="28"/>
  <c r="B73" i="28"/>
  <c r="Z72" i="28"/>
  <c r="X72" i="28"/>
  <c r="N72" i="28"/>
  <c r="L72" i="28"/>
  <c r="B72" i="28"/>
  <c r="Z71" i="28"/>
  <c r="X71" i="28"/>
  <c r="L71" i="28"/>
  <c r="N71" i="28" s="1"/>
  <c r="B71" i="28"/>
  <c r="X70" i="28"/>
  <c r="Z70" i="28" s="1"/>
  <c r="N70" i="28"/>
  <c r="L70" i="28"/>
  <c r="B70" i="28"/>
  <c r="X69" i="28"/>
  <c r="Z69" i="28" s="1"/>
  <c r="L69" i="28"/>
  <c r="N69" i="28" s="1"/>
  <c r="B69" i="28"/>
  <c r="Z68" i="28"/>
  <c r="X68" i="28"/>
  <c r="N68" i="28"/>
  <c r="L68" i="28"/>
  <c r="B68" i="28"/>
  <c r="X67" i="28"/>
  <c r="Z67" i="28" s="1"/>
  <c r="N67" i="28"/>
  <c r="L67" i="28"/>
  <c r="B67" i="28"/>
  <c r="X66" i="28"/>
  <c r="Z66" i="28" s="1"/>
  <c r="L66" i="28"/>
  <c r="N66" i="28" s="1"/>
  <c r="B66" i="28"/>
  <c r="X65" i="28"/>
  <c r="Z65" i="28" s="1"/>
  <c r="L65" i="28"/>
  <c r="N65" i="28" s="1"/>
  <c r="B65" i="28"/>
  <c r="Z64" i="28"/>
  <c r="X64" i="28"/>
  <c r="N64" i="28"/>
  <c r="L64" i="28"/>
  <c r="B64" i="28"/>
  <c r="Z63" i="28"/>
  <c r="X63" i="28"/>
  <c r="L63" i="28"/>
  <c r="N63" i="28" s="1"/>
  <c r="B63" i="28"/>
  <c r="X62" i="28"/>
  <c r="Z62" i="28" s="1"/>
  <c r="L62" i="28"/>
  <c r="N62" i="28" s="1"/>
  <c r="B62" i="28"/>
  <c r="X61" i="28"/>
  <c r="Z61" i="28" s="1"/>
  <c r="L61" i="28"/>
  <c r="N61" i="28" s="1"/>
  <c r="B61" i="28"/>
  <c r="Z60" i="28"/>
  <c r="X60" i="28"/>
  <c r="N60" i="28"/>
  <c r="L60" i="28"/>
  <c r="B60" i="28"/>
  <c r="X59" i="28"/>
  <c r="Z59" i="28" s="1"/>
  <c r="N59" i="28"/>
  <c r="L59" i="28"/>
  <c r="B59" i="28"/>
  <c r="Z58" i="28"/>
  <c r="X58" i="28"/>
  <c r="N58" i="28"/>
  <c r="L58" i="28"/>
  <c r="B58" i="28"/>
  <c r="T57" i="28"/>
  <c r="P57" i="28"/>
  <c r="X57" i="28" s="1"/>
  <c r="Z57" i="28" s="1"/>
  <c r="H57" i="28"/>
  <c r="D57" i="28"/>
  <c r="Z55" i="28"/>
  <c r="X55" i="28"/>
  <c r="T55" i="28"/>
  <c r="P55" i="28"/>
  <c r="N55" i="28"/>
  <c r="L55" i="28"/>
  <c r="H55" i="28"/>
  <c r="D55" i="28"/>
  <c r="B55" i="28"/>
  <c r="T54" i="28"/>
  <c r="P54" i="28"/>
  <c r="X54" i="28" s="1"/>
  <c r="Z54" i="28" s="1"/>
  <c r="N54" i="28"/>
  <c r="L54" i="28"/>
  <c r="H54" i="28"/>
  <c r="D54" i="28"/>
  <c r="B54" i="28"/>
  <c r="T53" i="28"/>
  <c r="P53" i="28"/>
  <c r="X53" i="28" s="1"/>
  <c r="N53" i="28"/>
  <c r="H53" i="28"/>
  <c r="D53" i="28"/>
  <c r="L53" i="28" s="1"/>
  <c r="B53" i="28"/>
  <c r="T52" i="28"/>
  <c r="P52" i="28"/>
  <c r="H52" i="28"/>
  <c r="D52" i="28"/>
  <c r="B52" i="28"/>
  <c r="X51" i="28"/>
  <c r="Z51" i="28" s="1"/>
  <c r="T51" i="28"/>
  <c r="P51" i="28"/>
  <c r="L51" i="28"/>
  <c r="N51" i="28" s="1"/>
  <c r="H51" i="28"/>
  <c r="D51" i="28"/>
  <c r="B51" i="28"/>
  <c r="Z50" i="28"/>
  <c r="X50" i="28"/>
  <c r="T50" i="28"/>
  <c r="P50" i="28"/>
  <c r="N50" i="28"/>
  <c r="H50" i="28"/>
  <c r="D50" i="28"/>
  <c r="L50" i="28" s="1"/>
  <c r="B50" i="28"/>
  <c r="T49" i="28"/>
  <c r="P49" i="28"/>
  <c r="X49" i="28" s="1"/>
  <c r="Z49" i="28" s="1"/>
  <c r="H49" i="28"/>
  <c r="D49" i="28"/>
  <c r="L49" i="28" s="1"/>
  <c r="B49" i="28"/>
  <c r="T48" i="28"/>
  <c r="P48" i="28"/>
  <c r="H48" i="28"/>
  <c r="D48" i="28"/>
  <c r="B48" i="28"/>
  <c r="X47" i="28"/>
  <c r="Z47" i="28" s="1"/>
  <c r="T47" i="28"/>
  <c r="P47" i="28"/>
  <c r="L47" i="28"/>
  <c r="N47" i="28" s="1"/>
  <c r="H47" i="28"/>
  <c r="D47" i="28"/>
  <c r="B47" i="28"/>
  <c r="T46" i="28"/>
  <c r="P46" i="28"/>
  <c r="X46" i="28" s="1"/>
  <c r="Z46" i="28" s="1"/>
  <c r="N46" i="28"/>
  <c r="L46" i="28"/>
  <c r="H46" i="28"/>
  <c r="D46" i="28"/>
  <c r="B46" i="28"/>
  <c r="T45" i="28"/>
  <c r="P45" i="28"/>
  <c r="X45" i="28" s="1"/>
  <c r="H45" i="28"/>
  <c r="D45" i="28"/>
  <c r="L45" i="28" s="1"/>
  <c r="N45" i="28" s="1"/>
  <c r="B45" i="28"/>
  <c r="T44" i="28"/>
  <c r="P44" i="28"/>
  <c r="H44" i="28"/>
  <c r="D44" i="28"/>
  <c r="B44" i="28"/>
  <c r="X43" i="28"/>
  <c r="Z43" i="28" s="1"/>
  <c r="T43" i="28"/>
  <c r="P43" i="28"/>
  <c r="N43" i="28"/>
  <c r="L43" i="28"/>
  <c r="H43" i="28"/>
  <c r="D43" i="28"/>
  <c r="B43" i="28"/>
  <c r="Z42" i="28"/>
  <c r="X42" i="28"/>
  <c r="T42" i="28"/>
  <c r="P42" i="28"/>
  <c r="N42" i="28"/>
  <c r="H42" i="28"/>
  <c r="D42" i="28"/>
  <c r="L42" i="28" s="1"/>
  <c r="B42" i="28"/>
  <c r="T41" i="28"/>
  <c r="P41" i="28"/>
  <c r="X41" i="28" s="1"/>
  <c r="Z41" i="28" s="1"/>
  <c r="H41" i="28"/>
  <c r="D41" i="28"/>
  <c r="L41" i="28" s="1"/>
  <c r="B41" i="28"/>
  <c r="T40" i="28"/>
  <c r="P40" i="28"/>
  <c r="H40" i="28"/>
  <c r="D40" i="28"/>
  <c r="B40" i="28"/>
  <c r="X39" i="28"/>
  <c r="Z39" i="28" s="1"/>
  <c r="T39" i="28"/>
  <c r="P39" i="28"/>
  <c r="N39" i="28"/>
  <c r="L39" i="28"/>
  <c r="H39" i="28"/>
  <c r="D39" i="28"/>
  <c r="B39" i="28"/>
  <c r="T38" i="28"/>
  <c r="P38" i="28"/>
  <c r="X38" i="28" s="1"/>
  <c r="Z38" i="28" s="1"/>
  <c r="N38" i="28"/>
  <c r="L38" i="28"/>
  <c r="H38" i="28"/>
  <c r="D38" i="28"/>
  <c r="B38" i="28"/>
  <c r="T37" i="28"/>
  <c r="P37" i="28"/>
  <c r="X37" i="28" s="1"/>
  <c r="H37" i="28"/>
  <c r="D37" i="28"/>
  <c r="L37" i="28" s="1"/>
  <c r="N37" i="28" s="1"/>
  <c r="B37" i="28"/>
  <c r="T36" i="28"/>
  <c r="P36" i="28"/>
  <c r="H36" i="28"/>
  <c r="D36" i="28"/>
  <c r="B36" i="28"/>
  <c r="X35" i="28"/>
  <c r="Z35" i="28" s="1"/>
  <c r="T35" i="28"/>
  <c r="P35" i="28"/>
  <c r="L35" i="28"/>
  <c r="N35" i="28" s="1"/>
  <c r="H35" i="28"/>
  <c r="D35" i="28"/>
  <c r="B35" i="28"/>
  <c r="Z34" i="28"/>
  <c r="X34" i="28"/>
  <c r="T34" i="28"/>
  <c r="P34" i="28"/>
  <c r="N34" i="28"/>
  <c r="H34" i="28"/>
  <c r="D34" i="28"/>
  <c r="L34" i="28" s="1"/>
  <c r="B34" i="28"/>
  <c r="T33" i="28"/>
  <c r="P33" i="28"/>
  <c r="X33" i="28" s="1"/>
  <c r="Z33" i="28" s="1"/>
  <c r="H33" i="28"/>
  <c r="N33" i="28" s="1"/>
  <c r="D33" i="28"/>
  <c r="L33" i="28" s="1"/>
  <c r="B33" i="28"/>
  <c r="T32" i="28"/>
  <c r="P32" i="28"/>
  <c r="H32" i="28"/>
  <c r="D32" i="28"/>
  <c r="B32" i="28"/>
  <c r="X31" i="28"/>
  <c r="Z31" i="28" s="1"/>
  <c r="T31" i="28"/>
  <c r="P31" i="28"/>
  <c r="N31" i="28"/>
  <c r="L31" i="28"/>
  <c r="H31" i="28"/>
  <c r="D31" i="28"/>
  <c r="B31" i="28"/>
  <c r="T30" i="28"/>
  <c r="P30" i="28"/>
  <c r="X30" i="28" s="1"/>
  <c r="Z30" i="28" s="1"/>
  <c r="N30" i="28"/>
  <c r="L30" i="28"/>
  <c r="H30" i="28"/>
  <c r="D30" i="28"/>
  <c r="B30" i="28"/>
  <c r="T29" i="28"/>
  <c r="Z29" i="28" s="1"/>
  <c r="P29" i="28"/>
  <c r="X29" i="28" s="1"/>
  <c r="H29" i="28"/>
  <c r="D29" i="28"/>
  <c r="L29" i="28" s="1"/>
  <c r="N29" i="28" s="1"/>
  <c r="B29" i="28"/>
  <c r="T28" i="28"/>
  <c r="P28" i="28"/>
  <c r="H28" i="28"/>
  <c r="D28" i="28"/>
  <c r="B28" i="28"/>
  <c r="X27" i="28"/>
  <c r="Z27" i="28" s="1"/>
  <c r="T27" i="28"/>
  <c r="P27" i="28"/>
  <c r="L27" i="28"/>
  <c r="N27" i="28" s="1"/>
  <c r="H27" i="28"/>
  <c r="D27" i="28"/>
  <c r="B27" i="28"/>
  <c r="Z26" i="28"/>
  <c r="X26" i="28"/>
  <c r="T26" i="28"/>
  <c r="P26" i="28"/>
  <c r="N26" i="28"/>
  <c r="H26" i="28"/>
  <c r="D26" i="28"/>
  <c r="L26" i="28" s="1"/>
  <c r="B26" i="28"/>
  <c r="Z25" i="28"/>
  <c r="T25" i="28"/>
  <c r="P25" i="28"/>
  <c r="X25" i="28" s="1"/>
  <c r="H25" i="28"/>
  <c r="N25" i="28" s="1"/>
  <c r="D25" i="28"/>
  <c r="L25" i="28" s="1"/>
  <c r="B25" i="28"/>
  <c r="T24" i="28"/>
  <c r="P24" i="28"/>
  <c r="H24" i="28"/>
  <c r="D24" i="28"/>
  <c r="B24" i="28"/>
  <c r="X23" i="28"/>
  <c r="Z23" i="28" s="1"/>
  <c r="T23" i="28"/>
  <c r="P23" i="28"/>
  <c r="L23" i="28"/>
  <c r="N23" i="28" s="1"/>
  <c r="H23" i="28"/>
  <c r="D23" i="28"/>
  <c r="B23" i="28"/>
  <c r="Z22" i="28"/>
  <c r="T22" i="28"/>
  <c r="P22" i="28"/>
  <c r="X22" i="28" s="1"/>
  <c r="N22" i="28"/>
  <c r="L22" i="28"/>
  <c r="H22" i="28"/>
  <c r="D22" i="28"/>
  <c r="B22" i="28"/>
  <c r="T21" i="28"/>
  <c r="Z21" i="28" s="1"/>
  <c r="P21" i="28"/>
  <c r="X21" i="28" s="1"/>
  <c r="H21" i="28"/>
  <c r="D21" i="28"/>
  <c r="L21" i="28" s="1"/>
  <c r="N21" i="28" s="1"/>
  <c r="B21" i="28"/>
  <c r="T20" i="28"/>
  <c r="P20" i="28"/>
  <c r="H20" i="28"/>
  <c r="D20" i="28"/>
  <c r="B20" i="28"/>
  <c r="X19" i="28"/>
  <c r="Z19" i="28" s="1"/>
  <c r="T19" i="28"/>
  <c r="P19" i="28"/>
  <c r="L19" i="28"/>
  <c r="N19" i="28" s="1"/>
  <c r="H19" i="28"/>
  <c r="D19" i="28"/>
  <c r="B19" i="28"/>
  <c r="Z18" i="28"/>
  <c r="X18" i="28"/>
  <c r="T18" i="28"/>
  <c r="P18" i="28"/>
  <c r="N18" i="28"/>
  <c r="H18" i="28"/>
  <c r="D18" i="28"/>
  <c r="L18" i="28" s="1"/>
  <c r="B18" i="28"/>
  <c r="T17" i="28"/>
  <c r="P17" i="28"/>
  <c r="X17" i="28" s="1"/>
  <c r="Z17" i="28" s="1"/>
  <c r="H17" i="28"/>
  <c r="D17" i="28"/>
  <c r="L17" i="28" s="1"/>
  <c r="B17" i="28"/>
  <c r="T16" i="28"/>
  <c r="P16" i="28"/>
  <c r="H16" i="28"/>
  <c r="D16" i="28"/>
  <c r="B16" i="28"/>
  <c r="X15" i="28"/>
  <c r="Z15" i="28" s="1"/>
  <c r="T15" i="28"/>
  <c r="P15" i="28"/>
  <c r="L15" i="28"/>
  <c r="N15" i="28" s="1"/>
  <c r="H15" i="28"/>
  <c r="D15" i="28"/>
  <c r="B15" i="28"/>
  <c r="T14" i="28"/>
  <c r="P14" i="28"/>
  <c r="X14" i="28" s="1"/>
  <c r="Z14" i="28" s="1"/>
  <c r="N14" i="28"/>
  <c r="L14" i="28"/>
  <c r="H14" i="28"/>
  <c r="D14" i="28"/>
  <c r="B14" i="28"/>
  <c r="T13" i="28"/>
  <c r="P13" i="28"/>
  <c r="H13" i="28"/>
  <c r="D13" i="28"/>
  <c r="B13" i="28"/>
  <c r="D4" i="28"/>
  <c r="B39" i="27"/>
  <c r="B38" i="27"/>
  <c r="T34" i="27"/>
  <c r="P34" i="27"/>
  <c r="H34" i="27"/>
  <c r="N34" i="27" s="1"/>
  <c r="D34" i="27"/>
  <c r="T33" i="27"/>
  <c r="Z33" i="27" s="1"/>
  <c r="P33" i="27"/>
  <c r="H33" i="27"/>
  <c r="N33" i="27" s="1"/>
  <c r="D33" i="27"/>
  <c r="T29" i="27"/>
  <c r="Z29" i="27" s="1"/>
  <c r="P29" i="27"/>
  <c r="H29" i="27"/>
  <c r="N29" i="27" s="1"/>
  <c r="D29" i="27"/>
  <c r="T25" i="27"/>
  <c r="Z25" i="27" s="1"/>
  <c r="P25" i="27"/>
  <c r="H25" i="27"/>
  <c r="N25" i="27" s="1"/>
  <c r="D25" i="27"/>
  <c r="B25" i="27"/>
  <c r="T24" i="27"/>
  <c r="Z24" i="27" s="1"/>
  <c r="P24" i="27"/>
  <c r="H24" i="27"/>
  <c r="N24" i="27" s="1"/>
  <c r="D24" i="27"/>
  <c r="T22" i="27"/>
  <c r="Z22" i="27" s="1"/>
  <c r="P22" i="27"/>
  <c r="H22" i="27"/>
  <c r="N22" i="27" s="1"/>
  <c r="D22" i="27"/>
  <c r="B22" i="27"/>
  <c r="T21" i="27"/>
  <c r="Z21" i="27" s="1"/>
  <c r="P21" i="27"/>
  <c r="H21" i="27"/>
  <c r="D21" i="27"/>
  <c r="B21" i="27"/>
  <c r="T20" i="27"/>
  <c r="Z20" i="27" s="1"/>
  <c r="P20" i="27"/>
  <c r="H20" i="27"/>
  <c r="N20" i="27" s="1"/>
  <c r="D20" i="27"/>
  <c r="T16" i="27"/>
  <c r="Z16" i="27" s="1"/>
  <c r="P16" i="27"/>
  <c r="H16" i="27"/>
  <c r="N16" i="27" s="1"/>
  <c r="D16" i="27"/>
  <c r="B16" i="27"/>
  <c r="T15" i="27"/>
  <c r="Z15" i="27" s="1"/>
  <c r="P15" i="27"/>
  <c r="H15" i="27"/>
  <c r="N15" i="27" s="1"/>
  <c r="D15" i="27"/>
  <c r="T13" i="27"/>
  <c r="Z13" i="27" s="1"/>
  <c r="P13" i="27"/>
  <c r="H13" i="27"/>
  <c r="N13" i="27" s="1"/>
  <c r="D13" i="27"/>
  <c r="B13" i="27"/>
  <c r="T12" i="27"/>
  <c r="P12" i="27"/>
  <c r="R34" i="27" s="1"/>
  <c r="H12" i="27"/>
  <c r="D12" i="27"/>
  <c r="F18" i="27" s="1"/>
  <c r="D5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P20" i="26"/>
  <c r="H20" i="26"/>
  <c r="N20" i="26" s="1"/>
  <c r="D20" i="26"/>
  <c r="T16" i="26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P13" i="26"/>
  <c r="H13" i="26"/>
  <c r="D13" i="26"/>
  <c r="B13" i="26"/>
  <c r="T12" i="26"/>
  <c r="V31" i="26" s="1"/>
  <c r="P12" i="26"/>
  <c r="R29" i="26" s="1"/>
  <c r="H12" i="26"/>
  <c r="D12" i="26"/>
  <c r="F21" i="26" s="1"/>
  <c r="D5" i="26"/>
  <c r="D4" i="26"/>
  <c r="Z121" i="25"/>
  <c r="X121" i="25"/>
  <c r="L121" i="25"/>
  <c r="N121" i="25" s="1"/>
  <c r="T117" i="25"/>
  <c r="P117" i="25"/>
  <c r="L117" i="25"/>
  <c r="N117" i="25" s="1"/>
  <c r="H117" i="25"/>
  <c r="D117" i="25"/>
  <c r="D114" i="25" s="1"/>
  <c r="B117" i="25"/>
  <c r="T116" i="25"/>
  <c r="P116" i="25"/>
  <c r="X116" i="25" s="1"/>
  <c r="Z116" i="25" s="1"/>
  <c r="N116" i="25"/>
  <c r="L116" i="25"/>
  <c r="H116" i="25"/>
  <c r="D116" i="25"/>
  <c r="B116" i="25"/>
  <c r="T115" i="25"/>
  <c r="P115" i="25"/>
  <c r="P114" i="25" s="1"/>
  <c r="H115" i="25"/>
  <c r="D115" i="25"/>
  <c r="B115" i="25"/>
  <c r="Z112" i="25"/>
  <c r="X112" i="25"/>
  <c r="N112" i="25"/>
  <c r="L112" i="25"/>
  <c r="B112" i="25"/>
  <c r="T111" i="25"/>
  <c r="P111" i="25"/>
  <c r="X111" i="25" s="1"/>
  <c r="N111" i="25"/>
  <c r="H111" i="25"/>
  <c r="D111" i="25"/>
  <c r="L111" i="25" s="1"/>
  <c r="B111" i="25"/>
  <c r="Z110" i="25"/>
  <c r="X110" i="25"/>
  <c r="N110" i="25"/>
  <c r="L110" i="25"/>
  <c r="B110" i="25"/>
  <c r="Z109" i="25"/>
  <c r="T109" i="25"/>
  <c r="P109" i="25"/>
  <c r="X109" i="25" s="1"/>
  <c r="H109" i="25"/>
  <c r="D109" i="25"/>
  <c r="B109" i="25"/>
  <c r="Z108" i="25"/>
  <c r="X108" i="25"/>
  <c r="N108" i="25"/>
  <c r="L108" i="25"/>
  <c r="B108" i="25"/>
  <c r="X107" i="25"/>
  <c r="Z107" i="25" s="1"/>
  <c r="N107" i="25"/>
  <c r="L107" i="25"/>
  <c r="B107" i="25"/>
  <c r="X106" i="25"/>
  <c r="T106" i="25"/>
  <c r="Z106" i="25" s="1"/>
  <c r="P106" i="25"/>
  <c r="N106" i="25"/>
  <c r="H106" i="25"/>
  <c r="D106" i="25"/>
  <c r="L106" i="25" s="1"/>
  <c r="B106" i="25"/>
  <c r="X105" i="25"/>
  <c r="Z105" i="25" s="1"/>
  <c r="L105" i="25"/>
  <c r="N105" i="25" s="1"/>
  <c r="B105" i="25"/>
  <c r="Z104" i="25"/>
  <c r="X104" i="25"/>
  <c r="N104" i="25"/>
  <c r="L104" i="25"/>
  <c r="B104" i="25"/>
  <c r="T103" i="25"/>
  <c r="P103" i="25"/>
  <c r="H103" i="25"/>
  <c r="D103" i="25"/>
  <c r="L103" i="25" s="1"/>
  <c r="N103" i="25" s="1"/>
  <c r="B103" i="25"/>
  <c r="X102" i="25"/>
  <c r="Z102" i="25" s="1"/>
  <c r="N102" i="25"/>
  <c r="L102" i="25"/>
  <c r="B102" i="25"/>
  <c r="X101" i="25"/>
  <c r="Z101" i="25" s="1"/>
  <c r="L101" i="25"/>
  <c r="N101" i="25" s="1"/>
  <c r="B101" i="25"/>
  <c r="Z100" i="25"/>
  <c r="T100" i="25"/>
  <c r="P100" i="25"/>
  <c r="X100" i="25" s="1"/>
  <c r="H100" i="25"/>
  <c r="D100" i="25"/>
  <c r="L100" i="25" s="1"/>
  <c r="N100" i="25" s="1"/>
  <c r="B100" i="25"/>
  <c r="Z99" i="25"/>
  <c r="X99" i="25"/>
  <c r="N99" i="25"/>
  <c r="L99" i="25"/>
  <c r="B99" i="25"/>
  <c r="X98" i="25"/>
  <c r="Z98" i="25" s="1"/>
  <c r="L98" i="25"/>
  <c r="N98" i="25" s="1"/>
  <c r="B98" i="25"/>
  <c r="Z97" i="25"/>
  <c r="X97" i="25"/>
  <c r="N97" i="25"/>
  <c r="L97" i="25"/>
  <c r="B97" i="25"/>
  <c r="Z96" i="25"/>
  <c r="T96" i="25"/>
  <c r="P96" i="25"/>
  <c r="X96" i="25" s="1"/>
  <c r="H96" i="25"/>
  <c r="D96" i="25"/>
  <c r="L96" i="25" s="1"/>
  <c r="N96" i="25" s="1"/>
  <c r="B96" i="25"/>
  <c r="Z95" i="25"/>
  <c r="X95" i="25"/>
  <c r="L95" i="25"/>
  <c r="N95" i="25" s="1"/>
  <c r="B95" i="25"/>
  <c r="T94" i="25"/>
  <c r="P94" i="25"/>
  <c r="X94" i="25" s="1"/>
  <c r="Z94" i="25" s="1"/>
  <c r="N94" i="25"/>
  <c r="L94" i="25"/>
  <c r="H94" i="25"/>
  <c r="D94" i="25"/>
  <c r="B94" i="25"/>
  <c r="X93" i="25"/>
  <c r="Z93" i="25" s="1"/>
  <c r="N93" i="25"/>
  <c r="L93" i="25"/>
  <c r="B93" i="25"/>
  <c r="Z92" i="25"/>
  <c r="X92" i="25"/>
  <c r="T92" i="25"/>
  <c r="P92" i="25"/>
  <c r="L92" i="25"/>
  <c r="H92" i="25"/>
  <c r="N92" i="25" s="1"/>
  <c r="D92" i="25"/>
  <c r="B92" i="25"/>
  <c r="X91" i="25"/>
  <c r="Z91" i="25" s="1"/>
  <c r="N91" i="25"/>
  <c r="L91" i="25"/>
  <c r="B91" i="25"/>
  <c r="X90" i="25"/>
  <c r="Z90" i="25" s="1"/>
  <c r="L90" i="25"/>
  <c r="N90" i="25" s="1"/>
  <c r="B90" i="25"/>
  <c r="X89" i="25"/>
  <c r="Z89" i="25" s="1"/>
  <c r="T89" i="25"/>
  <c r="P89" i="25"/>
  <c r="H89" i="25"/>
  <c r="D89" i="25"/>
  <c r="B89" i="25"/>
  <c r="Z88" i="25"/>
  <c r="X88" i="25"/>
  <c r="N88" i="25"/>
  <c r="L88" i="25"/>
  <c r="B88" i="25"/>
  <c r="T87" i="25"/>
  <c r="P87" i="25"/>
  <c r="H87" i="25"/>
  <c r="D87" i="25"/>
  <c r="L87" i="25" s="1"/>
  <c r="N87" i="25" s="1"/>
  <c r="B87" i="25"/>
  <c r="X86" i="25"/>
  <c r="Z86" i="25" s="1"/>
  <c r="N86" i="25"/>
  <c r="L86" i="25"/>
  <c r="B86" i="25"/>
  <c r="X85" i="25"/>
  <c r="Z85" i="25" s="1"/>
  <c r="T85" i="25"/>
  <c r="P85" i="25"/>
  <c r="H85" i="25"/>
  <c r="N85" i="25" s="1"/>
  <c r="D85" i="25"/>
  <c r="L85" i="25" s="1"/>
  <c r="B85" i="25"/>
  <c r="Z84" i="25"/>
  <c r="X84" i="25"/>
  <c r="N84" i="25"/>
  <c r="L84" i="25"/>
  <c r="B84" i="25"/>
  <c r="Z83" i="25"/>
  <c r="X83" i="25"/>
  <c r="N83" i="25"/>
  <c r="L83" i="25"/>
  <c r="B83" i="25"/>
  <c r="T82" i="25"/>
  <c r="Z82" i="25" s="1"/>
  <c r="P82" i="25"/>
  <c r="X82" i="25" s="1"/>
  <c r="N82" i="25"/>
  <c r="L82" i="25"/>
  <c r="H82" i="25"/>
  <c r="D82" i="25"/>
  <c r="B82" i="25"/>
  <c r="X81" i="25"/>
  <c r="Z81" i="25" s="1"/>
  <c r="L81" i="25"/>
  <c r="N81" i="25" s="1"/>
  <c r="B81" i="25"/>
  <c r="Z80" i="25"/>
  <c r="X80" i="25"/>
  <c r="T80" i="25"/>
  <c r="P80" i="25"/>
  <c r="L80" i="25"/>
  <c r="H80" i="25"/>
  <c r="N80" i="25" s="1"/>
  <c r="D80" i="25"/>
  <c r="B80" i="25"/>
  <c r="X79" i="25"/>
  <c r="Z79" i="25" s="1"/>
  <c r="N79" i="25"/>
  <c r="L79" i="25"/>
  <c r="B79" i="25"/>
  <c r="X78" i="25"/>
  <c r="Z78" i="25" s="1"/>
  <c r="L78" i="25"/>
  <c r="N78" i="25" s="1"/>
  <c r="B78" i="25"/>
  <c r="X77" i="25"/>
  <c r="Z77" i="25" s="1"/>
  <c r="L77" i="25"/>
  <c r="N77" i="25" s="1"/>
  <c r="B77" i="25"/>
  <c r="Z76" i="25"/>
  <c r="X76" i="25"/>
  <c r="N76" i="25"/>
  <c r="L76" i="25"/>
  <c r="B76" i="25"/>
  <c r="Z75" i="25"/>
  <c r="X75" i="25"/>
  <c r="L75" i="25"/>
  <c r="N75" i="25" s="1"/>
  <c r="B75" i="25"/>
  <c r="X74" i="25"/>
  <c r="Z74" i="25" s="1"/>
  <c r="L74" i="25"/>
  <c r="N74" i="25" s="1"/>
  <c r="B74" i="25"/>
  <c r="X73" i="25"/>
  <c r="Z73" i="25" s="1"/>
  <c r="N73" i="25"/>
  <c r="L73" i="25"/>
  <c r="B73" i="25"/>
  <c r="T72" i="25"/>
  <c r="P72" i="25"/>
  <c r="X72" i="25" s="1"/>
  <c r="Z72" i="25" s="1"/>
  <c r="H72" i="25"/>
  <c r="D72" i="25"/>
  <c r="L72" i="25" s="1"/>
  <c r="B72" i="25"/>
  <c r="Z71" i="25"/>
  <c r="X71" i="25"/>
  <c r="L71" i="25"/>
  <c r="N71" i="25" s="1"/>
  <c r="B71" i="25"/>
  <c r="X70" i="25"/>
  <c r="Z70" i="25" s="1"/>
  <c r="L70" i="25"/>
  <c r="N70" i="25" s="1"/>
  <c r="B70" i="25"/>
  <c r="X69" i="25"/>
  <c r="Z69" i="25" s="1"/>
  <c r="L69" i="25"/>
  <c r="N69" i="25" s="1"/>
  <c r="B69" i="25"/>
  <c r="Z68" i="25"/>
  <c r="X68" i="25"/>
  <c r="N68" i="25"/>
  <c r="L68" i="25"/>
  <c r="B68" i="25"/>
  <c r="X67" i="25"/>
  <c r="Z67" i="25" s="1"/>
  <c r="N67" i="25"/>
  <c r="L67" i="25"/>
  <c r="B67" i="25"/>
  <c r="X66" i="25"/>
  <c r="Z66" i="25" s="1"/>
  <c r="L66" i="25"/>
  <c r="N66" i="25" s="1"/>
  <c r="B66" i="25"/>
  <c r="X65" i="25"/>
  <c r="Z65" i="25" s="1"/>
  <c r="L65" i="25"/>
  <c r="N65" i="25" s="1"/>
  <c r="B65" i="25"/>
  <c r="Z64" i="25"/>
  <c r="X64" i="25"/>
  <c r="N64" i="25"/>
  <c r="L64" i="25"/>
  <c r="B64" i="25"/>
  <c r="Z63" i="25"/>
  <c r="X63" i="25"/>
  <c r="L63" i="25"/>
  <c r="N63" i="25" s="1"/>
  <c r="B63" i="25"/>
  <c r="T62" i="25"/>
  <c r="P62" i="25"/>
  <c r="X62" i="25" s="1"/>
  <c r="N62" i="25"/>
  <c r="L62" i="25"/>
  <c r="H62" i="25"/>
  <c r="D62" i="25"/>
  <c r="B62" i="25"/>
  <c r="X61" i="25"/>
  <c r="Z61" i="25" s="1"/>
  <c r="T61" i="25" a="1"/>
  <c r="T61" i="25"/>
  <c r="P61" i="25" a="1"/>
  <c r="P61" i="25"/>
  <c r="L61" i="25"/>
  <c r="N61" i="25" s="1"/>
  <c r="H61" i="25" a="1"/>
  <c r="H61" i="25"/>
  <c r="D61" i="25" a="1"/>
  <c r="D61" i="25"/>
  <c r="Z57" i="25"/>
  <c r="X57" i="25"/>
  <c r="N57" i="25"/>
  <c r="L57" i="25"/>
  <c r="B57" i="25"/>
  <c r="Z56" i="25"/>
  <c r="X56" i="25"/>
  <c r="N56" i="25"/>
  <c r="L56" i="25"/>
  <c r="B56" i="25"/>
  <c r="X55" i="25"/>
  <c r="Z55" i="25" s="1"/>
  <c r="N55" i="25"/>
  <c r="L55" i="25"/>
  <c r="B55" i="25"/>
  <c r="X54" i="25"/>
  <c r="Z54" i="25" s="1"/>
  <c r="L54" i="25"/>
  <c r="N54" i="25" s="1"/>
  <c r="B54" i="25"/>
  <c r="X53" i="25"/>
  <c r="Z53" i="25" s="1"/>
  <c r="L53" i="25"/>
  <c r="N53" i="25" s="1"/>
  <c r="B53" i="25"/>
  <c r="Z52" i="25"/>
  <c r="X52" i="25"/>
  <c r="N52" i="25"/>
  <c r="L52" i="25"/>
  <c r="B52" i="25"/>
  <c r="Z51" i="25"/>
  <c r="X51" i="25"/>
  <c r="L51" i="25"/>
  <c r="N51" i="25" s="1"/>
  <c r="B51" i="25"/>
  <c r="X50" i="25"/>
  <c r="Z50" i="25" s="1"/>
  <c r="L50" i="25"/>
  <c r="N50" i="25" s="1"/>
  <c r="B50" i="25"/>
  <c r="X49" i="25"/>
  <c r="Z49" i="25" s="1"/>
  <c r="N49" i="25"/>
  <c r="L49" i="25"/>
  <c r="B49" i="25"/>
  <c r="Z48" i="25"/>
  <c r="X48" i="25"/>
  <c r="N48" i="25"/>
  <c r="L48" i="25"/>
  <c r="B48" i="25"/>
  <c r="X47" i="25"/>
  <c r="Z47" i="25" s="1"/>
  <c r="N47" i="25"/>
  <c r="L47" i="25"/>
  <c r="B47" i="25"/>
  <c r="X46" i="25"/>
  <c r="Z46" i="25" s="1"/>
  <c r="N46" i="25"/>
  <c r="L46" i="25"/>
  <c r="B46" i="25"/>
  <c r="X45" i="25"/>
  <c r="Z45" i="25" s="1"/>
  <c r="L45" i="25"/>
  <c r="N45" i="25" s="1"/>
  <c r="B45" i="25"/>
  <c r="Z44" i="25"/>
  <c r="X44" i="25"/>
  <c r="N44" i="25"/>
  <c r="L44" i="25"/>
  <c r="B44" i="25"/>
  <c r="Z43" i="25"/>
  <c r="X43" i="25"/>
  <c r="L43" i="25"/>
  <c r="N43" i="25" s="1"/>
  <c r="B43" i="25"/>
  <c r="X42" i="25"/>
  <c r="Z42" i="25" s="1"/>
  <c r="L42" i="25"/>
  <c r="N42" i="25" s="1"/>
  <c r="B42" i="25"/>
  <c r="Z41" i="25"/>
  <c r="X41" i="25"/>
  <c r="N41" i="25"/>
  <c r="L41" i="25"/>
  <c r="B41" i="25"/>
  <c r="T40" i="25"/>
  <c r="P40" i="25"/>
  <c r="X40" i="25" s="1"/>
  <c r="Z40" i="25" s="1"/>
  <c r="H40" i="25"/>
  <c r="D40" i="25"/>
  <c r="L40" i="25" s="1"/>
  <c r="Z38" i="25"/>
  <c r="X38" i="25"/>
  <c r="T38" i="25"/>
  <c r="P38" i="25"/>
  <c r="N38" i="25"/>
  <c r="H38" i="25"/>
  <c r="D38" i="25"/>
  <c r="L38" i="25" s="1"/>
  <c r="B38" i="25"/>
  <c r="T37" i="25"/>
  <c r="P37" i="25"/>
  <c r="X37" i="25" s="1"/>
  <c r="Z37" i="25" s="1"/>
  <c r="H37" i="25"/>
  <c r="D37" i="25"/>
  <c r="L37" i="25" s="1"/>
  <c r="B37" i="25"/>
  <c r="T36" i="25"/>
  <c r="P36" i="25"/>
  <c r="H36" i="25"/>
  <c r="D36" i="25"/>
  <c r="B36" i="25"/>
  <c r="X35" i="25"/>
  <c r="Z35" i="25" s="1"/>
  <c r="T35" i="25"/>
  <c r="P35" i="25"/>
  <c r="L35" i="25"/>
  <c r="N35" i="25" s="1"/>
  <c r="H35" i="25"/>
  <c r="D35" i="25"/>
  <c r="B35" i="25"/>
  <c r="Z34" i="25"/>
  <c r="T34" i="25"/>
  <c r="P34" i="25"/>
  <c r="X34" i="25" s="1"/>
  <c r="N34" i="25"/>
  <c r="L34" i="25"/>
  <c r="H34" i="25"/>
  <c r="D34" i="25"/>
  <c r="B34" i="25"/>
  <c r="T33" i="25"/>
  <c r="P33" i="25"/>
  <c r="X33" i="25" s="1"/>
  <c r="N33" i="25"/>
  <c r="H33" i="25"/>
  <c r="D33" i="25"/>
  <c r="L33" i="25" s="1"/>
  <c r="B33" i="25"/>
  <c r="T32" i="25"/>
  <c r="P32" i="25"/>
  <c r="H32" i="25"/>
  <c r="D32" i="25"/>
  <c r="B32" i="25"/>
  <c r="X31" i="25"/>
  <c r="Z31" i="25" s="1"/>
  <c r="T31" i="25"/>
  <c r="P31" i="25"/>
  <c r="N31" i="25"/>
  <c r="L31" i="25"/>
  <c r="H31" i="25"/>
  <c r="D31" i="25"/>
  <c r="B31" i="25"/>
  <c r="Z30" i="25"/>
  <c r="X30" i="25"/>
  <c r="T30" i="25"/>
  <c r="P30" i="25"/>
  <c r="H30" i="25"/>
  <c r="D30" i="25"/>
  <c r="L30" i="25" s="1"/>
  <c r="N30" i="25" s="1"/>
  <c r="B30" i="25"/>
  <c r="T29" i="25"/>
  <c r="P29" i="25"/>
  <c r="X29" i="25" s="1"/>
  <c r="Z29" i="25" s="1"/>
  <c r="H29" i="25"/>
  <c r="D29" i="25"/>
  <c r="L29" i="25" s="1"/>
  <c r="B29" i="25"/>
  <c r="T28" i="25"/>
  <c r="P28" i="25"/>
  <c r="H28" i="25"/>
  <c r="D28" i="25"/>
  <c r="B28" i="25"/>
  <c r="X27" i="25"/>
  <c r="Z27" i="25" s="1"/>
  <c r="T27" i="25"/>
  <c r="P27" i="25"/>
  <c r="N27" i="25"/>
  <c r="L27" i="25"/>
  <c r="H27" i="25"/>
  <c r="D27" i="25"/>
  <c r="B27" i="25"/>
  <c r="Z26" i="25"/>
  <c r="T26" i="25"/>
  <c r="P26" i="25"/>
  <c r="X26" i="25" s="1"/>
  <c r="N26" i="25"/>
  <c r="L26" i="25"/>
  <c r="H26" i="25"/>
  <c r="D26" i="25"/>
  <c r="B26" i="25"/>
  <c r="T25" i="25"/>
  <c r="P25" i="25"/>
  <c r="X25" i="25" s="1"/>
  <c r="H25" i="25"/>
  <c r="D25" i="25"/>
  <c r="L25" i="25" s="1"/>
  <c r="N25" i="25" s="1"/>
  <c r="B25" i="25"/>
  <c r="T24" i="25"/>
  <c r="P24" i="25"/>
  <c r="H24" i="25"/>
  <c r="D24" i="25"/>
  <c r="B24" i="25"/>
  <c r="X23" i="25"/>
  <c r="Z23" i="25" s="1"/>
  <c r="T23" i="25"/>
  <c r="P23" i="25"/>
  <c r="L23" i="25"/>
  <c r="N23" i="25" s="1"/>
  <c r="H23" i="25"/>
  <c r="D23" i="25"/>
  <c r="B23" i="25"/>
  <c r="Z22" i="25"/>
  <c r="X22" i="25"/>
  <c r="T22" i="25"/>
  <c r="P22" i="25"/>
  <c r="N22" i="25"/>
  <c r="H22" i="25"/>
  <c r="D22" i="25"/>
  <c r="L22" i="25" s="1"/>
  <c r="B22" i="25"/>
  <c r="T21" i="25"/>
  <c r="P21" i="25"/>
  <c r="X21" i="25" s="1"/>
  <c r="Z21" i="25" s="1"/>
  <c r="H21" i="25"/>
  <c r="D21" i="25"/>
  <c r="L21" i="25" s="1"/>
  <c r="B21" i="25"/>
  <c r="T20" i="25"/>
  <c r="P20" i="25"/>
  <c r="H20" i="25"/>
  <c r="D20" i="25"/>
  <c r="B20" i="25"/>
  <c r="X19" i="25"/>
  <c r="Z19" i="25" s="1"/>
  <c r="T19" i="25"/>
  <c r="P19" i="25"/>
  <c r="L19" i="25"/>
  <c r="N19" i="25" s="1"/>
  <c r="H19" i="25"/>
  <c r="D19" i="25"/>
  <c r="B19" i="25"/>
  <c r="T18" i="25"/>
  <c r="P18" i="25"/>
  <c r="X18" i="25" s="1"/>
  <c r="Z18" i="25" s="1"/>
  <c r="N18" i="25"/>
  <c r="L18" i="25"/>
  <c r="H18" i="25"/>
  <c r="D18" i="25"/>
  <c r="B18" i="25"/>
  <c r="T17" i="25"/>
  <c r="P17" i="25"/>
  <c r="X17" i="25" s="1"/>
  <c r="N17" i="25"/>
  <c r="H17" i="25"/>
  <c r="D17" i="25"/>
  <c r="L17" i="25" s="1"/>
  <c r="B17" i="25"/>
  <c r="T16" i="25"/>
  <c r="P16" i="25"/>
  <c r="H16" i="25"/>
  <c r="D16" i="25"/>
  <c r="B16" i="25"/>
  <c r="X15" i="25"/>
  <c r="Z15" i="25" s="1"/>
  <c r="T15" i="25"/>
  <c r="P15" i="25"/>
  <c r="L15" i="25"/>
  <c r="N15" i="25" s="1"/>
  <c r="H15" i="25"/>
  <c r="D15" i="25"/>
  <c r="B15" i="25"/>
  <c r="Z14" i="25"/>
  <c r="X14" i="25"/>
  <c r="T14" i="25"/>
  <c r="P14" i="25"/>
  <c r="N14" i="25"/>
  <c r="H14" i="25"/>
  <c r="D14" i="25"/>
  <c r="L14" i="25" s="1"/>
  <c r="B14" i="25"/>
  <c r="T13" i="25"/>
  <c r="P13" i="25"/>
  <c r="H13" i="25"/>
  <c r="H12" i="25" s="1"/>
  <c r="D13" i="25"/>
  <c r="B13" i="25"/>
  <c r="D4" i="25"/>
  <c r="B39" i="24"/>
  <c r="B38" i="24"/>
  <c r="T34" i="24"/>
  <c r="Z34" i="24" s="1"/>
  <c r="P34" i="24"/>
  <c r="H34" i="24"/>
  <c r="N34" i="24" s="1"/>
  <c r="D34" i="24"/>
  <c r="T33" i="24"/>
  <c r="P33" i="24"/>
  <c r="H33" i="24"/>
  <c r="N33" i="24" s="1"/>
  <c r="D33" i="24"/>
  <c r="T29" i="24"/>
  <c r="P29" i="24"/>
  <c r="H29" i="24"/>
  <c r="N29" i="24" s="1"/>
  <c r="D29" i="24"/>
  <c r="T25" i="24"/>
  <c r="P25" i="24"/>
  <c r="H25" i="24"/>
  <c r="N25" i="24" s="1"/>
  <c r="D25" i="24"/>
  <c r="B25" i="24"/>
  <c r="T24" i="24"/>
  <c r="Z24" i="24" s="1"/>
  <c r="P24" i="24"/>
  <c r="H24" i="24"/>
  <c r="D24" i="24"/>
  <c r="T22" i="24"/>
  <c r="Z22" i="24" s="1"/>
  <c r="P22" i="24"/>
  <c r="H22" i="24"/>
  <c r="N22" i="24" s="1"/>
  <c r="D22" i="24"/>
  <c r="B22" i="24"/>
  <c r="T21" i="24"/>
  <c r="Z21" i="24" s="1"/>
  <c r="P21" i="24"/>
  <c r="H21" i="24"/>
  <c r="N21" i="24" s="1"/>
  <c r="D21" i="24"/>
  <c r="B21" i="24"/>
  <c r="T20" i="24"/>
  <c r="Z20" i="24" s="1"/>
  <c r="P20" i="24"/>
  <c r="H20" i="24"/>
  <c r="N20" i="24" s="1"/>
  <c r="D20" i="24"/>
  <c r="T16" i="24"/>
  <c r="Z16" i="24" s="1"/>
  <c r="P16" i="24"/>
  <c r="H16" i="24"/>
  <c r="N16" i="24" s="1"/>
  <c r="D16" i="24"/>
  <c r="B16" i="24"/>
  <c r="T15" i="24"/>
  <c r="P15" i="24"/>
  <c r="H15" i="24"/>
  <c r="N15" i="24" s="1"/>
  <c r="D15" i="24"/>
  <c r="T13" i="24"/>
  <c r="Z13" i="24" s="1"/>
  <c r="P13" i="24"/>
  <c r="H13" i="24"/>
  <c r="N13" i="24" s="1"/>
  <c r="D13" i="24"/>
  <c r="B13" i="24"/>
  <c r="T12" i="24"/>
  <c r="V24" i="24" s="1"/>
  <c r="P12" i="24"/>
  <c r="R21" i="24" s="1"/>
  <c r="H12" i="24"/>
  <c r="D12" i="24"/>
  <c r="F29" i="24" s="1"/>
  <c r="D5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P13" i="23"/>
  <c r="H13" i="23"/>
  <c r="N13" i="23" s="1"/>
  <c r="D13" i="23"/>
  <c r="B13" i="23"/>
  <c r="T12" i="23"/>
  <c r="V24" i="23" s="1"/>
  <c r="P12" i="23"/>
  <c r="R21" i="23" s="1"/>
  <c r="H12" i="23"/>
  <c r="D12" i="23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D33" i="22"/>
  <c r="T29" i="22"/>
  <c r="Z29" i="22" s="1"/>
  <c r="P29" i="22"/>
  <c r="H29" i="22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P13" i="22"/>
  <c r="H13" i="22"/>
  <c r="D13" i="22"/>
  <c r="B13" i="22"/>
  <c r="T12" i="22"/>
  <c r="V16" i="22" s="1"/>
  <c r="P12" i="22"/>
  <c r="R27" i="22" s="1"/>
  <c r="H12" i="22"/>
  <c r="D12" i="22"/>
  <c r="F20" i="22" s="1"/>
  <c r="D5" i="22"/>
  <c r="D4" i="22"/>
  <c r="X99" i="21"/>
  <c r="Z99" i="21" s="1"/>
  <c r="L99" i="21"/>
  <c r="N99" i="21" s="1"/>
  <c r="Z95" i="21"/>
  <c r="X95" i="21"/>
  <c r="T95" i="21"/>
  <c r="P95" i="21"/>
  <c r="N95" i="21"/>
  <c r="L95" i="21"/>
  <c r="H95" i="21"/>
  <c r="D95" i="21"/>
  <c r="X93" i="21"/>
  <c r="Z93" i="21" s="1"/>
  <c r="L93" i="21"/>
  <c r="N93" i="21" s="1"/>
  <c r="B93" i="21"/>
  <c r="T92" i="21"/>
  <c r="P92" i="21"/>
  <c r="X92" i="21" s="1"/>
  <c r="Z92" i="21" s="1"/>
  <c r="H92" i="21"/>
  <c r="D92" i="21"/>
  <c r="L92" i="21" s="1"/>
  <c r="B92" i="21"/>
  <c r="Z91" i="21"/>
  <c r="X91" i="21"/>
  <c r="N91" i="21"/>
  <c r="L91" i="21"/>
  <c r="B91" i="21"/>
  <c r="T90" i="21"/>
  <c r="Z90" i="21" s="1"/>
  <c r="P90" i="21"/>
  <c r="X90" i="21" s="1"/>
  <c r="N90" i="21"/>
  <c r="H90" i="21"/>
  <c r="D90" i="21"/>
  <c r="L90" i="21" s="1"/>
  <c r="B90" i="21"/>
  <c r="X89" i="21"/>
  <c r="Z89" i="21" s="1"/>
  <c r="L89" i="21"/>
  <c r="N89" i="21" s="1"/>
  <c r="B89" i="21"/>
  <c r="T88" i="21"/>
  <c r="P88" i="21"/>
  <c r="X88" i="21" s="1"/>
  <c r="Z88" i="21" s="1"/>
  <c r="H88" i="21"/>
  <c r="L88" i="21" s="1"/>
  <c r="D88" i="21"/>
  <c r="B88" i="21"/>
  <c r="X87" i="21"/>
  <c r="Z87" i="21" s="1"/>
  <c r="N87" i="21"/>
  <c r="L87" i="21"/>
  <c r="B87" i="21"/>
  <c r="Z86" i="21"/>
  <c r="X86" i="21"/>
  <c r="N86" i="21"/>
  <c r="L86" i="21"/>
  <c r="B86" i="21"/>
  <c r="X85" i="21"/>
  <c r="Z85" i="21" s="1"/>
  <c r="N85" i="21"/>
  <c r="L85" i="21"/>
  <c r="B85" i="21"/>
  <c r="Z84" i="21"/>
  <c r="X84" i="21"/>
  <c r="N84" i="21"/>
  <c r="L84" i="21"/>
  <c r="B84" i="21"/>
  <c r="Z83" i="21"/>
  <c r="X83" i="21"/>
  <c r="N83" i="21"/>
  <c r="L83" i="21"/>
  <c r="B83" i="21"/>
  <c r="X82" i="21"/>
  <c r="Z82" i="21" s="1"/>
  <c r="N82" i="21"/>
  <c r="L82" i="21"/>
  <c r="B82" i="21"/>
  <c r="T81" i="21"/>
  <c r="P81" i="21"/>
  <c r="H81" i="21"/>
  <c r="N81" i="21" s="1"/>
  <c r="D81" i="21"/>
  <c r="B81" i="21"/>
  <c r="Z80" i="21"/>
  <c r="X80" i="21"/>
  <c r="N80" i="21"/>
  <c r="L80" i="21"/>
  <c r="B80" i="21"/>
  <c r="Z79" i="21"/>
  <c r="X79" i="21"/>
  <c r="N79" i="21"/>
  <c r="L79" i="21"/>
  <c r="B79" i="21"/>
  <c r="X78" i="21"/>
  <c r="Z78" i="21" s="1"/>
  <c r="N78" i="21"/>
  <c r="L78" i="21"/>
  <c r="B78" i="21"/>
  <c r="X77" i="21"/>
  <c r="Z77" i="21" s="1"/>
  <c r="L77" i="21"/>
  <c r="N77" i="21" s="1"/>
  <c r="B77" i="21"/>
  <c r="X76" i="21"/>
  <c r="Z76" i="21" s="1"/>
  <c r="T76" i="21"/>
  <c r="P76" i="21"/>
  <c r="H76" i="21"/>
  <c r="D76" i="21"/>
  <c r="L76" i="21" s="1"/>
  <c r="B76" i="21"/>
  <c r="Z75" i="21"/>
  <c r="X75" i="21"/>
  <c r="N75" i="21"/>
  <c r="L75" i="21"/>
  <c r="B75" i="21"/>
  <c r="T74" i="21"/>
  <c r="P74" i="21"/>
  <c r="X74" i="21" s="1"/>
  <c r="N74" i="21"/>
  <c r="H74" i="21"/>
  <c r="D74" i="21"/>
  <c r="L74" i="21" s="1"/>
  <c r="B74" i="21"/>
  <c r="X73" i="21"/>
  <c r="Z73" i="21" s="1"/>
  <c r="L73" i="21"/>
  <c r="N73" i="21" s="1"/>
  <c r="B73" i="21"/>
  <c r="Z72" i="21"/>
  <c r="X72" i="21"/>
  <c r="N72" i="21"/>
  <c r="L72" i="21"/>
  <c r="J72" i="21"/>
  <c r="B72" i="21"/>
  <c r="T71" i="21"/>
  <c r="P71" i="21"/>
  <c r="H71" i="21"/>
  <c r="D71" i="21"/>
  <c r="L71" i="21" s="1"/>
  <c r="N71" i="21" s="1"/>
  <c r="B71" i="21"/>
  <c r="X70" i="21"/>
  <c r="Z70" i="21" s="1"/>
  <c r="L70" i="21"/>
  <c r="N70" i="21" s="1"/>
  <c r="B70" i="21"/>
  <c r="X69" i="21"/>
  <c r="Z69" i="21" s="1"/>
  <c r="T69" i="21"/>
  <c r="P69" i="21"/>
  <c r="H69" i="21"/>
  <c r="L69" i="21" s="1"/>
  <c r="N69" i="21" s="1"/>
  <c r="D69" i="21"/>
  <c r="B69" i="21"/>
  <c r="X68" i="21"/>
  <c r="Z68" i="21" s="1"/>
  <c r="L68" i="21"/>
  <c r="N68" i="21" s="1"/>
  <c r="B68" i="21"/>
  <c r="T67" i="21"/>
  <c r="P67" i="21"/>
  <c r="H67" i="21"/>
  <c r="D67" i="21"/>
  <c r="L67" i="21" s="1"/>
  <c r="B67" i="21"/>
  <c r="X66" i="21"/>
  <c r="Z66" i="21" s="1"/>
  <c r="L66" i="21"/>
  <c r="N66" i="21" s="1"/>
  <c r="B66" i="21"/>
  <c r="T65" i="21"/>
  <c r="P65" i="21"/>
  <c r="X65" i="21" s="1"/>
  <c r="H65" i="21"/>
  <c r="D65" i="21"/>
  <c r="B65" i="21"/>
  <c r="Z64" i="21"/>
  <c r="X64" i="21"/>
  <c r="N64" i="21"/>
  <c r="L64" i="21"/>
  <c r="J64" i="21"/>
  <c r="B64" i="21"/>
  <c r="T63" i="21"/>
  <c r="P63" i="21"/>
  <c r="N63" i="21"/>
  <c r="H63" i="21"/>
  <c r="D63" i="21"/>
  <c r="L63" i="21" s="1"/>
  <c r="B63" i="21"/>
  <c r="Z62" i="21"/>
  <c r="X62" i="21"/>
  <c r="N62" i="21"/>
  <c r="L62" i="21"/>
  <c r="B62" i="21"/>
  <c r="X61" i="21"/>
  <c r="Z61" i="21" s="1"/>
  <c r="T61" i="21"/>
  <c r="P61" i="21"/>
  <c r="H61" i="21"/>
  <c r="D61" i="21"/>
  <c r="B61" i="21"/>
  <c r="Z60" i="21"/>
  <c r="X60" i="21"/>
  <c r="N60" i="21"/>
  <c r="L60" i="21"/>
  <c r="B60" i="21"/>
  <c r="T59" i="21"/>
  <c r="P59" i="21"/>
  <c r="N59" i="21"/>
  <c r="H59" i="21"/>
  <c r="D59" i="21"/>
  <c r="L59" i="21" s="1"/>
  <c r="B59" i="21"/>
  <c r="X58" i="21"/>
  <c r="Z58" i="21" s="1"/>
  <c r="N58" i="21"/>
  <c r="L58" i="21"/>
  <c r="B58" i="21"/>
  <c r="X57" i="21"/>
  <c r="Z57" i="21" s="1"/>
  <c r="L57" i="21"/>
  <c r="N57" i="21" s="1"/>
  <c r="B57" i="21"/>
  <c r="Z56" i="21"/>
  <c r="T56" i="21"/>
  <c r="P56" i="21"/>
  <c r="X56" i="21" s="1"/>
  <c r="L56" i="21"/>
  <c r="H56" i="21"/>
  <c r="N56" i="21" s="1"/>
  <c r="D56" i="21"/>
  <c r="B56" i="21"/>
  <c r="Z55" i="21"/>
  <c r="X55" i="21"/>
  <c r="L55" i="21"/>
  <c r="N55" i="21" s="1"/>
  <c r="B55" i="21"/>
  <c r="X54" i="21"/>
  <c r="T54" i="21"/>
  <c r="Z54" i="21" s="1"/>
  <c r="P54" i="21"/>
  <c r="H54" i="21"/>
  <c r="L54" i="21" s="1"/>
  <c r="N54" i="21" s="1"/>
  <c r="D54" i="21"/>
  <c r="B54" i="21"/>
  <c r="X53" i="21"/>
  <c r="Z53" i="21" s="1"/>
  <c r="N53" i="21"/>
  <c r="L53" i="21"/>
  <c r="B53" i="21"/>
  <c r="T52" i="21"/>
  <c r="X52" i="21" s="1"/>
  <c r="Z52" i="21" s="1"/>
  <c r="P52" i="21"/>
  <c r="H52" i="21"/>
  <c r="N52" i="21" s="1"/>
  <c r="D52" i="21"/>
  <c r="L52" i="21" s="1"/>
  <c r="B52" i="21"/>
  <c r="Z51" i="21"/>
  <c r="X51" i="21"/>
  <c r="N51" i="21"/>
  <c r="L51" i="21"/>
  <c r="B51" i="21"/>
  <c r="T50" i="21"/>
  <c r="Z50" i="21" s="1"/>
  <c r="P50" i="21"/>
  <c r="X50" i="21" s="1"/>
  <c r="N50" i="21"/>
  <c r="H50" i="21"/>
  <c r="D50" i="21"/>
  <c r="L50" i="21" s="1"/>
  <c r="B50" i="21"/>
  <c r="Z49" i="21"/>
  <c r="X49" i="21"/>
  <c r="N49" i="21"/>
  <c r="L49" i="21"/>
  <c r="B49" i="21"/>
  <c r="Z48" i="21"/>
  <c r="X48" i="21"/>
  <c r="N48" i="21"/>
  <c r="L48" i="21"/>
  <c r="B48" i="21"/>
  <c r="Z47" i="21"/>
  <c r="X47" i="21"/>
  <c r="N47" i="21"/>
  <c r="L47" i="21"/>
  <c r="B47" i="21"/>
  <c r="Z46" i="21"/>
  <c r="X46" i="21"/>
  <c r="N46" i="21"/>
  <c r="L46" i="21"/>
  <c r="B46" i="21"/>
  <c r="Z45" i="21"/>
  <c r="X45" i="21"/>
  <c r="N45" i="21"/>
  <c r="L45" i="21"/>
  <c r="B45" i="21"/>
  <c r="Z44" i="21"/>
  <c r="X44" i="21"/>
  <c r="N44" i="21"/>
  <c r="L44" i="21"/>
  <c r="B44" i="21"/>
  <c r="T43" i="21"/>
  <c r="P43" i="21"/>
  <c r="N43" i="21"/>
  <c r="L43" i="21"/>
  <c r="H43" i="21"/>
  <c r="D43" i="21"/>
  <c r="B43" i="21"/>
  <c r="Z42" i="21"/>
  <c r="X42" i="21"/>
  <c r="N42" i="21"/>
  <c r="L42" i="21"/>
  <c r="J42" i="21"/>
  <c r="B42" i="21"/>
  <c r="X41" i="21"/>
  <c r="Z41" i="21" s="1"/>
  <c r="N41" i="21"/>
  <c r="L41" i="21"/>
  <c r="B41" i="21"/>
  <c r="Z40" i="21"/>
  <c r="X40" i="21"/>
  <c r="N40" i="21"/>
  <c r="L40" i="21"/>
  <c r="B40" i="21"/>
  <c r="Z39" i="21"/>
  <c r="X39" i="21"/>
  <c r="N39" i="21"/>
  <c r="L39" i="21"/>
  <c r="B39" i="21"/>
  <c r="X38" i="21"/>
  <c r="Z38" i="21" s="1"/>
  <c r="N38" i="21"/>
  <c r="L38" i="21"/>
  <c r="B38" i="21"/>
  <c r="X37" i="21"/>
  <c r="Z37" i="21" s="1"/>
  <c r="N37" i="21"/>
  <c r="L37" i="21"/>
  <c r="B37" i="21"/>
  <c r="Z36" i="21"/>
  <c r="X36" i="21"/>
  <c r="N36" i="21"/>
  <c r="L36" i="21"/>
  <c r="B36" i="21"/>
  <c r="X35" i="21"/>
  <c r="Z35" i="21" s="1"/>
  <c r="N35" i="21"/>
  <c r="L35" i="21"/>
  <c r="B35" i="21"/>
  <c r="Z34" i="21"/>
  <c r="X34" i="21"/>
  <c r="N34" i="21"/>
  <c r="L34" i="21"/>
  <c r="B34" i="21"/>
  <c r="T33" i="21"/>
  <c r="P33" i="21"/>
  <c r="X33" i="21" s="1"/>
  <c r="Z33" i="21" s="1"/>
  <c r="H33" i="21"/>
  <c r="D33" i="21"/>
  <c r="B33" i="21"/>
  <c r="Z32" i="21"/>
  <c r="T32" i="21" a="1"/>
  <c r="T32" i="21"/>
  <c r="P32" i="21" a="1"/>
  <c r="P32" i="21"/>
  <c r="X32" i="21" s="1"/>
  <c r="H32" i="21" a="1"/>
  <c r="H32" i="21"/>
  <c r="N32" i="21" s="1"/>
  <c r="D32" i="21" a="1"/>
  <c r="D32" i="21"/>
  <c r="L32" i="21" s="1"/>
  <c r="Z28" i="21"/>
  <c r="X28" i="21"/>
  <c r="N28" i="21"/>
  <c r="L28" i="21"/>
  <c r="B28" i="21"/>
  <c r="Z27" i="21"/>
  <c r="X27" i="21"/>
  <c r="L27" i="21"/>
  <c r="N27" i="21" s="1"/>
  <c r="B27" i="21"/>
  <c r="Z26" i="21"/>
  <c r="X26" i="21"/>
  <c r="N26" i="21"/>
  <c r="L26" i="21"/>
  <c r="B26" i="21"/>
  <c r="T25" i="21"/>
  <c r="P25" i="21"/>
  <c r="X25" i="21" s="1"/>
  <c r="Z25" i="21" s="1"/>
  <c r="H25" i="21"/>
  <c r="D25" i="21"/>
  <c r="L25" i="21" s="1"/>
  <c r="X23" i="21"/>
  <c r="Z23" i="21" s="1"/>
  <c r="T23" i="21"/>
  <c r="P23" i="21"/>
  <c r="L23" i="21"/>
  <c r="N23" i="21" s="1"/>
  <c r="H23" i="21"/>
  <c r="D23" i="21"/>
  <c r="B23" i="21"/>
  <c r="Z22" i="21"/>
  <c r="T22" i="21"/>
  <c r="P22" i="21"/>
  <c r="X22" i="21" s="1"/>
  <c r="N22" i="21"/>
  <c r="H22" i="21"/>
  <c r="D22" i="21"/>
  <c r="L22" i="21" s="1"/>
  <c r="B22" i="21"/>
  <c r="T21" i="21"/>
  <c r="Z21" i="21" s="1"/>
  <c r="P21" i="21"/>
  <c r="X21" i="21" s="1"/>
  <c r="H21" i="21"/>
  <c r="N21" i="21" s="1"/>
  <c r="D21" i="21"/>
  <c r="L21" i="21" s="1"/>
  <c r="B21" i="21"/>
  <c r="T20" i="21"/>
  <c r="P20" i="21"/>
  <c r="H20" i="21"/>
  <c r="H12" i="21" s="1"/>
  <c r="J56" i="21" s="1"/>
  <c r="D20" i="21"/>
  <c r="B20" i="21"/>
  <c r="X19" i="21"/>
  <c r="Z19" i="21" s="1"/>
  <c r="T19" i="21"/>
  <c r="P19" i="21"/>
  <c r="N19" i="21"/>
  <c r="L19" i="21"/>
  <c r="H19" i="21"/>
  <c r="D19" i="21"/>
  <c r="B19" i="21"/>
  <c r="Z18" i="21"/>
  <c r="T18" i="21"/>
  <c r="P18" i="21"/>
  <c r="X18" i="21" s="1"/>
  <c r="N18" i="21"/>
  <c r="H18" i="21"/>
  <c r="D18" i="21"/>
  <c r="L18" i="21" s="1"/>
  <c r="B18" i="21"/>
  <c r="T17" i="21"/>
  <c r="Z17" i="21" s="1"/>
  <c r="P17" i="21"/>
  <c r="X17" i="21" s="1"/>
  <c r="H17" i="21"/>
  <c r="N17" i="21" s="1"/>
  <c r="D17" i="21"/>
  <c r="L17" i="21" s="1"/>
  <c r="B17" i="21"/>
  <c r="T16" i="21"/>
  <c r="P16" i="21"/>
  <c r="H16" i="21"/>
  <c r="D16" i="21"/>
  <c r="B16" i="21"/>
  <c r="Z15" i="21"/>
  <c r="X15" i="21"/>
  <c r="T15" i="21"/>
  <c r="P15" i="21"/>
  <c r="N15" i="21"/>
  <c r="L15" i="21"/>
  <c r="H15" i="21"/>
  <c r="D15" i="21"/>
  <c r="B15" i="21"/>
  <c r="T14" i="21"/>
  <c r="P14" i="21"/>
  <c r="X14" i="21" s="1"/>
  <c r="Z14" i="21" s="1"/>
  <c r="N14" i="21"/>
  <c r="H14" i="21"/>
  <c r="D14" i="21"/>
  <c r="L14" i="21" s="1"/>
  <c r="B14" i="21"/>
  <c r="T13" i="21"/>
  <c r="Z13" i="21" s="1"/>
  <c r="P13" i="21"/>
  <c r="H13" i="21"/>
  <c r="N13" i="21" s="1"/>
  <c r="D13" i="21"/>
  <c r="B13" i="21"/>
  <c r="D4" i="21"/>
  <c r="B39" i="20"/>
  <c r="B38" i="20"/>
  <c r="T34" i="20"/>
  <c r="Z34" i="20" s="1"/>
  <c r="P34" i="20"/>
  <c r="H34" i="20"/>
  <c r="N34" i="20" s="1"/>
  <c r="D34" i="20"/>
  <c r="T33" i="20"/>
  <c r="P33" i="20"/>
  <c r="H33" i="20"/>
  <c r="N33" i="20" s="1"/>
  <c r="D33" i="20"/>
  <c r="T29" i="20"/>
  <c r="P29" i="20"/>
  <c r="H29" i="20"/>
  <c r="N29" i="20" s="1"/>
  <c r="D29" i="20"/>
  <c r="T25" i="20"/>
  <c r="P25" i="20"/>
  <c r="H25" i="20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P12" i="20"/>
  <c r="H12" i="20"/>
  <c r="D12" i="20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P13" i="19"/>
  <c r="H13" i="19"/>
  <c r="D13" i="19"/>
  <c r="B13" i="19"/>
  <c r="T12" i="19"/>
  <c r="V24" i="19" s="1"/>
  <c r="P12" i="19"/>
  <c r="R36" i="19" s="1"/>
  <c r="H12" i="19"/>
  <c r="D12" i="19"/>
  <c r="F24" i="19" s="1"/>
  <c r="D5" i="19"/>
  <c r="D4" i="19"/>
  <c r="X253" i="18"/>
  <c r="Z253" i="18" s="1"/>
  <c r="N253" i="18"/>
  <c r="L253" i="18"/>
  <c r="T249" i="18"/>
  <c r="P249" i="18"/>
  <c r="X249" i="18" s="1"/>
  <c r="L249" i="18"/>
  <c r="N249" i="18" s="1"/>
  <c r="H249" i="18"/>
  <c r="D249" i="18"/>
  <c r="B249" i="18"/>
  <c r="T248" i="18"/>
  <c r="P248" i="18"/>
  <c r="X248" i="18" s="1"/>
  <c r="N248" i="18"/>
  <c r="H248" i="18"/>
  <c r="D248" i="18"/>
  <c r="L248" i="18" s="1"/>
  <c r="B248" i="18"/>
  <c r="X247" i="18"/>
  <c r="Z247" i="18" s="1"/>
  <c r="T247" i="18"/>
  <c r="P247" i="18"/>
  <c r="H247" i="18"/>
  <c r="N247" i="18" s="1"/>
  <c r="D247" i="18"/>
  <c r="L247" i="18" s="1"/>
  <c r="B247" i="18"/>
  <c r="T246" i="18"/>
  <c r="X246" i="18" s="1"/>
  <c r="Z246" i="18" s="1"/>
  <c r="P246" i="18"/>
  <c r="H246" i="18"/>
  <c r="D246" i="18"/>
  <c r="L246" i="18" s="1"/>
  <c r="B246" i="18"/>
  <c r="T245" i="18"/>
  <c r="P245" i="18"/>
  <c r="N245" i="18"/>
  <c r="H245" i="18"/>
  <c r="D245" i="18"/>
  <c r="D242" i="18" s="1"/>
  <c r="B245" i="18"/>
  <c r="X244" i="18"/>
  <c r="T244" i="18"/>
  <c r="Z244" i="18" s="1"/>
  <c r="P244" i="18"/>
  <c r="H244" i="18"/>
  <c r="L244" i="18" s="1"/>
  <c r="N244" i="18" s="1"/>
  <c r="D244" i="18"/>
  <c r="B244" i="18"/>
  <c r="T243" i="18"/>
  <c r="P243" i="18"/>
  <c r="H243" i="18"/>
  <c r="D243" i="18"/>
  <c r="B243" i="18"/>
  <c r="Z240" i="18"/>
  <c r="X240" i="18"/>
  <c r="N240" i="18"/>
  <c r="L240" i="18"/>
  <c r="B240" i="18"/>
  <c r="T239" i="18"/>
  <c r="P239" i="18"/>
  <c r="H239" i="18"/>
  <c r="D239" i="18"/>
  <c r="L239" i="18" s="1"/>
  <c r="N239" i="18" s="1"/>
  <c r="B239" i="18"/>
  <c r="X238" i="18"/>
  <c r="Z238" i="18" s="1"/>
  <c r="N238" i="18"/>
  <c r="L238" i="18"/>
  <c r="B238" i="18"/>
  <c r="X237" i="18"/>
  <c r="Z237" i="18" s="1"/>
  <c r="N237" i="18"/>
  <c r="L237" i="18"/>
  <c r="B237" i="18"/>
  <c r="Z236" i="18"/>
  <c r="X236" i="18"/>
  <c r="N236" i="18"/>
  <c r="L236" i="18"/>
  <c r="B236" i="18"/>
  <c r="T235" i="18"/>
  <c r="P235" i="18"/>
  <c r="X235" i="18" s="1"/>
  <c r="N235" i="18"/>
  <c r="L235" i="18"/>
  <c r="H235" i="18"/>
  <c r="D235" i="18"/>
  <c r="B235" i="18"/>
  <c r="X234" i="18"/>
  <c r="Z234" i="18" s="1"/>
  <c r="N234" i="18"/>
  <c r="L234" i="18"/>
  <c r="B234" i="18"/>
  <c r="T233" i="18"/>
  <c r="P233" i="18"/>
  <c r="X233" i="18" s="1"/>
  <c r="Z233" i="18" s="1"/>
  <c r="H233" i="18"/>
  <c r="D233" i="18"/>
  <c r="B233" i="18"/>
  <c r="Z232" i="18"/>
  <c r="X232" i="18"/>
  <c r="N232" i="18"/>
  <c r="L232" i="18"/>
  <c r="B232" i="18"/>
  <c r="X231" i="18"/>
  <c r="Z231" i="18" s="1"/>
  <c r="N231" i="18"/>
  <c r="L231" i="18"/>
  <c r="B231" i="18"/>
  <c r="T230" i="18"/>
  <c r="Z230" i="18" s="1"/>
  <c r="P230" i="18"/>
  <c r="X230" i="18" s="1"/>
  <c r="H230" i="18"/>
  <c r="D230" i="18"/>
  <c r="L230" i="18" s="1"/>
  <c r="N230" i="18" s="1"/>
  <c r="B230" i="18"/>
  <c r="X229" i="18"/>
  <c r="Z229" i="18" s="1"/>
  <c r="L229" i="18"/>
  <c r="N229" i="18" s="1"/>
  <c r="B229" i="18"/>
  <c r="Z228" i="18"/>
  <c r="X228" i="18"/>
  <c r="N228" i="18"/>
  <c r="L228" i="18"/>
  <c r="B228" i="18"/>
  <c r="X227" i="18"/>
  <c r="Z227" i="18" s="1"/>
  <c r="N227" i="18"/>
  <c r="L227" i="18"/>
  <c r="B227" i="18"/>
  <c r="X226" i="18"/>
  <c r="Z226" i="18" s="1"/>
  <c r="L226" i="18"/>
  <c r="N226" i="18" s="1"/>
  <c r="B226" i="18"/>
  <c r="X225" i="18"/>
  <c r="Z225" i="18" s="1"/>
  <c r="L225" i="18"/>
  <c r="N225" i="18" s="1"/>
  <c r="B225" i="18"/>
  <c r="Z224" i="18"/>
  <c r="X224" i="18"/>
  <c r="N224" i="18"/>
  <c r="L224" i="18"/>
  <c r="B224" i="18"/>
  <c r="Z223" i="18"/>
  <c r="X223" i="18"/>
  <c r="N223" i="18"/>
  <c r="L223" i="18"/>
  <c r="B223" i="18"/>
  <c r="X222" i="18"/>
  <c r="T222" i="18"/>
  <c r="Z222" i="18" s="1"/>
  <c r="P222" i="18"/>
  <c r="N222" i="18"/>
  <c r="H222" i="18"/>
  <c r="L222" i="18" s="1"/>
  <c r="D222" i="18"/>
  <c r="B222" i="18"/>
  <c r="X221" i="18"/>
  <c r="Z221" i="18" s="1"/>
  <c r="N221" i="18"/>
  <c r="L221" i="18"/>
  <c r="B221" i="18"/>
  <c r="Z220" i="18"/>
  <c r="X220" i="18"/>
  <c r="N220" i="18"/>
  <c r="L220" i="18"/>
  <c r="B220" i="18"/>
  <c r="T219" i="18"/>
  <c r="P219" i="18"/>
  <c r="X219" i="18" s="1"/>
  <c r="L219" i="18"/>
  <c r="N219" i="18" s="1"/>
  <c r="H219" i="18"/>
  <c r="D219" i="18"/>
  <c r="B219" i="18"/>
  <c r="X218" i="18"/>
  <c r="Z218" i="18" s="1"/>
  <c r="L218" i="18"/>
  <c r="N218" i="18" s="1"/>
  <c r="B218" i="18"/>
  <c r="X217" i="18"/>
  <c r="Z217" i="18" s="1"/>
  <c r="L217" i="18"/>
  <c r="N217" i="18" s="1"/>
  <c r="B217" i="18"/>
  <c r="Z216" i="18"/>
  <c r="X216" i="18"/>
  <c r="N216" i="18"/>
  <c r="L216" i="18"/>
  <c r="B216" i="18"/>
  <c r="Z215" i="18"/>
  <c r="X215" i="18"/>
  <c r="L215" i="18"/>
  <c r="N215" i="18" s="1"/>
  <c r="B215" i="18"/>
  <c r="X214" i="18"/>
  <c r="T214" i="18"/>
  <c r="Z214" i="18" s="1"/>
  <c r="P214" i="18"/>
  <c r="N214" i="18"/>
  <c r="H214" i="18"/>
  <c r="L214" i="18" s="1"/>
  <c r="D214" i="18"/>
  <c r="B214" i="18"/>
  <c r="X213" i="18"/>
  <c r="Z213" i="18" s="1"/>
  <c r="L213" i="18"/>
  <c r="N213" i="18" s="1"/>
  <c r="B213" i="18"/>
  <c r="Z212" i="18"/>
  <c r="X212" i="18"/>
  <c r="N212" i="18"/>
  <c r="L212" i="18"/>
  <c r="B212" i="18"/>
  <c r="Z211" i="18"/>
  <c r="X211" i="18"/>
  <c r="N211" i="18"/>
  <c r="L211" i="18"/>
  <c r="B211" i="18"/>
  <c r="X210" i="18"/>
  <c r="T210" i="18"/>
  <c r="Z210" i="18" s="1"/>
  <c r="P210" i="18"/>
  <c r="N210" i="18"/>
  <c r="H210" i="18"/>
  <c r="L210" i="18" s="1"/>
  <c r="D210" i="18"/>
  <c r="B210" i="18"/>
  <c r="X209" i="18"/>
  <c r="Z209" i="18" s="1"/>
  <c r="L209" i="18"/>
  <c r="N209" i="18" s="1"/>
  <c r="B209" i="18"/>
  <c r="Z208" i="18"/>
  <c r="X208" i="18"/>
  <c r="N208" i="18"/>
  <c r="L208" i="18"/>
  <c r="B208" i="18"/>
  <c r="Z207" i="18"/>
  <c r="X207" i="18"/>
  <c r="N207" i="18"/>
  <c r="L207" i="18"/>
  <c r="B207" i="18"/>
  <c r="X206" i="18"/>
  <c r="Z206" i="18" s="1"/>
  <c r="N206" i="18"/>
  <c r="L206" i="18"/>
  <c r="B206" i="18"/>
  <c r="T205" i="18"/>
  <c r="P205" i="18"/>
  <c r="X205" i="18" s="1"/>
  <c r="Z205" i="18" s="1"/>
  <c r="H205" i="18"/>
  <c r="D205" i="18"/>
  <c r="B205" i="18"/>
  <c r="Z204" i="18"/>
  <c r="X204" i="18"/>
  <c r="N204" i="18"/>
  <c r="L204" i="18"/>
  <c r="B204" i="18"/>
  <c r="T203" i="18"/>
  <c r="P203" i="18"/>
  <c r="L203" i="18"/>
  <c r="N203" i="18" s="1"/>
  <c r="H203" i="18"/>
  <c r="D203" i="18"/>
  <c r="B203" i="18"/>
  <c r="Z202" i="18"/>
  <c r="X202" i="18"/>
  <c r="N202" i="18"/>
  <c r="L202" i="18"/>
  <c r="B202" i="18"/>
  <c r="Z201" i="18"/>
  <c r="T201" i="18"/>
  <c r="P201" i="18"/>
  <c r="X201" i="18" s="1"/>
  <c r="H201" i="18"/>
  <c r="D201" i="18"/>
  <c r="B201" i="18"/>
  <c r="Z200" i="18"/>
  <c r="X200" i="18"/>
  <c r="N200" i="18"/>
  <c r="L200" i="18"/>
  <c r="B200" i="18"/>
  <c r="X199" i="18"/>
  <c r="Z199" i="18" s="1"/>
  <c r="N199" i="18"/>
  <c r="L199" i="18"/>
  <c r="B199" i="18"/>
  <c r="T198" i="18"/>
  <c r="P198" i="18"/>
  <c r="X198" i="18" s="1"/>
  <c r="Z198" i="18" s="1"/>
  <c r="N198" i="18"/>
  <c r="H198" i="18"/>
  <c r="D198" i="18"/>
  <c r="L198" i="18" s="1"/>
  <c r="B198" i="18"/>
  <c r="X197" i="18"/>
  <c r="Z197" i="18" s="1"/>
  <c r="L197" i="18"/>
  <c r="N197" i="18" s="1"/>
  <c r="B197" i="18"/>
  <c r="Z196" i="18"/>
  <c r="T196" i="18"/>
  <c r="P196" i="18"/>
  <c r="X196" i="18" s="1"/>
  <c r="L196" i="18"/>
  <c r="H196" i="18"/>
  <c r="N196" i="18" s="1"/>
  <c r="D196" i="18"/>
  <c r="B196" i="18"/>
  <c r="Z195" i="18"/>
  <c r="X195" i="18"/>
  <c r="L195" i="18"/>
  <c r="N195" i="18" s="1"/>
  <c r="B195" i="18"/>
  <c r="X194" i="18"/>
  <c r="T194" i="18"/>
  <c r="Z194" i="18" s="1"/>
  <c r="P194" i="18"/>
  <c r="N194" i="18"/>
  <c r="H194" i="18"/>
  <c r="L194" i="18" s="1"/>
  <c r="D194" i="18"/>
  <c r="B194" i="18"/>
  <c r="X193" i="18"/>
  <c r="Z193" i="18" s="1"/>
  <c r="L193" i="18"/>
  <c r="N193" i="18" s="1"/>
  <c r="B193" i="18"/>
  <c r="Z192" i="18"/>
  <c r="X192" i="18"/>
  <c r="N192" i="18"/>
  <c r="L192" i="18"/>
  <c r="B192" i="18"/>
  <c r="T191" i="18"/>
  <c r="P191" i="18"/>
  <c r="X191" i="18" s="1"/>
  <c r="H191" i="18"/>
  <c r="D191" i="18"/>
  <c r="L191" i="18" s="1"/>
  <c r="N191" i="18" s="1"/>
  <c r="B191" i="18"/>
  <c r="X190" i="18"/>
  <c r="Z190" i="18" s="1"/>
  <c r="L190" i="18"/>
  <c r="N190" i="18" s="1"/>
  <c r="B190" i="18"/>
  <c r="T189" i="18"/>
  <c r="P189" i="18"/>
  <c r="X189" i="18" s="1"/>
  <c r="Z189" i="18" s="1"/>
  <c r="H189" i="18"/>
  <c r="D189" i="18"/>
  <c r="B189" i="18"/>
  <c r="Z188" i="18"/>
  <c r="X188" i="18"/>
  <c r="N188" i="18"/>
  <c r="L188" i="18"/>
  <c r="B188" i="18"/>
  <c r="T187" i="18"/>
  <c r="P187" i="18"/>
  <c r="N187" i="18"/>
  <c r="L187" i="18"/>
  <c r="H187" i="18"/>
  <c r="D187" i="18"/>
  <c r="B187" i="18"/>
  <c r="X186" i="18"/>
  <c r="Z186" i="18" s="1"/>
  <c r="N186" i="18"/>
  <c r="L186" i="18"/>
  <c r="B186" i="18"/>
  <c r="T185" i="18"/>
  <c r="P185" i="18"/>
  <c r="X185" i="18" s="1"/>
  <c r="Z185" i="18" s="1"/>
  <c r="H185" i="18"/>
  <c r="N185" i="18" s="1"/>
  <c r="D185" i="18"/>
  <c r="B185" i="18"/>
  <c r="Z184" i="18"/>
  <c r="X184" i="18"/>
  <c r="N184" i="18"/>
  <c r="L184" i="18"/>
  <c r="B184" i="18"/>
  <c r="Z183" i="18"/>
  <c r="X183" i="18"/>
  <c r="N183" i="18"/>
  <c r="L183" i="18"/>
  <c r="B183" i="18"/>
  <c r="T182" i="18"/>
  <c r="Z182" i="18" s="1"/>
  <c r="P182" i="18"/>
  <c r="X182" i="18" s="1"/>
  <c r="N182" i="18"/>
  <c r="H182" i="18"/>
  <c r="L182" i="18" s="1"/>
  <c r="D182" i="18"/>
  <c r="B182" i="18"/>
  <c r="X181" i="18"/>
  <c r="Z181" i="18" s="1"/>
  <c r="L181" i="18"/>
  <c r="N181" i="18" s="1"/>
  <c r="B181" i="18"/>
  <c r="Z180" i="18"/>
  <c r="X180" i="18"/>
  <c r="N180" i="18"/>
  <c r="L180" i="18"/>
  <c r="B180" i="18"/>
  <c r="T179" i="18"/>
  <c r="P179" i="18"/>
  <c r="H179" i="18"/>
  <c r="D179" i="18"/>
  <c r="L179" i="18" s="1"/>
  <c r="N179" i="18" s="1"/>
  <c r="B179" i="18"/>
  <c r="X178" i="18"/>
  <c r="Z178" i="18" s="1"/>
  <c r="L178" i="18"/>
  <c r="N178" i="18" s="1"/>
  <c r="B178" i="18"/>
  <c r="X177" i="18"/>
  <c r="Z177" i="18" s="1"/>
  <c r="T177" i="18"/>
  <c r="P177" i="18"/>
  <c r="H177" i="18"/>
  <c r="D177" i="18"/>
  <c r="B177" i="18"/>
  <c r="Z176" i="18"/>
  <c r="X176" i="18"/>
  <c r="N176" i="18"/>
  <c r="L176" i="18"/>
  <c r="B176" i="18"/>
  <c r="X175" i="18"/>
  <c r="Z175" i="18" s="1"/>
  <c r="N175" i="18"/>
  <c r="L175" i="18"/>
  <c r="B175" i="18"/>
  <c r="X174" i="18"/>
  <c r="Z174" i="18" s="1"/>
  <c r="T174" i="18"/>
  <c r="P174" i="18"/>
  <c r="N174" i="18"/>
  <c r="H174" i="18"/>
  <c r="D174" i="18"/>
  <c r="L174" i="18" s="1"/>
  <c r="B174" i="18"/>
  <c r="X173" i="18"/>
  <c r="Z173" i="18" s="1"/>
  <c r="L173" i="18"/>
  <c r="N173" i="18" s="1"/>
  <c r="B173" i="18"/>
  <c r="Z172" i="18"/>
  <c r="T172" i="18"/>
  <c r="P172" i="18"/>
  <c r="X172" i="18" s="1"/>
  <c r="H172" i="18"/>
  <c r="D172" i="18"/>
  <c r="L172" i="18" s="1"/>
  <c r="B172" i="18"/>
  <c r="Z171" i="18"/>
  <c r="X171" i="18"/>
  <c r="L171" i="18"/>
  <c r="N171" i="18" s="1"/>
  <c r="B171" i="18"/>
  <c r="X170" i="18"/>
  <c r="Z170" i="18" s="1"/>
  <c r="L170" i="18"/>
  <c r="N170" i="18" s="1"/>
  <c r="B170" i="18"/>
  <c r="X169" i="18"/>
  <c r="Z169" i="18" s="1"/>
  <c r="L169" i="18"/>
  <c r="N169" i="18" s="1"/>
  <c r="B169" i="18"/>
  <c r="Z168" i="18"/>
  <c r="X168" i="18"/>
  <c r="N168" i="18"/>
  <c r="L168" i="18"/>
  <c r="B168" i="18"/>
  <c r="X167" i="18"/>
  <c r="Z167" i="18" s="1"/>
  <c r="N167" i="18"/>
  <c r="L167" i="18"/>
  <c r="B167" i="18"/>
  <c r="X166" i="18"/>
  <c r="Z166" i="18" s="1"/>
  <c r="L166" i="18"/>
  <c r="N166" i="18" s="1"/>
  <c r="B166" i="18"/>
  <c r="X165" i="18"/>
  <c r="Z165" i="18" s="1"/>
  <c r="L165" i="18"/>
  <c r="N165" i="18" s="1"/>
  <c r="B165" i="18"/>
  <c r="Z164" i="18"/>
  <c r="T164" i="18"/>
  <c r="X164" i="18" s="1"/>
  <c r="P164" i="18"/>
  <c r="H164" i="18"/>
  <c r="D164" i="18"/>
  <c r="L164" i="18" s="1"/>
  <c r="N164" i="18" s="1"/>
  <c r="B164" i="18"/>
  <c r="X163" i="18"/>
  <c r="Z163" i="18" s="1"/>
  <c r="N163" i="18"/>
  <c r="L163" i="18"/>
  <c r="B163" i="18"/>
  <c r="X162" i="18"/>
  <c r="Z162" i="18" s="1"/>
  <c r="L162" i="18"/>
  <c r="N162" i="18" s="1"/>
  <c r="B162" i="18"/>
  <c r="X161" i="18"/>
  <c r="Z161" i="18" s="1"/>
  <c r="L161" i="18"/>
  <c r="N161" i="18" s="1"/>
  <c r="B161" i="18"/>
  <c r="Z160" i="18"/>
  <c r="X160" i="18"/>
  <c r="N160" i="18"/>
  <c r="L160" i="18"/>
  <c r="B160" i="18"/>
  <c r="Z159" i="18"/>
  <c r="X159" i="18"/>
  <c r="N159" i="18"/>
  <c r="L159" i="18"/>
  <c r="B159" i="18"/>
  <c r="X158" i="18"/>
  <c r="Z158" i="18" s="1"/>
  <c r="L158" i="18"/>
  <c r="N158" i="18" s="1"/>
  <c r="B158" i="18"/>
  <c r="X157" i="18"/>
  <c r="Z157" i="18" s="1"/>
  <c r="L157" i="18"/>
  <c r="N157" i="18" s="1"/>
  <c r="B157" i="18"/>
  <c r="Z156" i="18"/>
  <c r="X156" i="18"/>
  <c r="N156" i="18"/>
  <c r="L156" i="18"/>
  <c r="B156" i="18"/>
  <c r="X155" i="18"/>
  <c r="Z155" i="18" s="1"/>
  <c r="N155" i="18"/>
  <c r="L155" i="18"/>
  <c r="B155" i="18"/>
  <c r="X154" i="18"/>
  <c r="Z154" i="18" s="1"/>
  <c r="L154" i="18"/>
  <c r="N154" i="18" s="1"/>
  <c r="B154" i="18"/>
  <c r="X153" i="18"/>
  <c r="Z153" i="18" s="1"/>
  <c r="T153" i="18"/>
  <c r="P153" i="18"/>
  <c r="H153" i="18"/>
  <c r="D153" i="18"/>
  <c r="B153" i="18"/>
  <c r="T152" i="18" a="1"/>
  <c r="T152" i="18"/>
  <c r="P152" i="18" a="1"/>
  <c r="P152" i="18"/>
  <c r="H152" i="18" a="1"/>
  <c r="H152" i="18"/>
  <c r="D152" i="18" a="1"/>
  <c r="D152" i="18"/>
  <c r="Z148" i="18"/>
  <c r="X148" i="18"/>
  <c r="N148" i="18"/>
  <c r="L148" i="18"/>
  <c r="B148" i="18"/>
  <c r="Z147" i="18"/>
  <c r="X147" i="18"/>
  <c r="N147" i="18"/>
  <c r="L147" i="18"/>
  <c r="B147" i="18"/>
  <c r="X146" i="18"/>
  <c r="Z146" i="18" s="1"/>
  <c r="N146" i="18"/>
  <c r="L146" i="18"/>
  <c r="B146" i="18"/>
  <c r="X145" i="18"/>
  <c r="Z145" i="18" s="1"/>
  <c r="N145" i="18"/>
  <c r="L145" i="18"/>
  <c r="B145" i="18"/>
  <c r="Z144" i="18"/>
  <c r="X144" i="18"/>
  <c r="N144" i="18"/>
  <c r="L144" i="18"/>
  <c r="B144" i="18"/>
  <c r="X143" i="18"/>
  <c r="Z143" i="18" s="1"/>
  <c r="N143" i="18"/>
  <c r="L143" i="18"/>
  <c r="B143" i="18"/>
  <c r="X142" i="18"/>
  <c r="Z142" i="18" s="1"/>
  <c r="L142" i="18"/>
  <c r="N142" i="18" s="1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N139" i="18"/>
  <c r="L139" i="18"/>
  <c r="B139" i="18"/>
  <c r="X138" i="18"/>
  <c r="Z138" i="18" s="1"/>
  <c r="L138" i="18"/>
  <c r="N138" i="18" s="1"/>
  <c r="B138" i="18"/>
  <c r="X137" i="18"/>
  <c r="Z137" i="18" s="1"/>
  <c r="L137" i="18"/>
  <c r="N137" i="18" s="1"/>
  <c r="B137" i="18"/>
  <c r="Z136" i="18"/>
  <c r="X136" i="18"/>
  <c r="N136" i="18"/>
  <c r="L136" i="18"/>
  <c r="B136" i="18"/>
  <c r="X135" i="18"/>
  <c r="Z135" i="18" s="1"/>
  <c r="N135" i="18"/>
  <c r="L135" i="18"/>
  <c r="B135" i="18"/>
  <c r="Z134" i="18"/>
  <c r="X134" i="18"/>
  <c r="N134" i="18"/>
  <c r="L134" i="18"/>
  <c r="B134" i="18"/>
  <c r="X133" i="18"/>
  <c r="Z133" i="18" s="1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B131" i="18"/>
  <c r="X130" i="18"/>
  <c r="Z130" i="18" s="1"/>
  <c r="N130" i="18"/>
  <c r="L130" i="18"/>
  <c r="B130" i="18"/>
  <c r="X129" i="18"/>
  <c r="Z129" i="18" s="1"/>
  <c r="L129" i="18"/>
  <c r="N129" i="18" s="1"/>
  <c r="B129" i="18"/>
  <c r="Z128" i="18"/>
  <c r="X128" i="18"/>
  <c r="N128" i="18"/>
  <c r="L128" i="18"/>
  <c r="B128" i="18"/>
  <c r="Z127" i="18"/>
  <c r="X127" i="18"/>
  <c r="N127" i="18"/>
  <c r="L127" i="18"/>
  <c r="B127" i="18"/>
  <c r="X126" i="18"/>
  <c r="Z126" i="18" s="1"/>
  <c r="L126" i="18"/>
  <c r="N126" i="18" s="1"/>
  <c r="B126" i="18"/>
  <c r="X125" i="18"/>
  <c r="Z125" i="18" s="1"/>
  <c r="L125" i="18"/>
  <c r="N125" i="18" s="1"/>
  <c r="B125" i="18"/>
  <c r="Z124" i="18"/>
  <c r="X124" i="18"/>
  <c r="N124" i="18"/>
  <c r="L124" i="18"/>
  <c r="B124" i="18"/>
  <c r="Z123" i="18"/>
  <c r="X123" i="18"/>
  <c r="L123" i="18"/>
  <c r="N123" i="18" s="1"/>
  <c r="B123" i="18"/>
  <c r="X122" i="18"/>
  <c r="Z122" i="18" s="1"/>
  <c r="L122" i="18"/>
  <c r="N122" i="18" s="1"/>
  <c r="B122" i="18"/>
  <c r="X121" i="18"/>
  <c r="Z121" i="18" s="1"/>
  <c r="L121" i="18"/>
  <c r="N121" i="18" s="1"/>
  <c r="B121" i="18"/>
  <c r="Z120" i="18"/>
  <c r="X120" i="18"/>
  <c r="N120" i="18"/>
  <c r="L120" i="18"/>
  <c r="B120" i="18"/>
  <c r="X119" i="18"/>
  <c r="Z119" i="18" s="1"/>
  <c r="N119" i="18"/>
  <c r="L119" i="18"/>
  <c r="B119" i="18"/>
  <c r="X118" i="18"/>
  <c r="Z118" i="18" s="1"/>
  <c r="L118" i="18"/>
  <c r="N118" i="18" s="1"/>
  <c r="B118" i="18"/>
  <c r="X117" i="18"/>
  <c r="Z117" i="18" s="1"/>
  <c r="N117" i="18"/>
  <c r="L117" i="18"/>
  <c r="B117" i="18"/>
  <c r="Z116" i="18"/>
  <c r="X116" i="18"/>
  <c r="N116" i="18"/>
  <c r="L116" i="18"/>
  <c r="B116" i="18"/>
  <c r="Z115" i="18"/>
  <c r="X115" i="18"/>
  <c r="L115" i="18"/>
  <c r="N115" i="18" s="1"/>
  <c r="B115" i="18"/>
  <c r="X114" i="18"/>
  <c r="Z114" i="18" s="1"/>
  <c r="L114" i="18"/>
  <c r="N114" i="18" s="1"/>
  <c r="B114" i="18"/>
  <c r="X113" i="18"/>
  <c r="Z113" i="18" s="1"/>
  <c r="L113" i="18"/>
  <c r="N113" i="18" s="1"/>
  <c r="B113" i="18"/>
  <c r="Z112" i="18"/>
  <c r="X112" i="18"/>
  <c r="N112" i="18"/>
  <c r="L112" i="18"/>
  <c r="B112" i="18"/>
  <c r="X111" i="18"/>
  <c r="Z111" i="18" s="1"/>
  <c r="N111" i="18"/>
  <c r="L111" i="18"/>
  <c r="B111" i="18"/>
  <c r="X110" i="18"/>
  <c r="Z110" i="18" s="1"/>
  <c r="L110" i="18"/>
  <c r="N110" i="18" s="1"/>
  <c r="B110" i="18"/>
  <c r="X109" i="18"/>
  <c r="Z109" i="18" s="1"/>
  <c r="L109" i="18"/>
  <c r="N109" i="18" s="1"/>
  <c r="B109" i="18"/>
  <c r="Z108" i="18"/>
  <c r="X108" i="18"/>
  <c r="N108" i="18"/>
  <c r="L108" i="18"/>
  <c r="B108" i="18"/>
  <c r="Z107" i="18"/>
  <c r="X107" i="18"/>
  <c r="N107" i="18"/>
  <c r="L107" i="18"/>
  <c r="B107" i="18"/>
  <c r="X106" i="18"/>
  <c r="Z106" i="18" s="1"/>
  <c r="N106" i="18"/>
  <c r="L106" i="18"/>
  <c r="B106" i="18"/>
  <c r="X105" i="18"/>
  <c r="Z105" i="18" s="1"/>
  <c r="N105" i="18"/>
  <c r="L105" i="18"/>
  <c r="B105" i="18"/>
  <c r="Z104" i="18"/>
  <c r="X104" i="18"/>
  <c r="N104" i="18"/>
  <c r="L104" i="18"/>
  <c r="B104" i="18"/>
  <c r="X103" i="18"/>
  <c r="Z103" i="18" s="1"/>
  <c r="N103" i="18"/>
  <c r="L103" i="18"/>
  <c r="B103" i="18"/>
  <c r="X102" i="18"/>
  <c r="Z102" i="18" s="1"/>
  <c r="L102" i="18"/>
  <c r="N102" i="18" s="1"/>
  <c r="B102" i="18"/>
  <c r="X101" i="18"/>
  <c r="Z101" i="18" s="1"/>
  <c r="L101" i="18"/>
  <c r="N101" i="18" s="1"/>
  <c r="B101" i="18"/>
  <c r="Z100" i="18"/>
  <c r="X100" i="18"/>
  <c r="N100" i="18"/>
  <c r="L100" i="18"/>
  <c r="B100" i="18"/>
  <c r="Z99" i="18"/>
  <c r="X99" i="18"/>
  <c r="N99" i="18"/>
  <c r="L99" i="18"/>
  <c r="B99" i="18"/>
  <c r="T98" i="18"/>
  <c r="P98" i="18"/>
  <c r="X98" i="18" s="1"/>
  <c r="Z98" i="18" s="1"/>
  <c r="N98" i="18"/>
  <c r="H98" i="18"/>
  <c r="L98" i="18" s="1"/>
  <c r="D98" i="18"/>
  <c r="T96" i="18"/>
  <c r="P96" i="18"/>
  <c r="H96" i="18"/>
  <c r="D96" i="18"/>
  <c r="B96" i="18"/>
  <c r="X95" i="18"/>
  <c r="Z95" i="18" s="1"/>
  <c r="T95" i="18"/>
  <c r="P95" i="18"/>
  <c r="N95" i="18"/>
  <c r="L95" i="18"/>
  <c r="H95" i="18"/>
  <c r="D95" i="18"/>
  <c r="B95" i="18"/>
  <c r="T94" i="18"/>
  <c r="P94" i="18"/>
  <c r="X94" i="18" s="1"/>
  <c r="Z94" i="18" s="1"/>
  <c r="N94" i="18"/>
  <c r="H94" i="18"/>
  <c r="D94" i="18"/>
  <c r="L94" i="18" s="1"/>
  <c r="B94" i="18"/>
  <c r="T93" i="18"/>
  <c r="Z93" i="18" s="1"/>
  <c r="P93" i="18"/>
  <c r="X93" i="18" s="1"/>
  <c r="H93" i="18"/>
  <c r="N93" i="18" s="1"/>
  <c r="D93" i="18"/>
  <c r="L93" i="18" s="1"/>
  <c r="B93" i="18"/>
  <c r="T92" i="18"/>
  <c r="P92" i="18"/>
  <c r="H92" i="18"/>
  <c r="D92" i="18"/>
  <c r="B92" i="18"/>
  <c r="X91" i="18"/>
  <c r="Z91" i="18" s="1"/>
  <c r="T91" i="18"/>
  <c r="P91" i="18"/>
  <c r="L91" i="18"/>
  <c r="N91" i="18" s="1"/>
  <c r="H91" i="18"/>
  <c r="D91" i="18"/>
  <c r="B91" i="18"/>
  <c r="T90" i="18"/>
  <c r="P90" i="18"/>
  <c r="X90" i="18" s="1"/>
  <c r="Z90" i="18" s="1"/>
  <c r="H90" i="18"/>
  <c r="D90" i="18"/>
  <c r="L90" i="18" s="1"/>
  <c r="N90" i="18" s="1"/>
  <c r="B90" i="18"/>
  <c r="T89" i="18"/>
  <c r="Z89" i="18" s="1"/>
  <c r="P89" i="18"/>
  <c r="X89" i="18" s="1"/>
  <c r="H89" i="18"/>
  <c r="D89" i="18"/>
  <c r="L89" i="18" s="1"/>
  <c r="B89" i="18"/>
  <c r="T88" i="18"/>
  <c r="P88" i="18"/>
  <c r="H88" i="18"/>
  <c r="D88" i="18"/>
  <c r="B88" i="18"/>
  <c r="X87" i="18"/>
  <c r="Z87" i="18" s="1"/>
  <c r="T87" i="18"/>
  <c r="P87" i="18"/>
  <c r="L87" i="18"/>
  <c r="N87" i="18" s="1"/>
  <c r="H87" i="18"/>
  <c r="D87" i="18"/>
  <c r="B87" i="18"/>
  <c r="Z86" i="18"/>
  <c r="T86" i="18"/>
  <c r="P86" i="18"/>
  <c r="X86" i="18" s="1"/>
  <c r="N86" i="18"/>
  <c r="H86" i="18"/>
  <c r="D86" i="18"/>
  <c r="L86" i="18" s="1"/>
  <c r="B86" i="18"/>
  <c r="T85" i="18"/>
  <c r="Z85" i="18" s="1"/>
  <c r="P85" i="18"/>
  <c r="X85" i="18" s="1"/>
  <c r="H85" i="18"/>
  <c r="N85" i="18" s="1"/>
  <c r="D85" i="18"/>
  <c r="L85" i="18" s="1"/>
  <c r="B85" i="18"/>
  <c r="T84" i="18"/>
  <c r="P84" i="18"/>
  <c r="H84" i="18"/>
  <c r="D84" i="18"/>
  <c r="B84" i="18"/>
  <c r="X83" i="18"/>
  <c r="Z83" i="18" s="1"/>
  <c r="T83" i="18"/>
  <c r="P83" i="18"/>
  <c r="L83" i="18"/>
  <c r="N83" i="18" s="1"/>
  <c r="H83" i="18"/>
  <c r="D83" i="18"/>
  <c r="B83" i="18"/>
  <c r="T82" i="18"/>
  <c r="P82" i="18"/>
  <c r="X82" i="18" s="1"/>
  <c r="Z82" i="18" s="1"/>
  <c r="H82" i="18"/>
  <c r="D82" i="18"/>
  <c r="L82" i="18" s="1"/>
  <c r="N82" i="18" s="1"/>
  <c r="B82" i="18"/>
  <c r="T81" i="18"/>
  <c r="Z81" i="18" s="1"/>
  <c r="P81" i="18"/>
  <c r="X81" i="18" s="1"/>
  <c r="H81" i="18"/>
  <c r="D81" i="18"/>
  <c r="L81" i="18" s="1"/>
  <c r="B81" i="18"/>
  <c r="T80" i="18"/>
  <c r="P80" i="18"/>
  <c r="H80" i="18"/>
  <c r="D80" i="18"/>
  <c r="B80" i="18"/>
  <c r="X79" i="18"/>
  <c r="Z79" i="18" s="1"/>
  <c r="T79" i="18"/>
  <c r="P79" i="18"/>
  <c r="L79" i="18"/>
  <c r="N79" i="18" s="1"/>
  <c r="H79" i="18"/>
  <c r="D79" i="18"/>
  <c r="B79" i="18"/>
  <c r="T78" i="18"/>
  <c r="P78" i="18"/>
  <c r="X78" i="18" s="1"/>
  <c r="Z78" i="18" s="1"/>
  <c r="H78" i="18"/>
  <c r="D78" i="18"/>
  <c r="L78" i="18" s="1"/>
  <c r="N78" i="18" s="1"/>
  <c r="B78" i="18"/>
  <c r="T77" i="18"/>
  <c r="Z77" i="18" s="1"/>
  <c r="P77" i="18"/>
  <c r="X77" i="18" s="1"/>
  <c r="H77" i="18"/>
  <c r="D77" i="18"/>
  <c r="L77" i="18" s="1"/>
  <c r="B77" i="18"/>
  <c r="T76" i="18"/>
  <c r="P76" i="18"/>
  <c r="H76" i="18"/>
  <c r="D76" i="18"/>
  <c r="B76" i="18"/>
  <c r="X75" i="18"/>
  <c r="Z75" i="18" s="1"/>
  <c r="T75" i="18"/>
  <c r="P75" i="18"/>
  <c r="L75" i="18"/>
  <c r="N75" i="18" s="1"/>
  <c r="H75" i="18"/>
  <c r="D75" i="18"/>
  <c r="B75" i="18"/>
  <c r="T74" i="18"/>
  <c r="P74" i="18"/>
  <c r="X74" i="18" s="1"/>
  <c r="Z74" i="18" s="1"/>
  <c r="N74" i="18"/>
  <c r="H74" i="18"/>
  <c r="D74" i="18"/>
  <c r="L74" i="18" s="1"/>
  <c r="B74" i="18"/>
  <c r="T73" i="18"/>
  <c r="Z73" i="18" s="1"/>
  <c r="P73" i="18"/>
  <c r="X73" i="18" s="1"/>
  <c r="H73" i="18"/>
  <c r="D73" i="18"/>
  <c r="L73" i="18" s="1"/>
  <c r="B73" i="18"/>
  <c r="T72" i="18"/>
  <c r="P72" i="18"/>
  <c r="H72" i="18"/>
  <c r="D72" i="18"/>
  <c r="B72" i="18"/>
  <c r="X71" i="18"/>
  <c r="Z71" i="18" s="1"/>
  <c r="T71" i="18"/>
  <c r="P71" i="18"/>
  <c r="N71" i="18"/>
  <c r="L71" i="18"/>
  <c r="H71" i="18"/>
  <c r="D71" i="18"/>
  <c r="B71" i="18"/>
  <c r="Z70" i="18"/>
  <c r="T70" i="18"/>
  <c r="P70" i="18"/>
  <c r="X70" i="18" s="1"/>
  <c r="H70" i="18"/>
  <c r="D70" i="18"/>
  <c r="L70" i="18" s="1"/>
  <c r="N70" i="18" s="1"/>
  <c r="B70" i="18"/>
  <c r="T69" i="18"/>
  <c r="P69" i="18"/>
  <c r="X69" i="18" s="1"/>
  <c r="H69" i="18"/>
  <c r="N69" i="18" s="1"/>
  <c r="D69" i="18"/>
  <c r="L69" i="18" s="1"/>
  <c r="B69" i="18"/>
  <c r="T68" i="18"/>
  <c r="P68" i="18"/>
  <c r="H68" i="18"/>
  <c r="D68" i="18"/>
  <c r="B68" i="18"/>
  <c r="X67" i="18"/>
  <c r="Z67" i="18" s="1"/>
  <c r="T67" i="18"/>
  <c r="P67" i="18"/>
  <c r="L67" i="18"/>
  <c r="N67" i="18" s="1"/>
  <c r="H67" i="18"/>
  <c r="D67" i="18"/>
  <c r="B67" i="18"/>
  <c r="Z66" i="18"/>
  <c r="T66" i="18"/>
  <c r="P66" i="18"/>
  <c r="X66" i="18" s="1"/>
  <c r="N66" i="18"/>
  <c r="H66" i="18"/>
  <c r="D66" i="18"/>
  <c r="L66" i="18" s="1"/>
  <c r="B66" i="18"/>
  <c r="T65" i="18"/>
  <c r="P65" i="18"/>
  <c r="X65" i="18" s="1"/>
  <c r="H65" i="18"/>
  <c r="N65" i="18" s="1"/>
  <c r="D65" i="18"/>
  <c r="L65" i="18" s="1"/>
  <c r="B65" i="18"/>
  <c r="T64" i="18"/>
  <c r="P64" i="18"/>
  <c r="H64" i="18"/>
  <c r="D64" i="18"/>
  <c r="B64" i="18"/>
  <c r="X63" i="18"/>
  <c r="Z63" i="18" s="1"/>
  <c r="T63" i="18"/>
  <c r="P63" i="18"/>
  <c r="L63" i="18"/>
  <c r="N63" i="18" s="1"/>
  <c r="H63" i="18"/>
  <c r="D63" i="18"/>
  <c r="B63" i="18"/>
  <c r="Z62" i="18"/>
  <c r="T62" i="18"/>
  <c r="P62" i="18"/>
  <c r="X62" i="18" s="1"/>
  <c r="H62" i="18"/>
  <c r="D62" i="18"/>
  <c r="L62" i="18" s="1"/>
  <c r="N62" i="18" s="1"/>
  <c r="B62" i="18"/>
  <c r="T61" i="18"/>
  <c r="P61" i="18"/>
  <c r="X61" i="18" s="1"/>
  <c r="H61" i="18"/>
  <c r="N61" i="18" s="1"/>
  <c r="D61" i="18"/>
  <c r="L61" i="18" s="1"/>
  <c r="B61" i="18"/>
  <c r="T60" i="18"/>
  <c r="P60" i="18"/>
  <c r="H60" i="18"/>
  <c r="D60" i="18"/>
  <c r="B60" i="18"/>
  <c r="X59" i="18"/>
  <c r="Z59" i="18" s="1"/>
  <c r="T59" i="18"/>
  <c r="P59" i="18"/>
  <c r="L59" i="18"/>
  <c r="N59" i="18" s="1"/>
  <c r="H59" i="18"/>
  <c r="D59" i="18"/>
  <c r="B59" i="18"/>
  <c r="Z58" i="18"/>
  <c r="T58" i="18"/>
  <c r="P58" i="18"/>
  <c r="X58" i="18" s="1"/>
  <c r="N58" i="18"/>
  <c r="H58" i="18"/>
  <c r="D58" i="18"/>
  <c r="L58" i="18" s="1"/>
  <c r="B58" i="18"/>
  <c r="T57" i="18"/>
  <c r="P57" i="18"/>
  <c r="X57" i="18" s="1"/>
  <c r="H57" i="18"/>
  <c r="N57" i="18" s="1"/>
  <c r="D57" i="18"/>
  <c r="L57" i="18" s="1"/>
  <c r="B57" i="18"/>
  <c r="T56" i="18"/>
  <c r="P56" i="18"/>
  <c r="H56" i="18"/>
  <c r="D56" i="18"/>
  <c r="B56" i="18"/>
  <c r="X55" i="18"/>
  <c r="Z55" i="18" s="1"/>
  <c r="T55" i="18"/>
  <c r="P55" i="18"/>
  <c r="L55" i="18"/>
  <c r="N55" i="18" s="1"/>
  <c r="H55" i="18"/>
  <c r="D55" i="18"/>
  <c r="B55" i="18"/>
  <c r="Z54" i="18"/>
  <c r="T54" i="18"/>
  <c r="P54" i="18"/>
  <c r="X54" i="18" s="1"/>
  <c r="H54" i="18"/>
  <c r="D54" i="18"/>
  <c r="L54" i="18" s="1"/>
  <c r="N54" i="18" s="1"/>
  <c r="B54" i="18"/>
  <c r="T53" i="18"/>
  <c r="P53" i="18"/>
  <c r="X53" i="18" s="1"/>
  <c r="H53" i="18"/>
  <c r="D53" i="18"/>
  <c r="B53" i="18"/>
  <c r="T52" i="18"/>
  <c r="P52" i="18"/>
  <c r="L52" i="18"/>
  <c r="H52" i="18"/>
  <c r="N52" i="18" s="1"/>
  <c r="D52" i="18"/>
  <c r="B52" i="18"/>
  <c r="X51" i="18"/>
  <c r="Z51" i="18" s="1"/>
  <c r="T51" i="18"/>
  <c r="P51" i="18"/>
  <c r="N51" i="18"/>
  <c r="L51" i="18"/>
  <c r="H51" i="18"/>
  <c r="D51" i="18"/>
  <c r="B51" i="18"/>
  <c r="T50" i="18"/>
  <c r="P50" i="18"/>
  <c r="X50" i="18" s="1"/>
  <c r="Z50" i="18" s="1"/>
  <c r="N50" i="18"/>
  <c r="H50" i="18"/>
  <c r="D50" i="18"/>
  <c r="L50" i="18" s="1"/>
  <c r="B50" i="18"/>
  <c r="T49" i="18"/>
  <c r="P49" i="18"/>
  <c r="H49" i="18"/>
  <c r="N49" i="18" s="1"/>
  <c r="D49" i="18"/>
  <c r="L49" i="18" s="1"/>
  <c r="B49" i="18"/>
  <c r="X48" i="18"/>
  <c r="T48" i="18"/>
  <c r="P48" i="18"/>
  <c r="H48" i="18"/>
  <c r="D48" i="18"/>
  <c r="B48" i="18"/>
  <c r="X47" i="18"/>
  <c r="Z47" i="18" s="1"/>
  <c r="T47" i="18"/>
  <c r="P47" i="18"/>
  <c r="L47" i="18"/>
  <c r="N47" i="18" s="1"/>
  <c r="H47" i="18"/>
  <c r="D47" i="18"/>
  <c r="B47" i="18"/>
  <c r="T46" i="18"/>
  <c r="P46" i="18"/>
  <c r="X46" i="18" s="1"/>
  <c r="Z46" i="18" s="1"/>
  <c r="H46" i="18"/>
  <c r="D46" i="18"/>
  <c r="L46" i="18" s="1"/>
  <c r="N46" i="18" s="1"/>
  <c r="B46" i="18"/>
  <c r="T45" i="18"/>
  <c r="P45" i="18"/>
  <c r="X45" i="18" s="1"/>
  <c r="H45" i="18"/>
  <c r="N45" i="18" s="1"/>
  <c r="D45" i="18"/>
  <c r="B45" i="18"/>
  <c r="T44" i="18"/>
  <c r="P44" i="18"/>
  <c r="H44" i="18"/>
  <c r="N44" i="18" s="1"/>
  <c r="D44" i="18"/>
  <c r="B44" i="18"/>
  <c r="X43" i="18"/>
  <c r="Z43" i="18" s="1"/>
  <c r="T43" i="18"/>
  <c r="P43" i="18"/>
  <c r="N43" i="18"/>
  <c r="L43" i="18"/>
  <c r="H43" i="18"/>
  <c r="D43" i="18"/>
  <c r="B43" i="18"/>
  <c r="Z42" i="18"/>
  <c r="T42" i="18"/>
  <c r="P42" i="18"/>
  <c r="X42" i="18" s="1"/>
  <c r="N42" i="18"/>
  <c r="H42" i="18"/>
  <c r="D42" i="18"/>
  <c r="L42" i="18" s="1"/>
  <c r="B42" i="18"/>
  <c r="T41" i="18"/>
  <c r="P41" i="18"/>
  <c r="H41" i="18"/>
  <c r="N41" i="18" s="1"/>
  <c r="D41" i="18"/>
  <c r="L41" i="18" s="1"/>
  <c r="B41" i="18"/>
  <c r="T40" i="18"/>
  <c r="P40" i="18"/>
  <c r="H40" i="18"/>
  <c r="D40" i="18"/>
  <c r="B40" i="18"/>
  <c r="X39" i="18"/>
  <c r="Z39" i="18" s="1"/>
  <c r="T39" i="18"/>
  <c r="P39" i="18"/>
  <c r="L39" i="18"/>
  <c r="N39" i="18" s="1"/>
  <c r="H39" i="18"/>
  <c r="D39" i="18"/>
  <c r="B39" i="18"/>
  <c r="Z38" i="18"/>
  <c r="T38" i="18"/>
  <c r="P38" i="18"/>
  <c r="X38" i="18" s="1"/>
  <c r="H38" i="18"/>
  <c r="D38" i="18"/>
  <c r="L38" i="18" s="1"/>
  <c r="N38" i="18" s="1"/>
  <c r="B38" i="18"/>
  <c r="T37" i="18"/>
  <c r="P37" i="18"/>
  <c r="X37" i="18" s="1"/>
  <c r="H37" i="18"/>
  <c r="D37" i="18"/>
  <c r="B37" i="18"/>
  <c r="T36" i="18"/>
  <c r="P36" i="18"/>
  <c r="L36" i="18"/>
  <c r="H36" i="18"/>
  <c r="D36" i="18"/>
  <c r="B36" i="18"/>
  <c r="X35" i="18"/>
  <c r="Z35" i="18" s="1"/>
  <c r="T35" i="18"/>
  <c r="P35" i="18"/>
  <c r="N35" i="18"/>
  <c r="L35" i="18"/>
  <c r="H35" i="18"/>
  <c r="D35" i="18"/>
  <c r="B35" i="18"/>
  <c r="T34" i="18"/>
  <c r="P34" i="18"/>
  <c r="X34" i="18" s="1"/>
  <c r="Z34" i="18" s="1"/>
  <c r="N34" i="18"/>
  <c r="H34" i="18"/>
  <c r="D34" i="18"/>
  <c r="L34" i="18" s="1"/>
  <c r="B34" i="18"/>
  <c r="T33" i="18"/>
  <c r="P33" i="18"/>
  <c r="H33" i="18"/>
  <c r="D33" i="18"/>
  <c r="L33" i="18" s="1"/>
  <c r="B33" i="18"/>
  <c r="X32" i="18"/>
  <c r="T32" i="18"/>
  <c r="P32" i="18"/>
  <c r="H32" i="18"/>
  <c r="D32" i="18"/>
  <c r="B32" i="18"/>
  <c r="X31" i="18"/>
  <c r="Z31" i="18" s="1"/>
  <c r="T31" i="18"/>
  <c r="P31" i="18"/>
  <c r="L31" i="18"/>
  <c r="N31" i="18" s="1"/>
  <c r="H31" i="18"/>
  <c r="D31" i="18"/>
  <c r="B31" i="18"/>
  <c r="T30" i="18"/>
  <c r="P30" i="18"/>
  <c r="X30" i="18" s="1"/>
  <c r="Z30" i="18" s="1"/>
  <c r="H30" i="18"/>
  <c r="D30" i="18"/>
  <c r="L30" i="18" s="1"/>
  <c r="N30" i="18" s="1"/>
  <c r="B30" i="18"/>
  <c r="T29" i="18"/>
  <c r="P29" i="18"/>
  <c r="X29" i="18" s="1"/>
  <c r="H29" i="18"/>
  <c r="D29" i="18"/>
  <c r="B29" i="18"/>
  <c r="T28" i="18"/>
  <c r="P28" i="18"/>
  <c r="H28" i="18"/>
  <c r="D28" i="18"/>
  <c r="B28" i="18"/>
  <c r="X27" i="18"/>
  <c r="Z27" i="18" s="1"/>
  <c r="T27" i="18"/>
  <c r="P27" i="18"/>
  <c r="N27" i="18"/>
  <c r="L27" i="18"/>
  <c r="H27" i="18"/>
  <c r="D27" i="18"/>
  <c r="B27" i="18"/>
  <c r="Z26" i="18"/>
  <c r="T26" i="18"/>
  <c r="P26" i="18"/>
  <c r="X26" i="18" s="1"/>
  <c r="N26" i="18"/>
  <c r="H26" i="18"/>
  <c r="D26" i="18"/>
  <c r="L26" i="18" s="1"/>
  <c r="B26" i="18"/>
  <c r="T25" i="18"/>
  <c r="P25" i="18"/>
  <c r="H25" i="18"/>
  <c r="N25" i="18" s="1"/>
  <c r="D25" i="18"/>
  <c r="L25" i="18" s="1"/>
  <c r="B25" i="18"/>
  <c r="T24" i="18"/>
  <c r="P24" i="18"/>
  <c r="H24" i="18"/>
  <c r="H12" i="18" s="1"/>
  <c r="J218" i="18" s="1"/>
  <c r="D24" i="18"/>
  <c r="B24" i="18"/>
  <c r="X23" i="18"/>
  <c r="Z23" i="18" s="1"/>
  <c r="T23" i="18"/>
  <c r="P23" i="18"/>
  <c r="L23" i="18"/>
  <c r="N23" i="18" s="1"/>
  <c r="H23" i="18"/>
  <c r="D23" i="18"/>
  <c r="B23" i="18"/>
  <c r="Z22" i="18"/>
  <c r="T22" i="18"/>
  <c r="P22" i="18"/>
  <c r="X22" i="18" s="1"/>
  <c r="H22" i="18"/>
  <c r="D22" i="18"/>
  <c r="L22" i="18" s="1"/>
  <c r="N22" i="18" s="1"/>
  <c r="B22" i="18"/>
  <c r="T21" i="18"/>
  <c r="P21" i="18"/>
  <c r="X21" i="18" s="1"/>
  <c r="H21" i="18"/>
  <c r="D21" i="18"/>
  <c r="B21" i="18"/>
  <c r="T20" i="18"/>
  <c r="P20" i="18"/>
  <c r="L20" i="18"/>
  <c r="H20" i="18"/>
  <c r="D20" i="18"/>
  <c r="B20" i="18"/>
  <c r="X19" i="18"/>
  <c r="Z19" i="18" s="1"/>
  <c r="T19" i="18"/>
  <c r="P19" i="18"/>
  <c r="N19" i="18"/>
  <c r="L19" i="18"/>
  <c r="H19" i="18"/>
  <c r="D19" i="18"/>
  <c r="B19" i="18"/>
  <c r="T18" i="18"/>
  <c r="P18" i="18"/>
  <c r="X18" i="18" s="1"/>
  <c r="Z18" i="18" s="1"/>
  <c r="N18" i="18"/>
  <c r="H18" i="18"/>
  <c r="D18" i="18"/>
  <c r="L18" i="18" s="1"/>
  <c r="B18" i="18"/>
  <c r="T17" i="18"/>
  <c r="P17" i="18"/>
  <c r="H17" i="18"/>
  <c r="N17" i="18" s="1"/>
  <c r="D17" i="18"/>
  <c r="L17" i="18" s="1"/>
  <c r="B17" i="18"/>
  <c r="X16" i="18"/>
  <c r="T16" i="18"/>
  <c r="P16" i="18"/>
  <c r="L16" i="18"/>
  <c r="H16" i="18"/>
  <c r="D16" i="18"/>
  <c r="B16" i="18"/>
  <c r="Z15" i="18"/>
  <c r="X15" i="18"/>
  <c r="T15" i="18"/>
  <c r="P15" i="18"/>
  <c r="N15" i="18"/>
  <c r="L15" i="18"/>
  <c r="H15" i="18"/>
  <c r="D15" i="18"/>
  <c r="B15" i="18"/>
  <c r="Z14" i="18"/>
  <c r="T14" i="18"/>
  <c r="P14" i="18"/>
  <c r="X14" i="18" s="1"/>
  <c r="N14" i="18"/>
  <c r="H14" i="18"/>
  <c r="D14" i="18"/>
  <c r="L14" i="18" s="1"/>
  <c r="B14" i="18"/>
  <c r="T13" i="18"/>
  <c r="P13" i="18"/>
  <c r="H13" i="18"/>
  <c r="D13" i="18"/>
  <c r="B13" i="18"/>
  <c r="D4" i="18"/>
  <c r="B39" i="17"/>
  <c r="B38" i="17"/>
  <c r="T34" i="17"/>
  <c r="Z34" i="17" s="1"/>
  <c r="P34" i="17"/>
  <c r="H34" i="17"/>
  <c r="N34" i="17" s="1"/>
  <c r="D34" i="17"/>
  <c r="T33" i="17"/>
  <c r="P33" i="17"/>
  <c r="H33" i="17"/>
  <c r="N33" i="17" s="1"/>
  <c r="D33" i="17"/>
  <c r="T29" i="17"/>
  <c r="P29" i="17"/>
  <c r="H29" i="17"/>
  <c r="N29" i="17" s="1"/>
  <c r="D29" i="17"/>
  <c r="T25" i="17"/>
  <c r="P25" i="17"/>
  <c r="H25" i="17"/>
  <c r="N25" i="17" s="1"/>
  <c r="D25" i="17"/>
  <c r="B25" i="17"/>
  <c r="T24" i="17"/>
  <c r="Z24" i="17" s="1"/>
  <c r="P24" i="17"/>
  <c r="H24" i="17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P16" i="17"/>
  <c r="H16" i="17"/>
  <c r="N16" i="17" s="1"/>
  <c r="D16" i="17"/>
  <c r="B16" i="17"/>
  <c r="T15" i="17"/>
  <c r="Z15" i="17" s="1"/>
  <c r="P15" i="17"/>
  <c r="H15" i="17"/>
  <c r="D15" i="17"/>
  <c r="T13" i="17"/>
  <c r="Z13" i="17" s="1"/>
  <c r="P13" i="17"/>
  <c r="H13" i="17"/>
  <c r="N13" i="17" s="1"/>
  <c r="D13" i="17"/>
  <c r="B13" i="17"/>
  <c r="T12" i="17"/>
  <c r="V18" i="17" s="1"/>
  <c r="P12" i="17"/>
  <c r="R22" i="17" s="1"/>
  <c r="H12" i="17"/>
  <c r="D12" i="17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P15" i="16"/>
  <c r="H15" i="16"/>
  <c r="N15" i="16" s="1"/>
  <c r="D15" i="16"/>
  <c r="T13" i="16"/>
  <c r="Z13" i="16" s="1"/>
  <c r="P13" i="16"/>
  <c r="H13" i="16"/>
  <c r="N13" i="16" s="1"/>
  <c r="D13" i="16"/>
  <c r="L13" i="16" s="1"/>
  <c r="B13" i="16"/>
  <c r="T12" i="16"/>
  <c r="V31" i="16" s="1"/>
  <c r="P12" i="16"/>
  <c r="R34" i="16" s="1"/>
  <c r="H12" i="16"/>
  <c r="D12" i="16"/>
  <c r="D5" i="16"/>
  <c r="D4" i="16"/>
  <c r="Z227" i="15"/>
  <c r="X227" i="15"/>
  <c r="N227" i="15"/>
  <c r="L227" i="15"/>
  <c r="Z223" i="15"/>
  <c r="X223" i="15"/>
  <c r="T223" i="15"/>
  <c r="P223" i="15"/>
  <c r="H223" i="15"/>
  <c r="D223" i="15"/>
  <c r="L223" i="15" s="1"/>
  <c r="B223" i="15"/>
  <c r="T222" i="15"/>
  <c r="P222" i="15"/>
  <c r="H222" i="15"/>
  <c r="D222" i="15"/>
  <c r="D218" i="15" s="1"/>
  <c r="B222" i="15"/>
  <c r="X221" i="15"/>
  <c r="T221" i="15"/>
  <c r="Z221" i="15" s="1"/>
  <c r="P221" i="15"/>
  <c r="N221" i="15"/>
  <c r="L221" i="15"/>
  <c r="H221" i="15"/>
  <c r="D221" i="15"/>
  <c r="B221" i="15"/>
  <c r="T220" i="15"/>
  <c r="P220" i="15"/>
  <c r="X220" i="15" s="1"/>
  <c r="Z220" i="15" s="1"/>
  <c r="H220" i="15"/>
  <c r="D220" i="15"/>
  <c r="B220" i="15"/>
  <c r="T219" i="15"/>
  <c r="P219" i="15"/>
  <c r="X219" i="15" s="1"/>
  <c r="Z219" i="15" s="1"/>
  <c r="L219" i="15"/>
  <c r="H219" i="15"/>
  <c r="N219" i="15" s="1"/>
  <c r="D219" i="15"/>
  <c r="B219" i="15"/>
  <c r="T218" i="15"/>
  <c r="X216" i="15"/>
  <c r="Z216" i="15" s="1"/>
  <c r="N216" i="15"/>
  <c r="L216" i="15"/>
  <c r="B216" i="15"/>
  <c r="T215" i="15"/>
  <c r="Z215" i="15" s="1"/>
  <c r="P215" i="15"/>
  <c r="X215" i="15" s="1"/>
  <c r="N215" i="15"/>
  <c r="H215" i="15"/>
  <c r="D215" i="15"/>
  <c r="L215" i="15" s="1"/>
  <c r="B215" i="15"/>
  <c r="X214" i="15"/>
  <c r="Z214" i="15" s="1"/>
  <c r="N214" i="15"/>
  <c r="L214" i="15"/>
  <c r="B214" i="15"/>
  <c r="Z213" i="15"/>
  <c r="X213" i="15"/>
  <c r="N213" i="15"/>
  <c r="L213" i="15"/>
  <c r="B213" i="15"/>
  <c r="X212" i="15"/>
  <c r="Z212" i="15" s="1"/>
  <c r="N212" i="15"/>
  <c r="L212" i="15"/>
  <c r="B212" i="15"/>
  <c r="T211" i="15"/>
  <c r="P211" i="15"/>
  <c r="X211" i="15" s="1"/>
  <c r="N211" i="15"/>
  <c r="H211" i="15"/>
  <c r="D211" i="15"/>
  <c r="L211" i="15" s="1"/>
  <c r="B211" i="15"/>
  <c r="X210" i="15"/>
  <c r="Z210" i="15" s="1"/>
  <c r="N210" i="15"/>
  <c r="L210" i="15"/>
  <c r="B210" i="15"/>
  <c r="Z209" i="15"/>
  <c r="T209" i="15"/>
  <c r="P209" i="15"/>
  <c r="X209" i="15" s="1"/>
  <c r="L209" i="15"/>
  <c r="H209" i="15"/>
  <c r="N209" i="15" s="1"/>
  <c r="D209" i="15"/>
  <c r="B209" i="15"/>
  <c r="Z208" i="15"/>
  <c r="X208" i="15"/>
  <c r="L208" i="15"/>
  <c r="N208" i="15" s="1"/>
  <c r="B208" i="15"/>
  <c r="X207" i="15"/>
  <c r="Z207" i="15" s="1"/>
  <c r="N207" i="15"/>
  <c r="L207" i="15"/>
  <c r="B207" i="15"/>
  <c r="T206" i="15"/>
  <c r="P206" i="15"/>
  <c r="X206" i="15" s="1"/>
  <c r="Z206" i="15" s="1"/>
  <c r="H206" i="15"/>
  <c r="D206" i="15"/>
  <c r="B206" i="15"/>
  <c r="Z205" i="15"/>
  <c r="X205" i="15"/>
  <c r="N205" i="15"/>
  <c r="L205" i="15"/>
  <c r="B205" i="15"/>
  <c r="Z204" i="15"/>
  <c r="X204" i="15"/>
  <c r="L204" i="15"/>
  <c r="N204" i="15" s="1"/>
  <c r="B204" i="15"/>
  <c r="X203" i="15"/>
  <c r="Z203" i="15" s="1"/>
  <c r="N203" i="15"/>
  <c r="L203" i="15"/>
  <c r="B203" i="15"/>
  <c r="X202" i="15"/>
  <c r="Z202" i="15" s="1"/>
  <c r="L202" i="15"/>
  <c r="N202" i="15" s="1"/>
  <c r="B202" i="15"/>
  <c r="Z201" i="15"/>
  <c r="X201" i="15"/>
  <c r="N201" i="15"/>
  <c r="L201" i="15"/>
  <c r="B201" i="15"/>
  <c r="X200" i="15"/>
  <c r="Z200" i="15" s="1"/>
  <c r="N200" i="15"/>
  <c r="L200" i="15"/>
  <c r="B200" i="15"/>
  <c r="X199" i="15"/>
  <c r="Z199" i="15" s="1"/>
  <c r="N199" i="15"/>
  <c r="L199" i="15"/>
  <c r="B199" i="15"/>
  <c r="X198" i="15"/>
  <c r="Z198" i="15" s="1"/>
  <c r="T198" i="15"/>
  <c r="P198" i="15"/>
  <c r="H198" i="15"/>
  <c r="D198" i="15"/>
  <c r="B198" i="15"/>
  <c r="Z197" i="15"/>
  <c r="X197" i="15"/>
  <c r="N197" i="15"/>
  <c r="L197" i="15"/>
  <c r="B197" i="15"/>
  <c r="X196" i="15"/>
  <c r="Z196" i="15" s="1"/>
  <c r="N196" i="15"/>
  <c r="L196" i="15"/>
  <c r="B196" i="15"/>
  <c r="T195" i="15"/>
  <c r="P195" i="15"/>
  <c r="X195" i="15" s="1"/>
  <c r="N195" i="15"/>
  <c r="H195" i="15"/>
  <c r="D195" i="15"/>
  <c r="L195" i="15" s="1"/>
  <c r="B195" i="15"/>
  <c r="X194" i="15"/>
  <c r="Z194" i="15" s="1"/>
  <c r="L194" i="15"/>
  <c r="N194" i="15" s="1"/>
  <c r="B194" i="15"/>
  <c r="Z193" i="15"/>
  <c r="X193" i="15"/>
  <c r="N193" i="15"/>
  <c r="L193" i="15"/>
  <c r="B193" i="15"/>
  <c r="X192" i="15"/>
  <c r="Z192" i="15" s="1"/>
  <c r="N192" i="15"/>
  <c r="L192" i="15"/>
  <c r="B192" i="15"/>
  <c r="X191" i="15"/>
  <c r="Z191" i="15" s="1"/>
  <c r="L191" i="15"/>
  <c r="N191" i="15" s="1"/>
  <c r="B191" i="15"/>
  <c r="X190" i="15"/>
  <c r="Z190" i="15" s="1"/>
  <c r="T190" i="15"/>
  <c r="P190" i="15"/>
  <c r="H190" i="15"/>
  <c r="D190" i="15"/>
  <c r="B190" i="15"/>
  <c r="Z189" i="15"/>
  <c r="X189" i="15"/>
  <c r="N189" i="15"/>
  <c r="L189" i="15"/>
  <c r="B189" i="15"/>
  <c r="Z188" i="15"/>
  <c r="X188" i="15"/>
  <c r="N188" i="15"/>
  <c r="L188" i="15"/>
  <c r="B188" i="15"/>
  <c r="Z187" i="15"/>
  <c r="X187" i="15"/>
  <c r="N187" i="15"/>
  <c r="L187" i="15"/>
  <c r="B187" i="15"/>
  <c r="T186" i="15"/>
  <c r="P186" i="15"/>
  <c r="X186" i="15" s="1"/>
  <c r="Z186" i="15" s="1"/>
  <c r="H186" i="15"/>
  <c r="D186" i="15"/>
  <c r="B186" i="15"/>
  <c r="Z185" i="15"/>
  <c r="X185" i="15"/>
  <c r="N185" i="15"/>
  <c r="L185" i="15"/>
  <c r="B185" i="15"/>
  <c r="X184" i="15"/>
  <c r="Z184" i="15" s="1"/>
  <c r="N184" i="15"/>
  <c r="L184" i="15"/>
  <c r="B184" i="15"/>
  <c r="Z183" i="15"/>
  <c r="X183" i="15"/>
  <c r="N183" i="15"/>
  <c r="L183" i="15"/>
  <c r="B183" i="15"/>
  <c r="X182" i="15"/>
  <c r="Z182" i="15" s="1"/>
  <c r="N182" i="15"/>
  <c r="L182" i="15"/>
  <c r="B182" i="15"/>
  <c r="Z181" i="15"/>
  <c r="X181" i="15"/>
  <c r="T181" i="15"/>
  <c r="P181" i="15"/>
  <c r="H181" i="15"/>
  <c r="D181" i="15"/>
  <c r="L181" i="15" s="1"/>
  <c r="B181" i="15"/>
  <c r="X180" i="15"/>
  <c r="Z180" i="15" s="1"/>
  <c r="N180" i="15"/>
  <c r="L180" i="15"/>
  <c r="B180" i="15"/>
  <c r="T179" i="15"/>
  <c r="Z179" i="15" s="1"/>
  <c r="P179" i="15"/>
  <c r="X179" i="15" s="1"/>
  <c r="H179" i="15"/>
  <c r="D179" i="15"/>
  <c r="L179" i="15" s="1"/>
  <c r="N179" i="15" s="1"/>
  <c r="B179" i="15"/>
  <c r="Z178" i="15"/>
  <c r="X178" i="15"/>
  <c r="N178" i="15"/>
  <c r="L178" i="15"/>
  <c r="B178" i="15"/>
  <c r="Z177" i="15"/>
  <c r="T177" i="15"/>
  <c r="P177" i="15"/>
  <c r="X177" i="15" s="1"/>
  <c r="L177" i="15"/>
  <c r="H177" i="15"/>
  <c r="N177" i="15" s="1"/>
  <c r="D177" i="15"/>
  <c r="B177" i="15"/>
  <c r="Z176" i="15"/>
  <c r="X176" i="15"/>
  <c r="N176" i="15"/>
  <c r="L176" i="15"/>
  <c r="B176" i="15"/>
  <c r="X175" i="15"/>
  <c r="Z175" i="15" s="1"/>
  <c r="L175" i="15"/>
  <c r="N175" i="15" s="1"/>
  <c r="B175" i="15"/>
  <c r="T174" i="15"/>
  <c r="P174" i="15"/>
  <c r="X174" i="15" s="1"/>
  <c r="Z174" i="15" s="1"/>
  <c r="H174" i="15"/>
  <c r="D174" i="15"/>
  <c r="L174" i="15" s="1"/>
  <c r="B174" i="15"/>
  <c r="Z173" i="15"/>
  <c r="X173" i="15"/>
  <c r="N173" i="15"/>
  <c r="L173" i="15"/>
  <c r="B173" i="15"/>
  <c r="T172" i="15"/>
  <c r="P172" i="15"/>
  <c r="X172" i="15" s="1"/>
  <c r="H172" i="15"/>
  <c r="D172" i="15"/>
  <c r="L172" i="15" s="1"/>
  <c r="N172" i="15" s="1"/>
  <c r="B172" i="15"/>
  <c r="X171" i="15"/>
  <c r="Z171" i="15" s="1"/>
  <c r="N171" i="15"/>
  <c r="L171" i="15"/>
  <c r="B171" i="15"/>
  <c r="X170" i="15"/>
  <c r="Z170" i="15" s="1"/>
  <c r="T170" i="15"/>
  <c r="P170" i="15"/>
  <c r="H170" i="15"/>
  <c r="D170" i="15"/>
  <c r="B170" i="15"/>
  <c r="Z169" i="15"/>
  <c r="X169" i="15"/>
  <c r="N169" i="15"/>
  <c r="L169" i="15"/>
  <c r="B169" i="15"/>
  <c r="X168" i="15"/>
  <c r="Z168" i="15" s="1"/>
  <c r="N168" i="15"/>
  <c r="L168" i="15"/>
  <c r="B168" i="15"/>
  <c r="T167" i="15"/>
  <c r="P167" i="15"/>
  <c r="X167" i="15" s="1"/>
  <c r="H167" i="15"/>
  <c r="D167" i="15"/>
  <c r="L167" i="15" s="1"/>
  <c r="N167" i="15" s="1"/>
  <c r="B167" i="15"/>
  <c r="X166" i="15"/>
  <c r="Z166" i="15" s="1"/>
  <c r="L166" i="15"/>
  <c r="N166" i="15" s="1"/>
  <c r="B166" i="15"/>
  <c r="T165" i="15"/>
  <c r="P165" i="15"/>
  <c r="X165" i="15" s="1"/>
  <c r="Z165" i="15" s="1"/>
  <c r="L165" i="15"/>
  <c r="H165" i="15"/>
  <c r="N165" i="15" s="1"/>
  <c r="D165" i="15"/>
  <c r="B165" i="15"/>
  <c r="Z164" i="15"/>
  <c r="X164" i="15"/>
  <c r="N164" i="15"/>
  <c r="L164" i="15"/>
  <c r="B164" i="15"/>
  <c r="X163" i="15"/>
  <c r="T163" i="15"/>
  <c r="Z163" i="15" s="1"/>
  <c r="P163" i="15"/>
  <c r="N163" i="15"/>
  <c r="H163" i="15"/>
  <c r="L163" i="15" s="1"/>
  <c r="D163" i="15"/>
  <c r="B163" i="15"/>
  <c r="X162" i="15"/>
  <c r="Z162" i="15" s="1"/>
  <c r="N162" i="15"/>
  <c r="L162" i="15"/>
  <c r="B162" i="15"/>
  <c r="T161" i="15"/>
  <c r="X161" i="15" s="1"/>
  <c r="Z161" i="15" s="1"/>
  <c r="P161" i="15"/>
  <c r="H161" i="15"/>
  <c r="N161" i="15" s="1"/>
  <c r="D161" i="15"/>
  <c r="L161" i="15" s="1"/>
  <c r="B161" i="15"/>
  <c r="X160" i="15"/>
  <c r="Z160" i="15" s="1"/>
  <c r="N160" i="15"/>
  <c r="L160" i="15"/>
  <c r="B160" i="15"/>
  <c r="Z159" i="15"/>
  <c r="X159" i="15"/>
  <c r="N159" i="15"/>
  <c r="L159" i="15"/>
  <c r="B159" i="15"/>
  <c r="T158" i="15"/>
  <c r="P158" i="15"/>
  <c r="X158" i="15" s="1"/>
  <c r="Z158" i="15" s="1"/>
  <c r="H158" i="15"/>
  <c r="D158" i="15"/>
  <c r="B158" i="15"/>
  <c r="Z157" i="15"/>
  <c r="X157" i="15"/>
  <c r="N157" i="15"/>
  <c r="L157" i="15"/>
  <c r="B157" i="15"/>
  <c r="X156" i="15"/>
  <c r="Z156" i="15" s="1"/>
  <c r="N156" i="15"/>
  <c r="L156" i="15"/>
  <c r="B156" i="15"/>
  <c r="T155" i="15"/>
  <c r="Z155" i="15" s="1"/>
  <c r="P155" i="15"/>
  <c r="X155" i="15" s="1"/>
  <c r="H155" i="15"/>
  <c r="D155" i="15"/>
  <c r="L155" i="15" s="1"/>
  <c r="N155" i="15" s="1"/>
  <c r="B155" i="15"/>
  <c r="X154" i="15"/>
  <c r="Z154" i="15" s="1"/>
  <c r="L154" i="15"/>
  <c r="N154" i="15" s="1"/>
  <c r="B154" i="15"/>
  <c r="T153" i="15"/>
  <c r="P153" i="15"/>
  <c r="X153" i="15" s="1"/>
  <c r="Z153" i="15" s="1"/>
  <c r="L153" i="15"/>
  <c r="N153" i="15" s="1"/>
  <c r="H153" i="15"/>
  <c r="D153" i="15"/>
  <c r="B153" i="15"/>
  <c r="Z152" i="15"/>
  <c r="X152" i="15"/>
  <c r="N152" i="15"/>
  <c r="L152" i="15"/>
  <c r="B152" i="15"/>
  <c r="X151" i="15"/>
  <c r="Z151" i="15" s="1"/>
  <c r="L151" i="15"/>
  <c r="N151" i="15" s="1"/>
  <c r="B151" i="15"/>
  <c r="X150" i="15"/>
  <c r="Z150" i="15" s="1"/>
  <c r="T150" i="15"/>
  <c r="P150" i="15"/>
  <c r="H150" i="15"/>
  <c r="D150" i="15"/>
  <c r="L150" i="15" s="1"/>
  <c r="B150" i="15"/>
  <c r="Z149" i="15"/>
  <c r="X149" i="15"/>
  <c r="N149" i="15"/>
  <c r="L149" i="15"/>
  <c r="B149" i="15"/>
  <c r="T148" i="15"/>
  <c r="P148" i="15"/>
  <c r="X148" i="15" s="1"/>
  <c r="H148" i="15"/>
  <c r="D148" i="15"/>
  <c r="L148" i="15" s="1"/>
  <c r="N148" i="15" s="1"/>
  <c r="B148" i="15"/>
  <c r="X147" i="15"/>
  <c r="Z147" i="15" s="1"/>
  <c r="L147" i="15"/>
  <c r="N147" i="15" s="1"/>
  <c r="B147" i="15"/>
  <c r="X146" i="15"/>
  <c r="Z146" i="15" s="1"/>
  <c r="L146" i="15"/>
  <c r="N146" i="15" s="1"/>
  <c r="B146" i="15"/>
  <c r="Z145" i="15"/>
  <c r="X145" i="15"/>
  <c r="N145" i="15"/>
  <c r="L145" i="15"/>
  <c r="B145" i="15"/>
  <c r="Z144" i="15"/>
  <c r="X144" i="15"/>
  <c r="L144" i="15"/>
  <c r="N144" i="15" s="1"/>
  <c r="B144" i="15"/>
  <c r="X143" i="15"/>
  <c r="Z143" i="15" s="1"/>
  <c r="N143" i="15"/>
  <c r="L143" i="15"/>
  <c r="B143" i="15"/>
  <c r="X142" i="15"/>
  <c r="Z142" i="15" s="1"/>
  <c r="L142" i="15"/>
  <c r="N142" i="15" s="1"/>
  <c r="B142" i="15"/>
  <c r="Z141" i="15"/>
  <c r="X141" i="15"/>
  <c r="N141" i="15"/>
  <c r="L141" i="15"/>
  <c r="B141" i="15"/>
  <c r="T140" i="15"/>
  <c r="P140" i="15"/>
  <c r="L140" i="15"/>
  <c r="N140" i="15" s="1"/>
  <c r="H140" i="15"/>
  <c r="D140" i="15"/>
  <c r="B140" i="15"/>
  <c r="X139" i="15"/>
  <c r="Z139" i="15" s="1"/>
  <c r="N139" i="15"/>
  <c r="L139" i="15"/>
  <c r="B139" i="15"/>
  <c r="X138" i="15"/>
  <c r="Z138" i="15" s="1"/>
  <c r="L138" i="15"/>
  <c r="N138" i="15" s="1"/>
  <c r="B138" i="15"/>
  <c r="Z137" i="15"/>
  <c r="X137" i="15"/>
  <c r="N137" i="15"/>
  <c r="L137" i="15"/>
  <c r="B137" i="15"/>
  <c r="X136" i="15"/>
  <c r="Z136" i="15" s="1"/>
  <c r="N136" i="15"/>
  <c r="L136" i="15"/>
  <c r="B136" i="15"/>
  <c r="Z135" i="15"/>
  <c r="X135" i="15"/>
  <c r="N135" i="15"/>
  <c r="L135" i="15"/>
  <c r="B135" i="15"/>
  <c r="X134" i="15"/>
  <c r="Z134" i="15" s="1"/>
  <c r="L134" i="15"/>
  <c r="N134" i="15" s="1"/>
  <c r="B134" i="15"/>
  <c r="Z133" i="15"/>
  <c r="X133" i="15"/>
  <c r="N133" i="15"/>
  <c r="L133" i="15"/>
  <c r="B133" i="15"/>
  <c r="Z132" i="15"/>
  <c r="X132" i="15"/>
  <c r="L132" i="15"/>
  <c r="N132" i="15" s="1"/>
  <c r="B132" i="15"/>
  <c r="X131" i="15"/>
  <c r="Z131" i="15" s="1"/>
  <c r="L131" i="15"/>
  <c r="N131" i="15" s="1"/>
  <c r="B131" i="15"/>
  <c r="X130" i="15"/>
  <c r="Z130" i="15" s="1"/>
  <c r="L130" i="15"/>
  <c r="N130" i="15" s="1"/>
  <c r="B130" i="15"/>
  <c r="T129" i="15"/>
  <c r="P129" i="15"/>
  <c r="X129" i="15" s="1"/>
  <c r="Z129" i="15" s="1"/>
  <c r="L129" i="15"/>
  <c r="N129" i="15" s="1"/>
  <c r="H129" i="15"/>
  <c r="D129" i="15"/>
  <c r="B129" i="15"/>
  <c r="T128" i="15" a="1"/>
  <c r="T128" i="15" s="1"/>
  <c r="P128" i="15" a="1"/>
  <c r="P128" i="15"/>
  <c r="X128" i="15" s="1"/>
  <c r="H128" i="15" a="1"/>
  <c r="H128" i="15" s="1"/>
  <c r="D128" i="15" a="1"/>
  <c r="D128" i="15"/>
  <c r="L128" i="15" s="1"/>
  <c r="Z124" i="15"/>
  <c r="X124" i="15"/>
  <c r="N124" i="15"/>
  <c r="L124" i="15"/>
  <c r="B124" i="15"/>
  <c r="X123" i="15"/>
  <c r="Z123" i="15" s="1"/>
  <c r="L123" i="15"/>
  <c r="N123" i="15" s="1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N120" i="15"/>
  <c r="L120" i="15"/>
  <c r="B120" i="15"/>
  <c r="X119" i="15"/>
  <c r="Z119" i="15" s="1"/>
  <c r="L119" i="15"/>
  <c r="N119" i="15" s="1"/>
  <c r="B119" i="15"/>
  <c r="X118" i="15"/>
  <c r="Z118" i="15" s="1"/>
  <c r="L118" i="15"/>
  <c r="N118" i="15" s="1"/>
  <c r="B118" i="15"/>
  <c r="Z117" i="15"/>
  <c r="X117" i="15"/>
  <c r="N117" i="15"/>
  <c r="L117" i="15"/>
  <c r="B117" i="15"/>
  <c r="X116" i="15"/>
  <c r="Z116" i="15" s="1"/>
  <c r="N116" i="15"/>
  <c r="L116" i="15"/>
  <c r="B116" i="15"/>
  <c r="Z115" i="15"/>
  <c r="X115" i="15"/>
  <c r="N115" i="15"/>
  <c r="L115" i="15"/>
  <c r="B115" i="15"/>
  <c r="X114" i="15"/>
  <c r="Z114" i="15" s="1"/>
  <c r="N114" i="15"/>
  <c r="L114" i="15"/>
  <c r="B114" i="15"/>
  <c r="Z113" i="15"/>
  <c r="X113" i="15"/>
  <c r="N113" i="15"/>
  <c r="L113" i="15"/>
  <c r="B113" i="15"/>
  <c r="Z112" i="15"/>
  <c r="X112" i="15"/>
  <c r="N112" i="15"/>
  <c r="L112" i="15"/>
  <c r="B112" i="15"/>
  <c r="X111" i="15"/>
  <c r="Z111" i="15" s="1"/>
  <c r="N111" i="15"/>
  <c r="L111" i="15"/>
  <c r="B111" i="15"/>
  <c r="X110" i="15"/>
  <c r="Z110" i="15" s="1"/>
  <c r="L110" i="15"/>
  <c r="N110" i="15" s="1"/>
  <c r="B110" i="15"/>
  <c r="Z109" i="15"/>
  <c r="X109" i="15"/>
  <c r="N109" i="15"/>
  <c r="L109" i="15"/>
  <c r="B109" i="15"/>
  <c r="Z108" i="15"/>
  <c r="X108" i="15"/>
  <c r="N108" i="15"/>
  <c r="L108" i="15"/>
  <c r="B108" i="15"/>
  <c r="X107" i="15"/>
  <c r="Z107" i="15" s="1"/>
  <c r="L107" i="15"/>
  <c r="N107" i="15" s="1"/>
  <c r="B107" i="15"/>
  <c r="X106" i="15"/>
  <c r="Z106" i="15" s="1"/>
  <c r="L106" i="15"/>
  <c r="N106" i="15" s="1"/>
  <c r="B106" i="15"/>
  <c r="Z105" i="15"/>
  <c r="X105" i="15"/>
  <c r="N105" i="15"/>
  <c r="L105" i="15"/>
  <c r="B105" i="15"/>
  <c r="Z104" i="15"/>
  <c r="X104" i="15"/>
  <c r="N104" i="15"/>
  <c r="L104" i="15"/>
  <c r="B104" i="15"/>
  <c r="X103" i="15"/>
  <c r="Z103" i="15" s="1"/>
  <c r="L103" i="15"/>
  <c r="N103" i="15" s="1"/>
  <c r="B103" i="15"/>
  <c r="X102" i="15"/>
  <c r="Z102" i="15" s="1"/>
  <c r="N102" i="15"/>
  <c r="L102" i="15"/>
  <c r="B102" i="15"/>
  <c r="Z101" i="15"/>
  <c r="X101" i="15"/>
  <c r="N101" i="15"/>
  <c r="L101" i="15"/>
  <c r="B101" i="15"/>
  <c r="X100" i="15"/>
  <c r="Z100" i="15" s="1"/>
  <c r="N100" i="15"/>
  <c r="L100" i="15"/>
  <c r="B100" i="15"/>
  <c r="X99" i="15"/>
  <c r="Z99" i="15" s="1"/>
  <c r="L99" i="15"/>
  <c r="N99" i="15" s="1"/>
  <c r="B99" i="15"/>
  <c r="X98" i="15"/>
  <c r="Z98" i="15" s="1"/>
  <c r="L98" i="15"/>
  <c r="N98" i="15" s="1"/>
  <c r="B98" i="15"/>
  <c r="Z97" i="15"/>
  <c r="X97" i="15"/>
  <c r="N97" i="15"/>
  <c r="L97" i="15"/>
  <c r="B97" i="15"/>
  <c r="Z96" i="15"/>
  <c r="X96" i="15"/>
  <c r="L96" i="15"/>
  <c r="N96" i="15" s="1"/>
  <c r="B96" i="15"/>
  <c r="X95" i="15"/>
  <c r="Z95" i="15" s="1"/>
  <c r="L95" i="15"/>
  <c r="N95" i="15" s="1"/>
  <c r="B95" i="15"/>
  <c r="X94" i="15"/>
  <c r="Z94" i="15" s="1"/>
  <c r="L94" i="15"/>
  <c r="N94" i="15" s="1"/>
  <c r="B94" i="15"/>
  <c r="Z93" i="15"/>
  <c r="X93" i="15"/>
  <c r="N93" i="15"/>
  <c r="L93" i="15"/>
  <c r="B93" i="15"/>
  <c r="X92" i="15"/>
  <c r="Z92" i="15" s="1"/>
  <c r="N92" i="15"/>
  <c r="L92" i="15"/>
  <c r="B92" i="15"/>
  <c r="X91" i="15"/>
  <c r="Z91" i="15" s="1"/>
  <c r="N91" i="15"/>
  <c r="L91" i="15"/>
  <c r="B91" i="15"/>
  <c r="X90" i="15"/>
  <c r="Z90" i="15" s="1"/>
  <c r="N90" i="15"/>
  <c r="L90" i="15"/>
  <c r="B90" i="15"/>
  <c r="Z89" i="15"/>
  <c r="X89" i="15"/>
  <c r="N89" i="15"/>
  <c r="L89" i="15"/>
  <c r="B89" i="15"/>
  <c r="Z88" i="15"/>
  <c r="X88" i="15"/>
  <c r="L88" i="15"/>
  <c r="N88" i="15" s="1"/>
  <c r="B88" i="15"/>
  <c r="X87" i="15"/>
  <c r="Z87" i="15" s="1"/>
  <c r="L87" i="15"/>
  <c r="N87" i="15" s="1"/>
  <c r="B87" i="15"/>
  <c r="X86" i="15"/>
  <c r="Z86" i="15" s="1"/>
  <c r="L86" i="15"/>
  <c r="N86" i="15" s="1"/>
  <c r="B86" i="15"/>
  <c r="Z85" i="15"/>
  <c r="X85" i="15"/>
  <c r="N85" i="15"/>
  <c r="L85" i="15"/>
  <c r="B85" i="15"/>
  <c r="Z84" i="15"/>
  <c r="X84" i="15"/>
  <c r="N84" i="15"/>
  <c r="L84" i="15"/>
  <c r="B84" i="15"/>
  <c r="T83" i="15"/>
  <c r="P83" i="15"/>
  <c r="X83" i="15" s="1"/>
  <c r="H83" i="15"/>
  <c r="D83" i="15"/>
  <c r="L83" i="15" s="1"/>
  <c r="N83" i="15" s="1"/>
  <c r="T81" i="15"/>
  <c r="P81" i="15"/>
  <c r="H81" i="15"/>
  <c r="N81" i="15" s="1"/>
  <c r="D81" i="15"/>
  <c r="L81" i="15" s="1"/>
  <c r="B81" i="15"/>
  <c r="X80" i="15"/>
  <c r="Z80" i="15" s="1"/>
  <c r="T80" i="15"/>
  <c r="P80" i="15"/>
  <c r="L80" i="15"/>
  <c r="H80" i="15"/>
  <c r="N80" i="15" s="1"/>
  <c r="D80" i="15"/>
  <c r="B80" i="15"/>
  <c r="Z79" i="15"/>
  <c r="T79" i="15"/>
  <c r="P79" i="15"/>
  <c r="X79" i="15" s="1"/>
  <c r="N79" i="15"/>
  <c r="H79" i="15"/>
  <c r="D79" i="15"/>
  <c r="L79" i="15" s="1"/>
  <c r="B79" i="15"/>
  <c r="T78" i="15"/>
  <c r="Z78" i="15" s="1"/>
  <c r="P78" i="15"/>
  <c r="X78" i="15" s="1"/>
  <c r="H78" i="15"/>
  <c r="D78" i="15"/>
  <c r="L78" i="15" s="1"/>
  <c r="B78" i="15"/>
  <c r="T77" i="15"/>
  <c r="P77" i="15"/>
  <c r="X77" i="15" s="1"/>
  <c r="H77" i="15"/>
  <c r="D77" i="15"/>
  <c r="B77" i="15"/>
  <c r="X76" i="15"/>
  <c r="T76" i="15"/>
  <c r="Z76" i="15" s="1"/>
  <c r="P76" i="15"/>
  <c r="L76" i="15"/>
  <c r="N76" i="15" s="1"/>
  <c r="H76" i="15"/>
  <c r="D76" i="15"/>
  <c r="B76" i="15"/>
  <c r="Z75" i="15"/>
  <c r="T75" i="15"/>
  <c r="P75" i="15"/>
  <c r="X75" i="15" s="1"/>
  <c r="N75" i="15"/>
  <c r="H75" i="15"/>
  <c r="D75" i="15"/>
  <c r="L75" i="15" s="1"/>
  <c r="B75" i="15"/>
  <c r="T74" i="15"/>
  <c r="Z74" i="15" s="1"/>
  <c r="P74" i="15"/>
  <c r="X74" i="15" s="1"/>
  <c r="H74" i="15"/>
  <c r="D74" i="15"/>
  <c r="L74" i="15" s="1"/>
  <c r="B74" i="15"/>
  <c r="T73" i="15"/>
  <c r="P73" i="15"/>
  <c r="H73" i="15"/>
  <c r="N73" i="15" s="1"/>
  <c r="D73" i="15"/>
  <c r="L73" i="15" s="1"/>
  <c r="B73" i="15"/>
  <c r="X72" i="15"/>
  <c r="Z72" i="15" s="1"/>
  <c r="T72" i="15"/>
  <c r="P72" i="15"/>
  <c r="L72" i="15"/>
  <c r="H72" i="15"/>
  <c r="N72" i="15" s="1"/>
  <c r="D72" i="15"/>
  <c r="B72" i="15"/>
  <c r="Z71" i="15"/>
  <c r="T71" i="15"/>
  <c r="P71" i="15"/>
  <c r="X71" i="15" s="1"/>
  <c r="N71" i="15"/>
  <c r="H71" i="15"/>
  <c r="D71" i="15"/>
  <c r="L71" i="15" s="1"/>
  <c r="B71" i="15"/>
  <c r="T70" i="15"/>
  <c r="Z70" i="15" s="1"/>
  <c r="P70" i="15"/>
  <c r="X70" i="15" s="1"/>
  <c r="H70" i="15"/>
  <c r="D70" i="15"/>
  <c r="L70" i="15" s="1"/>
  <c r="B70" i="15"/>
  <c r="T69" i="15"/>
  <c r="P69" i="15"/>
  <c r="X69" i="15" s="1"/>
  <c r="H69" i="15"/>
  <c r="D69" i="15"/>
  <c r="B69" i="15"/>
  <c r="X68" i="15"/>
  <c r="T68" i="15"/>
  <c r="Z68" i="15" s="1"/>
  <c r="P68" i="15"/>
  <c r="L68" i="15"/>
  <c r="N68" i="15" s="1"/>
  <c r="H68" i="15"/>
  <c r="D68" i="15"/>
  <c r="B68" i="15"/>
  <c r="Z67" i="15"/>
  <c r="T67" i="15"/>
  <c r="P67" i="15"/>
  <c r="X67" i="15" s="1"/>
  <c r="N67" i="15"/>
  <c r="H67" i="15"/>
  <c r="D67" i="15"/>
  <c r="L67" i="15" s="1"/>
  <c r="B67" i="15"/>
  <c r="T66" i="15"/>
  <c r="Z66" i="15" s="1"/>
  <c r="P66" i="15"/>
  <c r="X66" i="15" s="1"/>
  <c r="H66" i="15"/>
  <c r="N66" i="15" s="1"/>
  <c r="D66" i="15"/>
  <c r="L66" i="15" s="1"/>
  <c r="B66" i="15"/>
  <c r="T65" i="15"/>
  <c r="P65" i="15"/>
  <c r="H65" i="15"/>
  <c r="D65" i="15"/>
  <c r="L65" i="15" s="1"/>
  <c r="B65" i="15"/>
  <c r="X64" i="15"/>
  <c r="Z64" i="15" s="1"/>
  <c r="T64" i="15"/>
  <c r="P64" i="15"/>
  <c r="L64" i="15"/>
  <c r="H64" i="15"/>
  <c r="N64" i="15" s="1"/>
  <c r="D64" i="15"/>
  <c r="B64" i="15"/>
  <c r="Z63" i="15"/>
  <c r="T63" i="15"/>
  <c r="P63" i="15"/>
  <c r="X63" i="15" s="1"/>
  <c r="N63" i="15"/>
  <c r="H63" i="15"/>
  <c r="D63" i="15"/>
  <c r="L63" i="15" s="1"/>
  <c r="B63" i="15"/>
  <c r="T62" i="15"/>
  <c r="Z62" i="15" s="1"/>
  <c r="P62" i="15"/>
  <c r="X62" i="15" s="1"/>
  <c r="H62" i="15"/>
  <c r="D62" i="15"/>
  <c r="L62" i="15" s="1"/>
  <c r="B62" i="15"/>
  <c r="T61" i="15"/>
  <c r="P61" i="15"/>
  <c r="X61" i="15" s="1"/>
  <c r="H61" i="15"/>
  <c r="D61" i="15"/>
  <c r="B61" i="15"/>
  <c r="X60" i="15"/>
  <c r="T60" i="15"/>
  <c r="Z60" i="15" s="1"/>
  <c r="P60" i="15"/>
  <c r="L60" i="15"/>
  <c r="N60" i="15" s="1"/>
  <c r="H60" i="15"/>
  <c r="D60" i="15"/>
  <c r="B60" i="15"/>
  <c r="Z59" i="15"/>
  <c r="T59" i="15"/>
  <c r="P59" i="15"/>
  <c r="X59" i="15" s="1"/>
  <c r="N59" i="15"/>
  <c r="H59" i="15"/>
  <c r="D59" i="15"/>
  <c r="L59" i="15" s="1"/>
  <c r="B59" i="15"/>
  <c r="T58" i="15"/>
  <c r="Z58" i="15" s="1"/>
  <c r="P58" i="15"/>
  <c r="X58" i="15" s="1"/>
  <c r="H58" i="15"/>
  <c r="N58" i="15" s="1"/>
  <c r="D58" i="15"/>
  <c r="L58" i="15" s="1"/>
  <c r="B58" i="15"/>
  <c r="T57" i="15"/>
  <c r="P57" i="15"/>
  <c r="H57" i="15"/>
  <c r="D57" i="15"/>
  <c r="L57" i="15" s="1"/>
  <c r="B57" i="15"/>
  <c r="X56" i="15"/>
  <c r="Z56" i="15" s="1"/>
  <c r="T56" i="15"/>
  <c r="P56" i="15"/>
  <c r="L56" i="15"/>
  <c r="H56" i="15"/>
  <c r="N56" i="15" s="1"/>
  <c r="D56" i="15"/>
  <c r="B56" i="15"/>
  <c r="Z55" i="15"/>
  <c r="T55" i="15"/>
  <c r="P55" i="15"/>
  <c r="X55" i="15" s="1"/>
  <c r="N55" i="15"/>
  <c r="H55" i="15"/>
  <c r="D55" i="15"/>
  <c r="L55" i="15" s="1"/>
  <c r="B55" i="15"/>
  <c r="T54" i="15"/>
  <c r="Z54" i="15" s="1"/>
  <c r="P54" i="15"/>
  <c r="X54" i="15" s="1"/>
  <c r="H54" i="15"/>
  <c r="D54" i="15"/>
  <c r="L54" i="15" s="1"/>
  <c r="B54" i="15"/>
  <c r="T53" i="15"/>
  <c r="P53" i="15"/>
  <c r="X53" i="15" s="1"/>
  <c r="H53" i="15"/>
  <c r="D53" i="15"/>
  <c r="B53" i="15"/>
  <c r="X52" i="15"/>
  <c r="T52" i="15"/>
  <c r="Z52" i="15" s="1"/>
  <c r="P52" i="15"/>
  <c r="L52" i="15"/>
  <c r="N52" i="15" s="1"/>
  <c r="H52" i="15"/>
  <c r="D52" i="15"/>
  <c r="B52" i="15"/>
  <c r="Z51" i="15"/>
  <c r="T51" i="15"/>
  <c r="P51" i="15"/>
  <c r="X51" i="15" s="1"/>
  <c r="N51" i="15"/>
  <c r="H51" i="15"/>
  <c r="D51" i="15"/>
  <c r="L51" i="15" s="1"/>
  <c r="B51" i="15"/>
  <c r="T50" i="15"/>
  <c r="Z50" i="15" s="1"/>
  <c r="P50" i="15"/>
  <c r="X50" i="15" s="1"/>
  <c r="H50" i="15"/>
  <c r="D50" i="15"/>
  <c r="L50" i="15" s="1"/>
  <c r="B50" i="15"/>
  <c r="T49" i="15"/>
  <c r="P49" i="15"/>
  <c r="H49" i="15"/>
  <c r="N49" i="15" s="1"/>
  <c r="D49" i="15"/>
  <c r="L49" i="15" s="1"/>
  <c r="B49" i="15"/>
  <c r="X48" i="15"/>
  <c r="Z48" i="15" s="1"/>
  <c r="T48" i="15"/>
  <c r="P48" i="15"/>
  <c r="L48" i="15"/>
  <c r="H48" i="15"/>
  <c r="N48" i="15" s="1"/>
  <c r="D48" i="15"/>
  <c r="B48" i="15"/>
  <c r="Z47" i="15"/>
  <c r="T47" i="15"/>
  <c r="P47" i="15"/>
  <c r="X47" i="15" s="1"/>
  <c r="N47" i="15"/>
  <c r="H47" i="15"/>
  <c r="D47" i="15"/>
  <c r="L47" i="15" s="1"/>
  <c r="B47" i="15"/>
  <c r="T46" i="15"/>
  <c r="Z46" i="15" s="1"/>
  <c r="P46" i="15"/>
  <c r="X46" i="15" s="1"/>
  <c r="H46" i="15"/>
  <c r="N46" i="15" s="1"/>
  <c r="D46" i="15"/>
  <c r="L46" i="15" s="1"/>
  <c r="B46" i="15"/>
  <c r="T45" i="15"/>
  <c r="P45" i="15"/>
  <c r="X45" i="15" s="1"/>
  <c r="H45" i="15"/>
  <c r="D45" i="15"/>
  <c r="B45" i="15"/>
  <c r="X44" i="15"/>
  <c r="T44" i="15"/>
  <c r="Z44" i="15" s="1"/>
  <c r="P44" i="15"/>
  <c r="L44" i="15"/>
  <c r="N44" i="15" s="1"/>
  <c r="H44" i="15"/>
  <c r="D44" i="15"/>
  <c r="B44" i="15"/>
  <c r="Z43" i="15"/>
  <c r="T43" i="15"/>
  <c r="P43" i="15"/>
  <c r="X43" i="15" s="1"/>
  <c r="N43" i="15"/>
  <c r="H43" i="15"/>
  <c r="D43" i="15"/>
  <c r="L43" i="15" s="1"/>
  <c r="B43" i="15"/>
  <c r="T42" i="15"/>
  <c r="Z42" i="15" s="1"/>
  <c r="P42" i="15"/>
  <c r="X42" i="15" s="1"/>
  <c r="H42" i="15"/>
  <c r="N42" i="15" s="1"/>
  <c r="D42" i="15"/>
  <c r="L42" i="15" s="1"/>
  <c r="B42" i="15"/>
  <c r="T41" i="15"/>
  <c r="P41" i="15"/>
  <c r="H41" i="15"/>
  <c r="N41" i="15" s="1"/>
  <c r="D41" i="15"/>
  <c r="L41" i="15" s="1"/>
  <c r="B41" i="15"/>
  <c r="X40" i="15"/>
  <c r="Z40" i="15" s="1"/>
  <c r="T40" i="15"/>
  <c r="P40" i="15"/>
  <c r="L40" i="15"/>
  <c r="H40" i="15"/>
  <c r="N40" i="15" s="1"/>
  <c r="D40" i="15"/>
  <c r="B40" i="15"/>
  <c r="Z39" i="15"/>
  <c r="T39" i="15"/>
  <c r="P39" i="15"/>
  <c r="X39" i="15" s="1"/>
  <c r="N39" i="15"/>
  <c r="H39" i="15"/>
  <c r="D39" i="15"/>
  <c r="L39" i="15" s="1"/>
  <c r="B39" i="15"/>
  <c r="T38" i="15"/>
  <c r="Z38" i="15" s="1"/>
  <c r="P38" i="15"/>
  <c r="X38" i="15" s="1"/>
  <c r="H38" i="15"/>
  <c r="N38" i="15" s="1"/>
  <c r="D38" i="15"/>
  <c r="L38" i="15" s="1"/>
  <c r="B38" i="15"/>
  <c r="T37" i="15"/>
  <c r="P37" i="15"/>
  <c r="X37" i="15" s="1"/>
  <c r="H37" i="15"/>
  <c r="D37" i="15"/>
  <c r="B37" i="15"/>
  <c r="X36" i="15"/>
  <c r="T36" i="15"/>
  <c r="Z36" i="15" s="1"/>
  <c r="P36" i="15"/>
  <c r="L36" i="15"/>
  <c r="N36" i="15" s="1"/>
  <c r="H36" i="15"/>
  <c r="D36" i="15"/>
  <c r="B36" i="15"/>
  <c r="Z35" i="15"/>
  <c r="T35" i="15"/>
  <c r="P35" i="15"/>
  <c r="X35" i="15" s="1"/>
  <c r="N35" i="15"/>
  <c r="H35" i="15"/>
  <c r="D35" i="15"/>
  <c r="L35" i="15" s="1"/>
  <c r="B35" i="15"/>
  <c r="T34" i="15"/>
  <c r="Z34" i="15" s="1"/>
  <c r="P34" i="15"/>
  <c r="X34" i="15" s="1"/>
  <c r="H34" i="15"/>
  <c r="D34" i="15"/>
  <c r="L34" i="15" s="1"/>
  <c r="B34" i="15"/>
  <c r="T33" i="15"/>
  <c r="P33" i="15"/>
  <c r="H33" i="15"/>
  <c r="N33" i="15" s="1"/>
  <c r="D33" i="15"/>
  <c r="L33" i="15" s="1"/>
  <c r="B33" i="15"/>
  <c r="X32" i="15"/>
  <c r="Z32" i="15" s="1"/>
  <c r="T32" i="15"/>
  <c r="P32" i="15"/>
  <c r="L32" i="15"/>
  <c r="H32" i="15"/>
  <c r="N32" i="15" s="1"/>
  <c r="D32" i="15"/>
  <c r="B32" i="15"/>
  <c r="Z31" i="15"/>
  <c r="T31" i="15"/>
  <c r="P31" i="15"/>
  <c r="X31" i="15" s="1"/>
  <c r="N31" i="15"/>
  <c r="H31" i="15"/>
  <c r="D31" i="15"/>
  <c r="L31" i="15" s="1"/>
  <c r="B31" i="15"/>
  <c r="T30" i="15"/>
  <c r="Z30" i="15" s="1"/>
  <c r="P30" i="15"/>
  <c r="X30" i="15" s="1"/>
  <c r="H30" i="15"/>
  <c r="D30" i="15"/>
  <c r="L30" i="15" s="1"/>
  <c r="B30" i="15"/>
  <c r="T29" i="15"/>
  <c r="P29" i="15"/>
  <c r="X29" i="15" s="1"/>
  <c r="H29" i="15"/>
  <c r="D29" i="15"/>
  <c r="B29" i="15"/>
  <c r="X28" i="15"/>
  <c r="T28" i="15"/>
  <c r="Z28" i="15" s="1"/>
  <c r="P28" i="15"/>
  <c r="L28" i="15"/>
  <c r="N28" i="15" s="1"/>
  <c r="H28" i="15"/>
  <c r="D28" i="15"/>
  <c r="B28" i="15"/>
  <c r="Z27" i="15"/>
  <c r="T27" i="15"/>
  <c r="P27" i="15"/>
  <c r="X27" i="15" s="1"/>
  <c r="N27" i="15"/>
  <c r="H27" i="15"/>
  <c r="D27" i="15"/>
  <c r="L27" i="15" s="1"/>
  <c r="B27" i="15"/>
  <c r="T26" i="15"/>
  <c r="Z26" i="15" s="1"/>
  <c r="P26" i="15"/>
  <c r="X26" i="15" s="1"/>
  <c r="H26" i="15"/>
  <c r="D26" i="15"/>
  <c r="L26" i="15" s="1"/>
  <c r="B26" i="15"/>
  <c r="T25" i="15"/>
  <c r="P25" i="15"/>
  <c r="H25" i="15"/>
  <c r="N25" i="15" s="1"/>
  <c r="D25" i="15"/>
  <c r="L25" i="15" s="1"/>
  <c r="B25" i="15"/>
  <c r="X24" i="15"/>
  <c r="Z24" i="15" s="1"/>
  <c r="T24" i="15"/>
  <c r="P24" i="15"/>
  <c r="L24" i="15"/>
  <c r="H24" i="15"/>
  <c r="N24" i="15" s="1"/>
  <c r="D24" i="15"/>
  <c r="B24" i="15"/>
  <c r="Z23" i="15"/>
  <c r="T23" i="15"/>
  <c r="P23" i="15"/>
  <c r="X23" i="15" s="1"/>
  <c r="N23" i="15"/>
  <c r="H23" i="15"/>
  <c r="D23" i="15"/>
  <c r="L23" i="15" s="1"/>
  <c r="B23" i="15"/>
  <c r="T22" i="15"/>
  <c r="Z22" i="15" s="1"/>
  <c r="P22" i="15"/>
  <c r="X22" i="15" s="1"/>
  <c r="H22" i="15"/>
  <c r="D22" i="15"/>
  <c r="L22" i="15" s="1"/>
  <c r="B22" i="15"/>
  <c r="T21" i="15"/>
  <c r="P21" i="15"/>
  <c r="X21" i="15" s="1"/>
  <c r="H21" i="15"/>
  <c r="D21" i="15"/>
  <c r="B21" i="15"/>
  <c r="X20" i="15"/>
  <c r="T20" i="15"/>
  <c r="Z20" i="15" s="1"/>
  <c r="P20" i="15"/>
  <c r="L20" i="15"/>
  <c r="N20" i="15" s="1"/>
  <c r="H20" i="15"/>
  <c r="D20" i="15"/>
  <c r="B20" i="15"/>
  <c r="Z19" i="15"/>
  <c r="T19" i="15"/>
  <c r="P19" i="15"/>
  <c r="X19" i="15" s="1"/>
  <c r="N19" i="15"/>
  <c r="H19" i="15"/>
  <c r="D19" i="15"/>
  <c r="L19" i="15" s="1"/>
  <c r="B19" i="15"/>
  <c r="T18" i="15"/>
  <c r="Z18" i="15" s="1"/>
  <c r="P18" i="15"/>
  <c r="X18" i="15" s="1"/>
  <c r="H18" i="15"/>
  <c r="D18" i="15"/>
  <c r="L18" i="15" s="1"/>
  <c r="B18" i="15"/>
  <c r="T17" i="15"/>
  <c r="P17" i="15"/>
  <c r="H17" i="15"/>
  <c r="N17" i="15" s="1"/>
  <c r="D17" i="15"/>
  <c r="L17" i="15" s="1"/>
  <c r="B17" i="15"/>
  <c r="X16" i="15"/>
  <c r="Z16" i="15" s="1"/>
  <c r="T16" i="15"/>
  <c r="P16" i="15"/>
  <c r="L16" i="15"/>
  <c r="H16" i="15"/>
  <c r="N16" i="15" s="1"/>
  <c r="D16" i="15"/>
  <c r="B16" i="15"/>
  <c r="Z15" i="15"/>
  <c r="T15" i="15"/>
  <c r="P15" i="15"/>
  <c r="X15" i="15" s="1"/>
  <c r="N15" i="15"/>
  <c r="H15" i="15"/>
  <c r="D15" i="15"/>
  <c r="L15" i="15" s="1"/>
  <c r="B15" i="15"/>
  <c r="T14" i="15"/>
  <c r="Z14" i="15" s="1"/>
  <c r="P14" i="15"/>
  <c r="X14" i="15" s="1"/>
  <c r="H14" i="15"/>
  <c r="D14" i="15"/>
  <c r="B14" i="15"/>
  <c r="T13" i="15"/>
  <c r="P13" i="15"/>
  <c r="H13" i="15"/>
  <c r="D13" i="15"/>
  <c r="B13" i="15"/>
  <c r="D4" i="15"/>
  <c r="B39" i="14"/>
  <c r="B38" i="14"/>
  <c r="T34" i="14"/>
  <c r="Z34" i="14" s="1"/>
  <c r="P34" i="14"/>
  <c r="H34" i="14"/>
  <c r="N34" i="14" s="1"/>
  <c r="D34" i="14"/>
  <c r="L34" i="14" s="1"/>
  <c r="T33" i="14"/>
  <c r="Z33" i="14" s="1"/>
  <c r="P33" i="14"/>
  <c r="H33" i="14"/>
  <c r="D33" i="14"/>
  <c r="T29" i="14"/>
  <c r="Z29" i="14" s="1"/>
  <c r="P29" i="14"/>
  <c r="H29" i="14"/>
  <c r="N29" i="14" s="1"/>
  <c r="D29" i="14"/>
  <c r="T25" i="14"/>
  <c r="Z25" i="14" s="1"/>
  <c r="P25" i="14"/>
  <c r="H25" i="14"/>
  <c r="D25" i="14"/>
  <c r="B25" i="14"/>
  <c r="T24" i="14"/>
  <c r="Z24" i="14" s="1"/>
  <c r="P24" i="14"/>
  <c r="H24" i="14"/>
  <c r="D24" i="14"/>
  <c r="T22" i="14"/>
  <c r="Z22" i="14" s="1"/>
  <c r="P22" i="14"/>
  <c r="H22" i="14"/>
  <c r="N22" i="14" s="1"/>
  <c r="D22" i="14"/>
  <c r="B22" i="14"/>
  <c r="T21" i="14"/>
  <c r="P21" i="14"/>
  <c r="H21" i="14"/>
  <c r="N21" i="14" s="1"/>
  <c r="D21" i="14"/>
  <c r="B21" i="14"/>
  <c r="T20" i="14"/>
  <c r="P20" i="14"/>
  <c r="H20" i="14"/>
  <c r="N20" i="14" s="1"/>
  <c r="D20" i="14"/>
  <c r="T16" i="14"/>
  <c r="P16" i="14"/>
  <c r="H16" i="14"/>
  <c r="N16" i="14" s="1"/>
  <c r="D16" i="14"/>
  <c r="B16" i="14"/>
  <c r="T15" i="14"/>
  <c r="Z15" i="14" s="1"/>
  <c r="P15" i="14"/>
  <c r="H15" i="14"/>
  <c r="D15" i="14"/>
  <c r="T13" i="14"/>
  <c r="Z13" i="14" s="1"/>
  <c r="P13" i="14"/>
  <c r="H13" i="14"/>
  <c r="D13" i="14"/>
  <c r="B13" i="14"/>
  <c r="T12" i="14"/>
  <c r="V36" i="14" s="1"/>
  <c r="P12" i="14"/>
  <c r="R20" i="14" s="1"/>
  <c r="H12" i="14"/>
  <c r="J36" i="14" s="1"/>
  <c r="D12" i="14"/>
  <c r="F33" i="14" s="1"/>
  <c r="D5" i="14"/>
  <c r="D4" i="14"/>
  <c r="B39" i="13"/>
  <c r="B38" i="13"/>
  <c r="T34" i="13"/>
  <c r="Z34" i="13" s="1"/>
  <c r="P34" i="13"/>
  <c r="H34" i="13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D15" i="13"/>
  <c r="T13" i="13"/>
  <c r="Z13" i="13" s="1"/>
  <c r="P13" i="13"/>
  <c r="H13" i="13"/>
  <c r="N13" i="13" s="1"/>
  <c r="D13" i="13"/>
  <c r="B13" i="13"/>
  <c r="T12" i="13"/>
  <c r="V34" i="13" s="1"/>
  <c r="P12" i="13"/>
  <c r="H12" i="13"/>
  <c r="J21" i="13" s="1"/>
  <c r="D12" i="13"/>
  <c r="F24" i="13" s="1"/>
  <c r="D5" i="13"/>
  <c r="D4" i="13"/>
  <c r="X237" i="12"/>
  <c r="Z237" i="12" s="1"/>
  <c r="L237" i="12"/>
  <c r="N237" i="12" s="1"/>
  <c r="T233" i="12"/>
  <c r="Z233" i="12" s="1"/>
  <c r="P233" i="12"/>
  <c r="X233" i="12" s="1"/>
  <c r="N233" i="12"/>
  <c r="H233" i="12"/>
  <c r="D233" i="12"/>
  <c r="L233" i="12" s="1"/>
  <c r="B233" i="12"/>
  <c r="T232" i="12"/>
  <c r="P232" i="12"/>
  <c r="P228" i="12" s="1"/>
  <c r="H232" i="12"/>
  <c r="D232" i="12"/>
  <c r="B232" i="12"/>
  <c r="T231" i="12"/>
  <c r="X231" i="12" s="1"/>
  <c r="Z231" i="12" s="1"/>
  <c r="P231" i="12"/>
  <c r="H231" i="12"/>
  <c r="N231" i="12" s="1"/>
  <c r="D231" i="12"/>
  <c r="L231" i="12" s="1"/>
  <c r="B231" i="12"/>
  <c r="T230" i="12"/>
  <c r="P230" i="12"/>
  <c r="H230" i="12"/>
  <c r="D230" i="12"/>
  <c r="D228" i="12" s="1"/>
  <c r="B230" i="12"/>
  <c r="X229" i="12"/>
  <c r="T229" i="12"/>
  <c r="Z229" i="12" s="1"/>
  <c r="P229" i="12"/>
  <c r="N229" i="12"/>
  <c r="H229" i="12"/>
  <c r="L229" i="12" s="1"/>
  <c r="D229" i="12"/>
  <c r="B229" i="12"/>
  <c r="X226" i="12"/>
  <c r="Z226" i="12" s="1"/>
  <c r="L226" i="12"/>
  <c r="N226" i="12" s="1"/>
  <c r="B226" i="12"/>
  <c r="Z225" i="12"/>
  <c r="T225" i="12"/>
  <c r="P225" i="12"/>
  <c r="X225" i="12" s="1"/>
  <c r="L225" i="12"/>
  <c r="N225" i="12" s="1"/>
  <c r="H225" i="12"/>
  <c r="D225" i="12"/>
  <c r="B225" i="12"/>
  <c r="Z224" i="12"/>
  <c r="X224" i="12"/>
  <c r="N224" i="12"/>
  <c r="L224" i="12"/>
  <c r="B224" i="12"/>
  <c r="X223" i="12"/>
  <c r="Z223" i="12" s="1"/>
  <c r="N223" i="12"/>
  <c r="L223" i="12"/>
  <c r="B223" i="12"/>
  <c r="X222" i="12"/>
  <c r="Z222" i="12" s="1"/>
  <c r="N222" i="12"/>
  <c r="L222" i="12"/>
  <c r="B222" i="12"/>
  <c r="T221" i="12"/>
  <c r="P221" i="12"/>
  <c r="X221" i="12" s="1"/>
  <c r="Z221" i="12" s="1"/>
  <c r="N221" i="12"/>
  <c r="L221" i="12"/>
  <c r="H221" i="12"/>
  <c r="D221" i="12"/>
  <c r="B221" i="12"/>
  <c r="Z220" i="12"/>
  <c r="X220" i="12"/>
  <c r="N220" i="12"/>
  <c r="L220" i="12"/>
  <c r="B220" i="12"/>
  <c r="X219" i="12"/>
  <c r="T219" i="12"/>
  <c r="Z219" i="12" s="1"/>
  <c r="P219" i="12"/>
  <c r="N219" i="12"/>
  <c r="H219" i="12"/>
  <c r="L219" i="12" s="1"/>
  <c r="D219" i="12"/>
  <c r="B219" i="12"/>
  <c r="X218" i="12"/>
  <c r="Z218" i="12" s="1"/>
  <c r="L218" i="12"/>
  <c r="N218" i="12" s="1"/>
  <c r="B218" i="12"/>
  <c r="Z217" i="12"/>
  <c r="X217" i="12"/>
  <c r="N217" i="12"/>
  <c r="L217" i="12"/>
  <c r="B217" i="12"/>
  <c r="T216" i="12"/>
  <c r="P216" i="12"/>
  <c r="H216" i="12"/>
  <c r="D216" i="12"/>
  <c r="L216" i="12" s="1"/>
  <c r="N216" i="12" s="1"/>
  <c r="B216" i="12"/>
  <c r="X215" i="12"/>
  <c r="Z215" i="12" s="1"/>
  <c r="L215" i="12"/>
  <c r="N215" i="12" s="1"/>
  <c r="B215" i="12"/>
  <c r="X214" i="12"/>
  <c r="Z214" i="12" s="1"/>
  <c r="L214" i="12"/>
  <c r="N214" i="12" s="1"/>
  <c r="B214" i="12"/>
  <c r="Z213" i="12"/>
  <c r="X213" i="12"/>
  <c r="N213" i="12"/>
  <c r="L213" i="12"/>
  <c r="B213" i="12"/>
  <c r="Z212" i="12"/>
  <c r="X212" i="12"/>
  <c r="L212" i="12"/>
  <c r="N212" i="12" s="1"/>
  <c r="B212" i="12"/>
  <c r="X211" i="12"/>
  <c r="Z211" i="12" s="1"/>
  <c r="L211" i="12"/>
  <c r="N211" i="12" s="1"/>
  <c r="B211" i="12"/>
  <c r="X210" i="12"/>
  <c r="Z210" i="12" s="1"/>
  <c r="L210" i="12"/>
  <c r="N210" i="12" s="1"/>
  <c r="B210" i="12"/>
  <c r="Z209" i="12"/>
  <c r="X209" i="12"/>
  <c r="N209" i="12"/>
  <c r="L209" i="12"/>
  <c r="B209" i="12"/>
  <c r="T208" i="12"/>
  <c r="P208" i="12"/>
  <c r="L208" i="12"/>
  <c r="N208" i="12" s="1"/>
  <c r="H208" i="12"/>
  <c r="D208" i="12"/>
  <c r="B208" i="12"/>
  <c r="X207" i="12"/>
  <c r="Z207" i="12" s="1"/>
  <c r="N207" i="12"/>
  <c r="L207" i="12"/>
  <c r="B207" i="12"/>
  <c r="X206" i="12"/>
  <c r="Z206" i="12" s="1"/>
  <c r="L206" i="12"/>
  <c r="N206" i="12" s="1"/>
  <c r="B206" i="12"/>
  <c r="T205" i="12"/>
  <c r="P205" i="12"/>
  <c r="X205" i="12" s="1"/>
  <c r="Z205" i="12" s="1"/>
  <c r="L205" i="12"/>
  <c r="H205" i="12"/>
  <c r="N205" i="12" s="1"/>
  <c r="D205" i="12"/>
  <c r="B205" i="12"/>
  <c r="Z204" i="12"/>
  <c r="X204" i="12"/>
  <c r="N204" i="12"/>
  <c r="L204" i="12"/>
  <c r="B204" i="12"/>
  <c r="X203" i="12"/>
  <c r="Z203" i="12" s="1"/>
  <c r="L203" i="12"/>
  <c r="N203" i="12" s="1"/>
  <c r="B203" i="12"/>
  <c r="X202" i="12"/>
  <c r="Z202" i="12" s="1"/>
  <c r="L202" i="12"/>
  <c r="N202" i="12" s="1"/>
  <c r="B202" i="12"/>
  <c r="Z201" i="12"/>
  <c r="X201" i="12"/>
  <c r="N201" i="12"/>
  <c r="L201" i="12"/>
  <c r="B201" i="12"/>
  <c r="X200" i="12"/>
  <c r="Z200" i="12" s="1"/>
  <c r="N200" i="12"/>
  <c r="L200" i="12"/>
  <c r="B200" i="12"/>
  <c r="T199" i="12"/>
  <c r="P199" i="12"/>
  <c r="X199" i="12" s="1"/>
  <c r="N199" i="12"/>
  <c r="H199" i="12"/>
  <c r="D199" i="12"/>
  <c r="L199" i="12" s="1"/>
  <c r="B199" i="12"/>
  <c r="X198" i="12"/>
  <c r="Z198" i="12" s="1"/>
  <c r="L198" i="12"/>
  <c r="N198" i="12" s="1"/>
  <c r="B198" i="12"/>
  <c r="Z197" i="12"/>
  <c r="X197" i="12"/>
  <c r="N197" i="12"/>
  <c r="L197" i="12"/>
  <c r="B197" i="12"/>
  <c r="X196" i="12"/>
  <c r="Z196" i="12" s="1"/>
  <c r="N196" i="12"/>
  <c r="L196" i="12"/>
  <c r="B196" i="12"/>
  <c r="T195" i="12"/>
  <c r="P195" i="12"/>
  <c r="X195" i="12" s="1"/>
  <c r="N195" i="12"/>
  <c r="H195" i="12"/>
  <c r="D195" i="12"/>
  <c r="L195" i="12" s="1"/>
  <c r="B195" i="12"/>
  <c r="Z194" i="12"/>
  <c r="X194" i="12"/>
  <c r="L194" i="12"/>
  <c r="N194" i="12" s="1"/>
  <c r="B194" i="12"/>
  <c r="Z193" i="12"/>
  <c r="X193" i="12"/>
  <c r="N193" i="12"/>
  <c r="L193" i="12"/>
  <c r="B193" i="12"/>
  <c r="X192" i="12"/>
  <c r="Z192" i="12" s="1"/>
  <c r="N192" i="12"/>
  <c r="L192" i="12"/>
  <c r="B192" i="12"/>
  <c r="X191" i="12"/>
  <c r="Z191" i="12" s="1"/>
  <c r="N191" i="12"/>
  <c r="L191" i="12"/>
  <c r="B191" i="12"/>
  <c r="T190" i="12"/>
  <c r="P190" i="12"/>
  <c r="X190" i="12" s="1"/>
  <c r="Z190" i="12" s="1"/>
  <c r="H190" i="12"/>
  <c r="D190" i="12"/>
  <c r="B190" i="12"/>
  <c r="Z189" i="12"/>
  <c r="X189" i="12"/>
  <c r="N189" i="12"/>
  <c r="L189" i="12"/>
  <c r="B189" i="12"/>
  <c r="T188" i="12"/>
  <c r="P188" i="12"/>
  <c r="L188" i="12"/>
  <c r="N188" i="12" s="1"/>
  <c r="H188" i="12"/>
  <c r="D188" i="12"/>
  <c r="B188" i="12"/>
  <c r="Z187" i="12"/>
  <c r="X187" i="12"/>
  <c r="N187" i="12"/>
  <c r="L187" i="12"/>
  <c r="B187" i="12"/>
  <c r="Z186" i="12"/>
  <c r="T186" i="12"/>
  <c r="P186" i="12"/>
  <c r="X186" i="12" s="1"/>
  <c r="H186" i="12"/>
  <c r="N186" i="12" s="1"/>
  <c r="D186" i="12"/>
  <c r="L186" i="12" s="1"/>
  <c r="B186" i="12"/>
  <c r="Z185" i="12"/>
  <c r="X185" i="12"/>
  <c r="N185" i="12"/>
  <c r="L185" i="12"/>
  <c r="B185" i="12"/>
  <c r="Z184" i="12"/>
  <c r="X184" i="12"/>
  <c r="L184" i="12"/>
  <c r="N184" i="12" s="1"/>
  <c r="B184" i="12"/>
  <c r="X183" i="12"/>
  <c r="Z183" i="12" s="1"/>
  <c r="T183" i="12"/>
  <c r="P183" i="12"/>
  <c r="H183" i="12"/>
  <c r="D183" i="12"/>
  <c r="B183" i="12"/>
  <c r="X182" i="12"/>
  <c r="Z182" i="12" s="1"/>
  <c r="L182" i="12"/>
  <c r="N182" i="12" s="1"/>
  <c r="B182" i="12"/>
  <c r="Z181" i="12"/>
  <c r="T181" i="12"/>
  <c r="X181" i="12" s="1"/>
  <c r="P181" i="12"/>
  <c r="H181" i="12"/>
  <c r="D181" i="12"/>
  <c r="L181" i="12" s="1"/>
  <c r="B181" i="12"/>
  <c r="X180" i="12"/>
  <c r="Z180" i="12" s="1"/>
  <c r="N180" i="12"/>
  <c r="L180" i="12"/>
  <c r="B180" i="12"/>
  <c r="T179" i="12"/>
  <c r="Z179" i="12" s="1"/>
  <c r="P179" i="12"/>
  <c r="X179" i="12" s="1"/>
  <c r="H179" i="12"/>
  <c r="D179" i="12"/>
  <c r="L179" i="12" s="1"/>
  <c r="N179" i="12" s="1"/>
  <c r="B179" i="12"/>
  <c r="X178" i="12"/>
  <c r="Z178" i="12" s="1"/>
  <c r="L178" i="12"/>
  <c r="N178" i="12" s="1"/>
  <c r="B178" i="12"/>
  <c r="T177" i="12"/>
  <c r="P177" i="12"/>
  <c r="X177" i="12" s="1"/>
  <c r="Z177" i="12" s="1"/>
  <c r="L177" i="12"/>
  <c r="H177" i="12"/>
  <c r="N177" i="12" s="1"/>
  <c r="D177" i="12"/>
  <c r="B177" i="12"/>
  <c r="Z176" i="12"/>
  <c r="X176" i="12"/>
  <c r="L176" i="12"/>
  <c r="N176" i="12" s="1"/>
  <c r="B176" i="12"/>
  <c r="X175" i="12"/>
  <c r="Z175" i="12" s="1"/>
  <c r="L175" i="12"/>
  <c r="N175" i="12" s="1"/>
  <c r="B175" i="12"/>
  <c r="Z174" i="12"/>
  <c r="X174" i="12"/>
  <c r="T174" i="12"/>
  <c r="P174" i="12"/>
  <c r="H174" i="12"/>
  <c r="D174" i="12"/>
  <c r="L174" i="12" s="1"/>
  <c r="B174" i="12"/>
  <c r="Z173" i="12"/>
  <c r="X173" i="12"/>
  <c r="N173" i="12"/>
  <c r="L173" i="12"/>
  <c r="B173" i="12"/>
  <c r="T172" i="12"/>
  <c r="P172" i="12"/>
  <c r="X172" i="12" s="1"/>
  <c r="H172" i="12"/>
  <c r="D172" i="12"/>
  <c r="L172" i="12" s="1"/>
  <c r="N172" i="12" s="1"/>
  <c r="B172" i="12"/>
  <c r="X171" i="12"/>
  <c r="Z171" i="12" s="1"/>
  <c r="N171" i="12"/>
  <c r="L171" i="12"/>
  <c r="B171" i="12"/>
  <c r="X170" i="12"/>
  <c r="Z170" i="12" s="1"/>
  <c r="T170" i="12"/>
  <c r="P170" i="12"/>
  <c r="H170" i="12"/>
  <c r="D170" i="12"/>
  <c r="B170" i="12"/>
  <c r="Z169" i="12"/>
  <c r="X169" i="12"/>
  <c r="N169" i="12"/>
  <c r="L169" i="12"/>
  <c r="B169" i="12"/>
  <c r="T168" i="12"/>
  <c r="P168" i="12"/>
  <c r="N168" i="12"/>
  <c r="L168" i="12"/>
  <c r="H168" i="12"/>
  <c r="D168" i="12"/>
  <c r="B168" i="12"/>
  <c r="X167" i="12"/>
  <c r="Z167" i="12" s="1"/>
  <c r="N167" i="12"/>
  <c r="L167" i="12"/>
  <c r="B167" i="12"/>
  <c r="Z166" i="12"/>
  <c r="X166" i="12"/>
  <c r="N166" i="12"/>
  <c r="L166" i="12"/>
  <c r="B166" i="12"/>
  <c r="T165" i="12"/>
  <c r="P165" i="12"/>
  <c r="X165" i="12" s="1"/>
  <c r="Z165" i="12" s="1"/>
  <c r="N165" i="12"/>
  <c r="L165" i="12"/>
  <c r="H165" i="12"/>
  <c r="D165" i="12"/>
  <c r="B165" i="12"/>
  <c r="Z164" i="12"/>
  <c r="X164" i="12"/>
  <c r="L164" i="12"/>
  <c r="N164" i="12" s="1"/>
  <c r="B164" i="12"/>
  <c r="X163" i="12"/>
  <c r="Z163" i="12" s="1"/>
  <c r="L163" i="12"/>
  <c r="N163" i="12" s="1"/>
  <c r="B163" i="12"/>
  <c r="X162" i="12"/>
  <c r="Z162" i="12" s="1"/>
  <c r="T162" i="12"/>
  <c r="P162" i="12"/>
  <c r="H162" i="12"/>
  <c r="D162" i="12"/>
  <c r="B162" i="12"/>
  <c r="X161" i="12"/>
  <c r="Z161" i="12" s="1"/>
  <c r="N161" i="12"/>
  <c r="L161" i="12"/>
  <c r="B161" i="12"/>
  <c r="T160" i="12"/>
  <c r="P160" i="12"/>
  <c r="X160" i="12" s="1"/>
  <c r="Z160" i="12" s="1"/>
  <c r="H160" i="12"/>
  <c r="D160" i="12"/>
  <c r="L160" i="12" s="1"/>
  <c r="N160" i="12" s="1"/>
  <c r="B160" i="12"/>
  <c r="X159" i="12"/>
  <c r="Z159" i="12" s="1"/>
  <c r="N159" i="12"/>
  <c r="L159" i="12"/>
  <c r="B159" i="12"/>
  <c r="X158" i="12"/>
  <c r="Z158" i="12" s="1"/>
  <c r="N158" i="12"/>
  <c r="L158" i="12"/>
  <c r="B158" i="12"/>
  <c r="X157" i="12"/>
  <c r="T157" i="12"/>
  <c r="Z157" i="12" s="1"/>
  <c r="P157" i="12"/>
  <c r="H157" i="12"/>
  <c r="D157" i="12"/>
  <c r="L157" i="12" s="1"/>
  <c r="B157" i="12"/>
  <c r="X156" i="12"/>
  <c r="Z156" i="12" s="1"/>
  <c r="N156" i="12"/>
  <c r="L156" i="12"/>
  <c r="B156" i="12"/>
  <c r="T155" i="12"/>
  <c r="P155" i="12"/>
  <c r="H155" i="12"/>
  <c r="D155" i="12"/>
  <c r="L155" i="12" s="1"/>
  <c r="N155" i="12" s="1"/>
  <c r="B155" i="12"/>
  <c r="X154" i="12"/>
  <c r="Z154" i="12" s="1"/>
  <c r="L154" i="12"/>
  <c r="N154" i="12" s="1"/>
  <c r="B154" i="12"/>
  <c r="Z153" i="12"/>
  <c r="X153" i="12"/>
  <c r="N153" i="12"/>
  <c r="L153" i="12"/>
  <c r="B153" i="12"/>
  <c r="X152" i="12"/>
  <c r="Z152" i="12" s="1"/>
  <c r="N152" i="12"/>
  <c r="L152" i="12"/>
  <c r="B152" i="12"/>
  <c r="X151" i="12"/>
  <c r="Z151" i="12" s="1"/>
  <c r="L151" i="12"/>
  <c r="N151" i="12" s="1"/>
  <c r="B151" i="12"/>
  <c r="X150" i="12"/>
  <c r="Z150" i="12" s="1"/>
  <c r="N150" i="12"/>
  <c r="L150" i="12"/>
  <c r="B150" i="12"/>
  <c r="Z149" i="12"/>
  <c r="X149" i="12"/>
  <c r="N149" i="12"/>
  <c r="L149" i="12"/>
  <c r="B149" i="12"/>
  <c r="Z148" i="12"/>
  <c r="X148" i="12"/>
  <c r="L148" i="12"/>
  <c r="N148" i="12" s="1"/>
  <c r="B148" i="12"/>
  <c r="X147" i="12"/>
  <c r="T147" i="12"/>
  <c r="P147" i="12"/>
  <c r="L147" i="12"/>
  <c r="H147" i="12"/>
  <c r="N147" i="12" s="1"/>
  <c r="D147" i="12"/>
  <c r="B147" i="12"/>
  <c r="X146" i="12"/>
  <c r="Z146" i="12" s="1"/>
  <c r="L146" i="12"/>
  <c r="N146" i="12" s="1"/>
  <c r="B146" i="12"/>
  <c r="Z145" i="12"/>
  <c r="X145" i="12"/>
  <c r="N145" i="12"/>
  <c r="L145" i="12"/>
  <c r="B145" i="12"/>
  <c r="Z144" i="12"/>
  <c r="X144" i="12"/>
  <c r="L144" i="12"/>
  <c r="N144" i="12" s="1"/>
  <c r="B144" i="12"/>
  <c r="X143" i="12"/>
  <c r="Z143" i="12" s="1"/>
  <c r="L143" i="12"/>
  <c r="N143" i="12" s="1"/>
  <c r="B143" i="12"/>
  <c r="Z142" i="12"/>
  <c r="X142" i="12"/>
  <c r="N142" i="12"/>
  <c r="L142" i="12"/>
  <c r="B142" i="12"/>
  <c r="Z141" i="12"/>
  <c r="X141" i="12"/>
  <c r="L141" i="12"/>
  <c r="N141" i="12" s="1"/>
  <c r="B141" i="12"/>
  <c r="X140" i="12"/>
  <c r="Z140" i="12" s="1"/>
  <c r="N140" i="12"/>
  <c r="L140" i="12"/>
  <c r="B140" i="12"/>
  <c r="X139" i="12"/>
  <c r="Z139" i="12" s="1"/>
  <c r="L139" i="12"/>
  <c r="N139" i="12" s="1"/>
  <c r="B139" i="12"/>
  <c r="X138" i="12"/>
  <c r="Z138" i="12" s="1"/>
  <c r="N138" i="12"/>
  <c r="L138" i="12"/>
  <c r="B138" i="12"/>
  <c r="Z137" i="12"/>
  <c r="X137" i="12"/>
  <c r="N137" i="12"/>
  <c r="L137" i="12"/>
  <c r="B137" i="12"/>
  <c r="T136" i="12"/>
  <c r="P136" i="12"/>
  <c r="H136" i="12"/>
  <c r="D136" i="12"/>
  <c r="L136" i="12" s="1"/>
  <c r="N136" i="12" s="1"/>
  <c r="B136" i="12"/>
  <c r="T135" i="12" a="1"/>
  <c r="T135" i="12" s="1"/>
  <c r="P135" i="12" a="1"/>
  <c r="P135" i="12" s="1"/>
  <c r="X135" i="12" s="1"/>
  <c r="H135" i="12" a="1"/>
  <c r="H135" i="12" s="1"/>
  <c r="D135" i="12" a="1"/>
  <c r="D135" i="12" s="1"/>
  <c r="L135" i="12" s="1"/>
  <c r="Z131" i="12"/>
  <c r="X131" i="12"/>
  <c r="N131" i="12"/>
  <c r="L131" i="12"/>
  <c r="B131" i="12"/>
  <c r="X130" i="12"/>
  <c r="Z130" i="12" s="1"/>
  <c r="L130" i="12"/>
  <c r="N130" i="12" s="1"/>
  <c r="B130" i="12"/>
  <c r="Z129" i="12"/>
  <c r="X129" i="12"/>
  <c r="N129" i="12"/>
  <c r="L129" i="12"/>
  <c r="B129" i="12"/>
  <c r="X128" i="12"/>
  <c r="Z128" i="12" s="1"/>
  <c r="N128" i="12"/>
  <c r="L128" i="12"/>
  <c r="B128" i="12"/>
  <c r="X127" i="12"/>
  <c r="Z127" i="12" s="1"/>
  <c r="N127" i="12"/>
  <c r="L127" i="12"/>
  <c r="B127" i="12"/>
  <c r="X126" i="12"/>
  <c r="Z126" i="12" s="1"/>
  <c r="L126" i="12"/>
  <c r="N126" i="12" s="1"/>
  <c r="B126" i="12"/>
  <c r="X125" i="12"/>
  <c r="Z125" i="12" s="1"/>
  <c r="N125" i="12"/>
  <c r="L125" i="12"/>
  <c r="B125" i="12"/>
  <c r="Z124" i="12"/>
  <c r="X124" i="12"/>
  <c r="L124" i="12"/>
  <c r="N124" i="12" s="1"/>
  <c r="B124" i="12"/>
  <c r="X123" i="12"/>
  <c r="Z123" i="12" s="1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X119" i="12"/>
  <c r="Z119" i="12" s="1"/>
  <c r="N119" i="12"/>
  <c r="L119" i="12"/>
  <c r="B119" i="12"/>
  <c r="X118" i="12"/>
  <c r="Z118" i="12" s="1"/>
  <c r="N118" i="12"/>
  <c r="L118" i="12"/>
  <c r="B118" i="12"/>
  <c r="Z117" i="12"/>
  <c r="X117" i="12"/>
  <c r="N117" i="12"/>
  <c r="L117" i="12"/>
  <c r="B117" i="12"/>
  <c r="Z116" i="12"/>
  <c r="X116" i="12"/>
  <c r="L116" i="12"/>
  <c r="N116" i="12" s="1"/>
  <c r="B116" i="12"/>
  <c r="Z115" i="12"/>
  <c r="X115" i="12"/>
  <c r="N115" i="12"/>
  <c r="L115" i="12"/>
  <c r="B115" i="12"/>
  <c r="Z114" i="12"/>
  <c r="X114" i="12"/>
  <c r="L114" i="12"/>
  <c r="N114" i="12" s="1"/>
  <c r="B114" i="12"/>
  <c r="Z113" i="12"/>
  <c r="X113" i="12"/>
  <c r="L113" i="12"/>
  <c r="N113" i="12" s="1"/>
  <c r="B113" i="12"/>
  <c r="Z112" i="12"/>
  <c r="X112" i="12"/>
  <c r="N112" i="12"/>
  <c r="L112" i="12"/>
  <c r="B112" i="12"/>
  <c r="X111" i="12"/>
  <c r="Z111" i="12" s="1"/>
  <c r="N111" i="12"/>
  <c r="L111" i="12"/>
  <c r="B111" i="12"/>
  <c r="X110" i="12"/>
  <c r="Z110" i="12" s="1"/>
  <c r="N110" i="12"/>
  <c r="L110" i="12"/>
  <c r="B110" i="12"/>
  <c r="X109" i="12"/>
  <c r="Z109" i="12" s="1"/>
  <c r="N109" i="12"/>
  <c r="L109" i="12"/>
  <c r="B109" i="12"/>
  <c r="Z108" i="12"/>
  <c r="X108" i="12"/>
  <c r="L108" i="12"/>
  <c r="N108" i="12" s="1"/>
  <c r="B108" i="12"/>
  <c r="X107" i="12"/>
  <c r="Z107" i="12" s="1"/>
  <c r="N107" i="12"/>
  <c r="L107" i="12"/>
  <c r="B107" i="12"/>
  <c r="X106" i="12"/>
  <c r="Z106" i="12" s="1"/>
  <c r="L106" i="12"/>
  <c r="N106" i="12" s="1"/>
  <c r="B106" i="12"/>
  <c r="Z105" i="12"/>
  <c r="X105" i="12"/>
  <c r="N105" i="12"/>
  <c r="L105" i="12"/>
  <c r="B105" i="12"/>
  <c r="X104" i="12"/>
  <c r="Z104" i="12" s="1"/>
  <c r="N104" i="12"/>
  <c r="L104" i="12"/>
  <c r="B104" i="12"/>
  <c r="X103" i="12"/>
  <c r="Z103" i="12" s="1"/>
  <c r="L103" i="12"/>
  <c r="N103" i="12" s="1"/>
  <c r="B103" i="12"/>
  <c r="Z102" i="12"/>
  <c r="X102" i="12"/>
  <c r="N102" i="12"/>
  <c r="L102" i="12"/>
  <c r="B102" i="12"/>
  <c r="Z101" i="12"/>
  <c r="X101" i="12"/>
  <c r="N101" i="12"/>
  <c r="L101" i="12"/>
  <c r="B101" i="12"/>
  <c r="Z100" i="12"/>
  <c r="X100" i="12"/>
  <c r="L100" i="12"/>
  <c r="N100" i="12" s="1"/>
  <c r="B100" i="12"/>
  <c r="X99" i="12"/>
  <c r="Z99" i="12" s="1"/>
  <c r="L99" i="12"/>
  <c r="N99" i="12" s="1"/>
  <c r="B99" i="12"/>
  <c r="X98" i="12"/>
  <c r="Z98" i="12" s="1"/>
  <c r="N98" i="12"/>
  <c r="L98" i="12"/>
  <c r="B98" i="12"/>
  <c r="Z97" i="12"/>
  <c r="X97" i="12"/>
  <c r="N97" i="12"/>
  <c r="L97" i="12"/>
  <c r="B97" i="12"/>
  <c r="X96" i="12"/>
  <c r="Z96" i="12" s="1"/>
  <c r="N96" i="12"/>
  <c r="L96" i="12"/>
  <c r="B96" i="12"/>
  <c r="Z95" i="12"/>
  <c r="X95" i="12"/>
  <c r="N95" i="12"/>
  <c r="L95" i="12"/>
  <c r="B95" i="12"/>
  <c r="Z94" i="12"/>
  <c r="X94" i="12"/>
  <c r="N94" i="12"/>
  <c r="L94" i="12"/>
  <c r="B94" i="12"/>
  <c r="Z93" i="12"/>
  <c r="X93" i="12"/>
  <c r="N93" i="12"/>
  <c r="L93" i="12"/>
  <c r="B93" i="12"/>
  <c r="Z92" i="12"/>
  <c r="X92" i="12"/>
  <c r="L92" i="12"/>
  <c r="N92" i="12" s="1"/>
  <c r="B92" i="12"/>
  <c r="X91" i="12"/>
  <c r="Z91" i="12" s="1"/>
  <c r="L91" i="12"/>
  <c r="N91" i="12" s="1"/>
  <c r="B91" i="12"/>
  <c r="X90" i="12"/>
  <c r="Z90" i="12" s="1"/>
  <c r="L90" i="12"/>
  <c r="N90" i="12" s="1"/>
  <c r="B90" i="12"/>
  <c r="Z89" i="12"/>
  <c r="X89" i="12"/>
  <c r="N89" i="12"/>
  <c r="L89" i="12"/>
  <c r="B89" i="12"/>
  <c r="T88" i="12"/>
  <c r="P88" i="12"/>
  <c r="L88" i="12"/>
  <c r="N88" i="12" s="1"/>
  <c r="H88" i="12"/>
  <c r="D88" i="12"/>
  <c r="Z86" i="12"/>
  <c r="T86" i="12"/>
  <c r="P86" i="12"/>
  <c r="H86" i="12"/>
  <c r="N86" i="12" s="1"/>
  <c r="D86" i="12"/>
  <c r="B86" i="12"/>
  <c r="T85" i="12"/>
  <c r="P85" i="12"/>
  <c r="H85" i="12"/>
  <c r="N85" i="12" s="1"/>
  <c r="D85" i="12"/>
  <c r="B85" i="12"/>
  <c r="X84" i="12"/>
  <c r="Z84" i="12" s="1"/>
  <c r="T84" i="12"/>
  <c r="P84" i="12"/>
  <c r="L84" i="12"/>
  <c r="N84" i="12" s="1"/>
  <c r="H84" i="12"/>
  <c r="D84" i="12"/>
  <c r="B84" i="12"/>
  <c r="T83" i="12"/>
  <c r="P83" i="12"/>
  <c r="L83" i="12"/>
  <c r="N83" i="12" s="1"/>
  <c r="H83" i="12"/>
  <c r="D83" i="12"/>
  <c r="B83" i="12"/>
  <c r="X82" i="12"/>
  <c r="T82" i="12"/>
  <c r="P82" i="12"/>
  <c r="H82" i="12"/>
  <c r="D82" i="12"/>
  <c r="B82" i="12"/>
  <c r="X81" i="12"/>
  <c r="T81" i="12"/>
  <c r="Z81" i="12" s="1"/>
  <c r="P81" i="12"/>
  <c r="H81" i="12"/>
  <c r="D81" i="12"/>
  <c r="B81" i="12"/>
  <c r="X80" i="12"/>
  <c r="T80" i="12"/>
  <c r="Z80" i="12" s="1"/>
  <c r="P80" i="12"/>
  <c r="L80" i="12"/>
  <c r="N80" i="12" s="1"/>
  <c r="H80" i="12"/>
  <c r="D80" i="12"/>
  <c r="B80" i="12"/>
  <c r="Z79" i="12"/>
  <c r="X79" i="12"/>
  <c r="T79" i="12"/>
  <c r="P79" i="12"/>
  <c r="N79" i="12"/>
  <c r="H79" i="12"/>
  <c r="D79" i="12"/>
  <c r="L79" i="12" s="1"/>
  <c r="B79" i="12"/>
  <c r="Z78" i="12"/>
  <c r="T78" i="12"/>
  <c r="P78" i="12"/>
  <c r="H78" i="12"/>
  <c r="N78" i="12" s="1"/>
  <c r="D78" i="12"/>
  <c r="B78" i="12"/>
  <c r="T77" i="12"/>
  <c r="P77" i="12"/>
  <c r="H77" i="12"/>
  <c r="D77" i="12"/>
  <c r="B77" i="12"/>
  <c r="X76" i="12"/>
  <c r="Z76" i="12" s="1"/>
  <c r="T76" i="12"/>
  <c r="P76" i="12"/>
  <c r="L76" i="12"/>
  <c r="N76" i="12" s="1"/>
  <c r="H76" i="12"/>
  <c r="D76" i="12"/>
  <c r="B76" i="12"/>
  <c r="T75" i="12"/>
  <c r="P75" i="12"/>
  <c r="L75" i="12"/>
  <c r="N75" i="12" s="1"/>
  <c r="H75" i="12"/>
  <c r="D75" i="12"/>
  <c r="B75" i="12"/>
  <c r="X74" i="12"/>
  <c r="T74" i="12"/>
  <c r="P74" i="12"/>
  <c r="H74" i="12"/>
  <c r="D74" i="12"/>
  <c r="B74" i="12"/>
  <c r="X73" i="12"/>
  <c r="T73" i="12"/>
  <c r="Z73" i="12" s="1"/>
  <c r="P73" i="12"/>
  <c r="H73" i="12"/>
  <c r="D73" i="12"/>
  <c r="B73" i="12"/>
  <c r="X72" i="12"/>
  <c r="T72" i="12"/>
  <c r="P72" i="12"/>
  <c r="L72" i="12"/>
  <c r="N72" i="12" s="1"/>
  <c r="H72" i="12"/>
  <c r="D72" i="12"/>
  <c r="B72" i="12"/>
  <c r="Z71" i="12"/>
  <c r="X71" i="12"/>
  <c r="T71" i="12"/>
  <c r="P71" i="12"/>
  <c r="N71" i="12"/>
  <c r="H71" i="12"/>
  <c r="D71" i="12"/>
  <c r="L71" i="12" s="1"/>
  <c r="B71" i="12"/>
  <c r="T70" i="12"/>
  <c r="P70" i="12"/>
  <c r="H70" i="12"/>
  <c r="D70" i="12"/>
  <c r="B70" i="12"/>
  <c r="T69" i="12"/>
  <c r="P69" i="12"/>
  <c r="H69" i="12"/>
  <c r="D69" i="12"/>
  <c r="B69" i="12"/>
  <c r="X68" i="12"/>
  <c r="Z68" i="12" s="1"/>
  <c r="T68" i="12"/>
  <c r="P68" i="12"/>
  <c r="N68" i="12"/>
  <c r="L68" i="12"/>
  <c r="H68" i="12"/>
  <c r="D68" i="12"/>
  <c r="B68" i="12"/>
  <c r="T67" i="12"/>
  <c r="P67" i="12"/>
  <c r="L67" i="12"/>
  <c r="N67" i="12" s="1"/>
  <c r="H67" i="12"/>
  <c r="D67" i="12"/>
  <c r="B67" i="12"/>
  <c r="X66" i="12"/>
  <c r="T66" i="12"/>
  <c r="P66" i="12"/>
  <c r="H66" i="12"/>
  <c r="N66" i="12" s="1"/>
  <c r="D66" i="12"/>
  <c r="B66" i="12"/>
  <c r="X65" i="12"/>
  <c r="T65" i="12"/>
  <c r="P65" i="12"/>
  <c r="H65" i="12"/>
  <c r="D65" i="12"/>
  <c r="B65" i="12"/>
  <c r="X64" i="12"/>
  <c r="T64" i="12"/>
  <c r="P64" i="12"/>
  <c r="L64" i="12"/>
  <c r="N64" i="12" s="1"/>
  <c r="H64" i="12"/>
  <c r="D64" i="12"/>
  <c r="B64" i="12"/>
  <c r="Z63" i="12"/>
  <c r="X63" i="12"/>
  <c r="T63" i="12"/>
  <c r="P63" i="12"/>
  <c r="N63" i="12"/>
  <c r="H63" i="12"/>
  <c r="D63" i="12"/>
  <c r="L63" i="12" s="1"/>
  <c r="B63" i="12"/>
  <c r="T62" i="12"/>
  <c r="P62" i="12"/>
  <c r="X62" i="12" s="1"/>
  <c r="Z62" i="12" s="1"/>
  <c r="H62" i="12"/>
  <c r="D62" i="12"/>
  <c r="L62" i="12" s="1"/>
  <c r="B62" i="12"/>
  <c r="T61" i="12"/>
  <c r="Z61" i="12" s="1"/>
  <c r="P61" i="12"/>
  <c r="H61" i="12"/>
  <c r="N61" i="12" s="1"/>
  <c r="D61" i="12"/>
  <c r="B61" i="12"/>
  <c r="X60" i="12"/>
  <c r="Z60" i="12" s="1"/>
  <c r="T60" i="12"/>
  <c r="P60" i="12"/>
  <c r="L60" i="12"/>
  <c r="H60" i="12"/>
  <c r="N60" i="12" s="1"/>
  <c r="D60" i="12"/>
  <c r="B60" i="12"/>
  <c r="T59" i="12"/>
  <c r="P59" i="12"/>
  <c r="X59" i="12" s="1"/>
  <c r="Z59" i="12" s="1"/>
  <c r="N59" i="12"/>
  <c r="L59" i="12"/>
  <c r="H59" i="12"/>
  <c r="D59" i="12"/>
  <c r="B59" i="12"/>
  <c r="T58" i="12"/>
  <c r="P58" i="12"/>
  <c r="X58" i="12" s="1"/>
  <c r="N58" i="12"/>
  <c r="H58" i="12"/>
  <c r="D58" i="12"/>
  <c r="L58" i="12" s="1"/>
  <c r="B58" i="12"/>
  <c r="T57" i="12"/>
  <c r="P57" i="12"/>
  <c r="X57" i="12" s="1"/>
  <c r="H57" i="12"/>
  <c r="D57" i="12"/>
  <c r="B57" i="12"/>
  <c r="X56" i="12"/>
  <c r="T56" i="12"/>
  <c r="P56" i="12"/>
  <c r="L56" i="12"/>
  <c r="N56" i="12" s="1"/>
  <c r="H56" i="12"/>
  <c r="D56" i="12"/>
  <c r="B56" i="12"/>
  <c r="Z55" i="12"/>
  <c r="X55" i="12"/>
  <c r="T55" i="12"/>
  <c r="P55" i="12"/>
  <c r="H55" i="12"/>
  <c r="D55" i="12"/>
  <c r="L55" i="12" s="1"/>
  <c r="N55" i="12" s="1"/>
  <c r="B55" i="12"/>
  <c r="T54" i="12"/>
  <c r="P54" i="12"/>
  <c r="X54" i="12" s="1"/>
  <c r="Z54" i="12" s="1"/>
  <c r="H54" i="12"/>
  <c r="N54" i="12" s="1"/>
  <c r="D54" i="12"/>
  <c r="L54" i="12" s="1"/>
  <c r="B54" i="12"/>
  <c r="T53" i="12"/>
  <c r="P53" i="12"/>
  <c r="H53" i="12"/>
  <c r="D53" i="12"/>
  <c r="L53" i="12" s="1"/>
  <c r="B53" i="12"/>
  <c r="X52" i="12"/>
  <c r="Z52" i="12" s="1"/>
  <c r="T52" i="12"/>
  <c r="P52" i="12"/>
  <c r="L52" i="12"/>
  <c r="H52" i="12"/>
  <c r="N52" i="12" s="1"/>
  <c r="D52" i="12"/>
  <c r="B52" i="12"/>
  <c r="T51" i="12"/>
  <c r="P51" i="12"/>
  <c r="X51" i="12" s="1"/>
  <c r="Z51" i="12" s="1"/>
  <c r="N51" i="12"/>
  <c r="L51" i="12"/>
  <c r="H51" i="12"/>
  <c r="D51" i="12"/>
  <c r="B51" i="12"/>
  <c r="T50" i="12"/>
  <c r="Z50" i="12" s="1"/>
  <c r="P50" i="12"/>
  <c r="X50" i="12" s="1"/>
  <c r="N50" i="12"/>
  <c r="H50" i="12"/>
  <c r="D50" i="12"/>
  <c r="L50" i="12" s="1"/>
  <c r="B50" i="12"/>
  <c r="T49" i="12"/>
  <c r="P49" i="12"/>
  <c r="H49" i="12"/>
  <c r="N49" i="12" s="1"/>
  <c r="D49" i="12"/>
  <c r="B49" i="12"/>
  <c r="X48" i="12"/>
  <c r="T48" i="12"/>
  <c r="P48" i="12"/>
  <c r="L48" i="12"/>
  <c r="N48" i="12" s="1"/>
  <c r="H48" i="12"/>
  <c r="D48" i="12"/>
  <c r="B48" i="12"/>
  <c r="Z47" i="12"/>
  <c r="X47" i="12"/>
  <c r="T47" i="12"/>
  <c r="P47" i="12"/>
  <c r="H47" i="12"/>
  <c r="D47" i="12"/>
  <c r="L47" i="12" s="1"/>
  <c r="N47" i="12" s="1"/>
  <c r="B47" i="12"/>
  <c r="T46" i="12"/>
  <c r="P46" i="12"/>
  <c r="X46" i="12" s="1"/>
  <c r="Z46" i="12" s="1"/>
  <c r="H46" i="12"/>
  <c r="N46" i="12" s="1"/>
  <c r="D46" i="12"/>
  <c r="L46" i="12" s="1"/>
  <c r="B46" i="12"/>
  <c r="T45" i="12"/>
  <c r="P45" i="12"/>
  <c r="H45" i="12"/>
  <c r="N45" i="12" s="1"/>
  <c r="D45" i="12"/>
  <c r="B45" i="12"/>
  <c r="X44" i="12"/>
  <c r="Z44" i="12" s="1"/>
  <c r="T44" i="12"/>
  <c r="P44" i="12"/>
  <c r="L44" i="12"/>
  <c r="H44" i="12"/>
  <c r="N44" i="12" s="1"/>
  <c r="D44" i="12"/>
  <c r="B44" i="12"/>
  <c r="T43" i="12"/>
  <c r="P43" i="12"/>
  <c r="X43" i="12" s="1"/>
  <c r="Z43" i="12" s="1"/>
  <c r="N43" i="12"/>
  <c r="L43" i="12"/>
  <c r="H43" i="12"/>
  <c r="D43" i="12"/>
  <c r="B43" i="12"/>
  <c r="T42" i="12"/>
  <c r="P42" i="12"/>
  <c r="X42" i="12" s="1"/>
  <c r="H42" i="12"/>
  <c r="D42" i="12"/>
  <c r="L42" i="12" s="1"/>
  <c r="N42" i="12" s="1"/>
  <c r="B42" i="12"/>
  <c r="T41" i="12"/>
  <c r="P41" i="12"/>
  <c r="H41" i="12"/>
  <c r="N41" i="12" s="1"/>
  <c r="D41" i="12"/>
  <c r="B41" i="12"/>
  <c r="X40" i="12"/>
  <c r="T40" i="12"/>
  <c r="P40" i="12"/>
  <c r="L40" i="12"/>
  <c r="N40" i="12" s="1"/>
  <c r="H40" i="12"/>
  <c r="D40" i="12"/>
  <c r="B40" i="12"/>
  <c r="Z39" i="12"/>
  <c r="X39" i="12"/>
  <c r="T39" i="12"/>
  <c r="P39" i="12"/>
  <c r="H39" i="12"/>
  <c r="D39" i="12"/>
  <c r="L39" i="12" s="1"/>
  <c r="N39" i="12" s="1"/>
  <c r="B39" i="12"/>
  <c r="T38" i="12"/>
  <c r="P38" i="12"/>
  <c r="X38" i="12" s="1"/>
  <c r="Z38" i="12" s="1"/>
  <c r="H38" i="12"/>
  <c r="N38" i="12" s="1"/>
  <c r="D38" i="12"/>
  <c r="L38" i="12" s="1"/>
  <c r="B38" i="12"/>
  <c r="T37" i="12"/>
  <c r="P37" i="12"/>
  <c r="H37" i="12"/>
  <c r="D37" i="12"/>
  <c r="B37" i="12"/>
  <c r="X36" i="12"/>
  <c r="Z36" i="12" s="1"/>
  <c r="T36" i="12"/>
  <c r="P36" i="12"/>
  <c r="L36" i="12"/>
  <c r="H36" i="12"/>
  <c r="N36" i="12" s="1"/>
  <c r="D36" i="12"/>
  <c r="B36" i="12"/>
  <c r="T35" i="12"/>
  <c r="P35" i="12"/>
  <c r="X35" i="12" s="1"/>
  <c r="Z35" i="12" s="1"/>
  <c r="N35" i="12"/>
  <c r="L35" i="12"/>
  <c r="H35" i="12"/>
  <c r="D35" i="12"/>
  <c r="B35" i="12"/>
  <c r="T34" i="12"/>
  <c r="Z34" i="12" s="1"/>
  <c r="P34" i="12"/>
  <c r="X34" i="12" s="1"/>
  <c r="N34" i="12"/>
  <c r="H34" i="12"/>
  <c r="D34" i="12"/>
  <c r="L34" i="12" s="1"/>
  <c r="B34" i="12"/>
  <c r="T33" i="12"/>
  <c r="Z33" i="12" s="1"/>
  <c r="P33" i="12"/>
  <c r="X33" i="12" s="1"/>
  <c r="H33" i="12"/>
  <c r="N33" i="12" s="1"/>
  <c r="D33" i="12"/>
  <c r="B33" i="12"/>
  <c r="X32" i="12"/>
  <c r="T32" i="12"/>
  <c r="Z32" i="12" s="1"/>
  <c r="P32" i="12"/>
  <c r="L32" i="12"/>
  <c r="N32" i="12" s="1"/>
  <c r="H32" i="12"/>
  <c r="D32" i="12"/>
  <c r="B32" i="12"/>
  <c r="Z31" i="12"/>
  <c r="X31" i="12"/>
  <c r="T31" i="12"/>
  <c r="P31" i="12"/>
  <c r="H31" i="12"/>
  <c r="D31" i="12"/>
  <c r="L31" i="12" s="1"/>
  <c r="N31" i="12" s="1"/>
  <c r="B31" i="12"/>
  <c r="T30" i="12"/>
  <c r="P30" i="12"/>
  <c r="X30" i="12" s="1"/>
  <c r="Z30" i="12" s="1"/>
  <c r="H30" i="12"/>
  <c r="D30" i="12"/>
  <c r="L30" i="12" s="1"/>
  <c r="B30" i="12"/>
  <c r="T29" i="12"/>
  <c r="P29" i="12"/>
  <c r="H29" i="12"/>
  <c r="D29" i="12"/>
  <c r="L29" i="12" s="1"/>
  <c r="B29" i="12"/>
  <c r="X28" i="12"/>
  <c r="Z28" i="12" s="1"/>
  <c r="T28" i="12"/>
  <c r="P28" i="12"/>
  <c r="L28" i="12"/>
  <c r="H28" i="12"/>
  <c r="N28" i="12" s="1"/>
  <c r="D28" i="12"/>
  <c r="B28" i="12"/>
  <c r="T27" i="12"/>
  <c r="P27" i="12"/>
  <c r="X27" i="12" s="1"/>
  <c r="Z27" i="12" s="1"/>
  <c r="N27" i="12"/>
  <c r="L27" i="12"/>
  <c r="H27" i="12"/>
  <c r="D27" i="12"/>
  <c r="B27" i="12"/>
  <c r="T26" i="12"/>
  <c r="Z26" i="12" s="1"/>
  <c r="P26" i="12"/>
  <c r="X26" i="12" s="1"/>
  <c r="N26" i="12"/>
  <c r="H26" i="12"/>
  <c r="D26" i="12"/>
  <c r="L26" i="12" s="1"/>
  <c r="B26" i="12"/>
  <c r="T25" i="12"/>
  <c r="P25" i="12"/>
  <c r="H25" i="12"/>
  <c r="N25" i="12" s="1"/>
  <c r="D25" i="12"/>
  <c r="B25" i="12"/>
  <c r="X24" i="12"/>
  <c r="T24" i="12"/>
  <c r="Z24" i="12" s="1"/>
  <c r="P24" i="12"/>
  <c r="L24" i="12"/>
  <c r="N24" i="12" s="1"/>
  <c r="H24" i="12"/>
  <c r="D24" i="12"/>
  <c r="B24" i="12"/>
  <c r="Z23" i="12"/>
  <c r="X23" i="12"/>
  <c r="T23" i="12"/>
  <c r="P23" i="12"/>
  <c r="H23" i="12"/>
  <c r="D23" i="12"/>
  <c r="L23" i="12" s="1"/>
  <c r="N23" i="12" s="1"/>
  <c r="B23" i="12"/>
  <c r="T22" i="12"/>
  <c r="P22" i="12"/>
  <c r="X22" i="12" s="1"/>
  <c r="Z22" i="12" s="1"/>
  <c r="H22" i="12"/>
  <c r="D22" i="12"/>
  <c r="L22" i="12" s="1"/>
  <c r="B22" i="12"/>
  <c r="T21" i="12"/>
  <c r="P21" i="12"/>
  <c r="H21" i="12"/>
  <c r="D21" i="12"/>
  <c r="B21" i="12"/>
  <c r="X20" i="12"/>
  <c r="Z20" i="12" s="1"/>
  <c r="T20" i="12"/>
  <c r="P20" i="12"/>
  <c r="L20" i="12"/>
  <c r="H20" i="12"/>
  <c r="D20" i="12"/>
  <c r="B20" i="12"/>
  <c r="T19" i="12"/>
  <c r="P19" i="12"/>
  <c r="X19" i="12" s="1"/>
  <c r="Z19" i="12" s="1"/>
  <c r="N19" i="12"/>
  <c r="L19" i="12"/>
  <c r="H19" i="12"/>
  <c r="D19" i="12"/>
  <c r="B19" i="12"/>
  <c r="T18" i="12"/>
  <c r="Z18" i="12" s="1"/>
  <c r="P18" i="12"/>
  <c r="X18" i="12" s="1"/>
  <c r="H18" i="12"/>
  <c r="D18" i="12"/>
  <c r="L18" i="12" s="1"/>
  <c r="N18" i="12" s="1"/>
  <c r="B18" i="12"/>
  <c r="T17" i="12"/>
  <c r="P17" i="12"/>
  <c r="H17" i="12"/>
  <c r="N17" i="12" s="1"/>
  <c r="D17" i="12"/>
  <c r="B17" i="12"/>
  <c r="X16" i="12"/>
  <c r="T16" i="12"/>
  <c r="Z16" i="12" s="1"/>
  <c r="P16" i="12"/>
  <c r="L16" i="12"/>
  <c r="N16" i="12" s="1"/>
  <c r="H16" i="12"/>
  <c r="D16" i="12"/>
  <c r="B16" i="12"/>
  <c r="Z15" i="12"/>
  <c r="X15" i="12"/>
  <c r="T15" i="12"/>
  <c r="P15" i="12"/>
  <c r="H15" i="12"/>
  <c r="D15" i="12"/>
  <c r="L15" i="12" s="1"/>
  <c r="N15" i="12" s="1"/>
  <c r="B15" i="12"/>
  <c r="T14" i="12"/>
  <c r="P14" i="12"/>
  <c r="X14" i="12" s="1"/>
  <c r="Z14" i="12" s="1"/>
  <c r="H14" i="12"/>
  <c r="D14" i="12"/>
  <c r="L14" i="12" s="1"/>
  <c r="B14" i="12"/>
  <c r="T13" i="12"/>
  <c r="P13" i="12"/>
  <c r="H13" i="12"/>
  <c r="D13" i="12"/>
  <c r="B13" i="12"/>
  <c r="D4" i="12"/>
  <c r="B39" i="11"/>
  <c r="B38" i="11"/>
  <c r="T34" i="11"/>
  <c r="Z34" i="11" s="1"/>
  <c r="P34" i="11"/>
  <c r="H34" i="1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P12" i="11"/>
  <c r="R18" i="11" s="1"/>
  <c r="H12" i="11"/>
  <c r="J20" i="11" s="1"/>
  <c r="D12" i="1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D33" i="10"/>
  <c r="T29" i="10"/>
  <c r="Z29" i="10" s="1"/>
  <c r="P29" i="10"/>
  <c r="H29" i="10"/>
  <c r="D29" i="10"/>
  <c r="T25" i="10"/>
  <c r="Z25" i="10" s="1"/>
  <c r="P25" i="10"/>
  <c r="H25" i="10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D15" i="10"/>
  <c r="T13" i="10"/>
  <c r="Z13" i="10" s="1"/>
  <c r="P13" i="10"/>
  <c r="H13" i="10"/>
  <c r="N13" i="10" s="1"/>
  <c r="D13" i="10"/>
  <c r="B13" i="10"/>
  <c r="T12" i="10"/>
  <c r="Z12" i="10" s="1"/>
  <c r="P12" i="10"/>
  <c r="R21" i="10" s="1"/>
  <c r="H12" i="10"/>
  <c r="D12" i="10"/>
  <c r="D5" i="10"/>
  <c r="D4" i="10"/>
  <c r="F97" i="9"/>
  <c r="R94" i="9"/>
  <c r="F94" i="9"/>
  <c r="Z92" i="9"/>
  <c r="X92" i="9"/>
  <c r="N92" i="9"/>
  <c r="L92" i="9"/>
  <c r="V90" i="9"/>
  <c r="F90" i="9"/>
  <c r="Z88" i="9"/>
  <c r="T88" i="9"/>
  <c r="R88" i="9"/>
  <c r="P88" i="9"/>
  <c r="X88" i="9" s="1"/>
  <c r="N88" i="9"/>
  <c r="H88" i="9"/>
  <c r="L88" i="9" s="1"/>
  <c r="F88" i="9"/>
  <c r="D88" i="9"/>
  <c r="Z86" i="9"/>
  <c r="X86" i="9"/>
  <c r="V86" i="9"/>
  <c r="N86" i="9"/>
  <c r="L86" i="9"/>
  <c r="B86" i="9"/>
  <c r="X85" i="9"/>
  <c r="Z85" i="9" s="1"/>
  <c r="N85" i="9"/>
  <c r="L85" i="9"/>
  <c r="B85" i="9"/>
  <c r="Z84" i="9"/>
  <c r="T84" i="9"/>
  <c r="X84" i="9" s="1"/>
  <c r="R84" i="9"/>
  <c r="P84" i="9"/>
  <c r="N84" i="9"/>
  <c r="H84" i="9"/>
  <c r="D84" i="9"/>
  <c r="L84" i="9" s="1"/>
  <c r="B84" i="9"/>
  <c r="X83" i="9"/>
  <c r="Z83" i="9" s="1"/>
  <c r="R83" i="9"/>
  <c r="N83" i="9"/>
  <c r="L83" i="9"/>
  <c r="F83" i="9"/>
  <c r="B83" i="9"/>
  <c r="T82" i="9"/>
  <c r="P82" i="9"/>
  <c r="X82" i="9" s="1"/>
  <c r="Z82" i="9" s="1"/>
  <c r="N82" i="9"/>
  <c r="H82" i="9"/>
  <c r="F82" i="9"/>
  <c r="D82" i="9"/>
  <c r="L82" i="9" s="1"/>
  <c r="B82" i="9"/>
  <c r="X81" i="9"/>
  <c r="Z81" i="9" s="1"/>
  <c r="R81" i="9"/>
  <c r="L81" i="9"/>
  <c r="N81" i="9" s="1"/>
  <c r="B81" i="9"/>
  <c r="Z80" i="9"/>
  <c r="X80" i="9"/>
  <c r="N80" i="9"/>
  <c r="L80" i="9"/>
  <c r="B80" i="9"/>
  <c r="T79" i="9"/>
  <c r="P79" i="9"/>
  <c r="H79" i="9"/>
  <c r="N79" i="9" s="1"/>
  <c r="D79" i="9"/>
  <c r="L79" i="9" s="1"/>
  <c r="B79" i="9"/>
  <c r="Z78" i="9"/>
  <c r="X78" i="9"/>
  <c r="N78" i="9"/>
  <c r="L78" i="9"/>
  <c r="B78" i="9"/>
  <c r="X77" i="9"/>
  <c r="Z77" i="9" s="1"/>
  <c r="R77" i="9"/>
  <c r="N77" i="9"/>
  <c r="L77" i="9"/>
  <c r="B77" i="9"/>
  <c r="Z76" i="9"/>
  <c r="X76" i="9"/>
  <c r="N76" i="9"/>
  <c r="L76" i="9"/>
  <c r="B76" i="9"/>
  <c r="X75" i="9"/>
  <c r="Z75" i="9" s="1"/>
  <c r="R75" i="9"/>
  <c r="N75" i="9"/>
  <c r="L75" i="9"/>
  <c r="F75" i="9"/>
  <c r="B75" i="9"/>
  <c r="Z74" i="9"/>
  <c r="X74" i="9"/>
  <c r="N74" i="9"/>
  <c r="L74" i="9"/>
  <c r="B74" i="9"/>
  <c r="X73" i="9"/>
  <c r="Z73" i="9" s="1"/>
  <c r="T73" i="9"/>
  <c r="P73" i="9"/>
  <c r="H73" i="9"/>
  <c r="D73" i="9"/>
  <c r="B73" i="9"/>
  <c r="Z72" i="9"/>
  <c r="X72" i="9"/>
  <c r="N72" i="9"/>
  <c r="L72" i="9"/>
  <c r="B72" i="9"/>
  <c r="X71" i="9"/>
  <c r="Z71" i="9" s="1"/>
  <c r="R71" i="9"/>
  <c r="N71" i="9"/>
  <c r="L71" i="9"/>
  <c r="F71" i="9"/>
  <c r="B71" i="9"/>
  <c r="T70" i="9"/>
  <c r="P70" i="9"/>
  <c r="X70" i="9" s="1"/>
  <c r="Z70" i="9" s="1"/>
  <c r="H70" i="9"/>
  <c r="F70" i="9"/>
  <c r="D70" i="9"/>
  <c r="L70" i="9" s="1"/>
  <c r="N70" i="9" s="1"/>
  <c r="B70" i="9"/>
  <c r="X69" i="9"/>
  <c r="Z69" i="9" s="1"/>
  <c r="R69" i="9"/>
  <c r="L69" i="9"/>
  <c r="N69" i="9" s="1"/>
  <c r="B69" i="9"/>
  <c r="T68" i="9"/>
  <c r="R68" i="9"/>
  <c r="P68" i="9"/>
  <c r="X68" i="9" s="1"/>
  <c r="Z68" i="9" s="1"/>
  <c r="H68" i="9"/>
  <c r="D68" i="9"/>
  <c r="L68" i="9" s="1"/>
  <c r="N68" i="9" s="1"/>
  <c r="B68" i="9"/>
  <c r="Z67" i="9"/>
  <c r="X67" i="9"/>
  <c r="R67" i="9"/>
  <c r="N67" i="9"/>
  <c r="L67" i="9"/>
  <c r="F67" i="9"/>
  <c r="B67" i="9"/>
  <c r="X66" i="9"/>
  <c r="Z66" i="9" s="1"/>
  <c r="N66" i="9"/>
  <c r="L66" i="9"/>
  <c r="B66" i="9"/>
  <c r="Z65" i="9"/>
  <c r="X65" i="9"/>
  <c r="R65" i="9"/>
  <c r="N65" i="9"/>
  <c r="L65" i="9"/>
  <c r="B65" i="9"/>
  <c r="Z64" i="9"/>
  <c r="X64" i="9"/>
  <c r="R64" i="9"/>
  <c r="N64" i="9"/>
  <c r="L64" i="9"/>
  <c r="B64" i="9"/>
  <c r="T63" i="9"/>
  <c r="P63" i="9"/>
  <c r="H63" i="9"/>
  <c r="N63" i="9" s="1"/>
  <c r="D63" i="9"/>
  <c r="L63" i="9" s="1"/>
  <c r="B63" i="9"/>
  <c r="X62" i="9"/>
  <c r="Z62" i="9" s="1"/>
  <c r="N62" i="9"/>
  <c r="L62" i="9"/>
  <c r="B62" i="9"/>
  <c r="X61" i="9"/>
  <c r="Z61" i="9" s="1"/>
  <c r="R61" i="9"/>
  <c r="N61" i="9"/>
  <c r="L61" i="9"/>
  <c r="B61" i="9"/>
  <c r="Z60" i="9"/>
  <c r="X60" i="9"/>
  <c r="R60" i="9"/>
  <c r="N60" i="9"/>
  <c r="L60" i="9"/>
  <c r="B60" i="9"/>
  <c r="T59" i="9"/>
  <c r="R59" i="9"/>
  <c r="P59" i="9"/>
  <c r="H59" i="9"/>
  <c r="N59" i="9" s="1"/>
  <c r="D59" i="9"/>
  <c r="L59" i="9" s="1"/>
  <c r="B59" i="9"/>
  <c r="X58" i="9"/>
  <c r="Z58" i="9" s="1"/>
  <c r="N58" i="9"/>
  <c r="L58" i="9"/>
  <c r="B58" i="9"/>
  <c r="T57" i="9"/>
  <c r="Z57" i="9" s="1"/>
  <c r="R57" i="9"/>
  <c r="P57" i="9"/>
  <c r="X57" i="9" s="1"/>
  <c r="H57" i="9"/>
  <c r="D57" i="9"/>
  <c r="L57" i="9" s="1"/>
  <c r="B57" i="9"/>
  <c r="Z56" i="9"/>
  <c r="X56" i="9"/>
  <c r="R56" i="9"/>
  <c r="N56" i="9"/>
  <c r="L56" i="9"/>
  <c r="B56" i="9"/>
  <c r="T55" i="9"/>
  <c r="P55" i="9"/>
  <c r="X55" i="9" s="1"/>
  <c r="L55" i="9"/>
  <c r="N55" i="9" s="1"/>
  <c r="H55" i="9"/>
  <c r="D55" i="9"/>
  <c r="B55" i="9"/>
  <c r="Z54" i="9"/>
  <c r="X54" i="9"/>
  <c r="R54" i="9"/>
  <c r="L54" i="9"/>
  <c r="N54" i="9" s="1"/>
  <c r="B54" i="9"/>
  <c r="X53" i="9"/>
  <c r="Z53" i="9" s="1"/>
  <c r="N53" i="9"/>
  <c r="L53" i="9"/>
  <c r="B53" i="9"/>
  <c r="T52" i="9"/>
  <c r="X52" i="9" s="1"/>
  <c r="Z52" i="9" s="1"/>
  <c r="R52" i="9"/>
  <c r="P52" i="9"/>
  <c r="H52" i="9"/>
  <c r="D52" i="9"/>
  <c r="L52" i="9" s="1"/>
  <c r="N52" i="9" s="1"/>
  <c r="B52" i="9"/>
  <c r="X51" i="9"/>
  <c r="Z51" i="9" s="1"/>
  <c r="R51" i="9"/>
  <c r="N51" i="9"/>
  <c r="L51" i="9"/>
  <c r="F51" i="9"/>
  <c r="B51" i="9"/>
  <c r="T50" i="9"/>
  <c r="P50" i="9"/>
  <c r="X50" i="9" s="1"/>
  <c r="Z50" i="9" s="1"/>
  <c r="H50" i="9"/>
  <c r="F50" i="9"/>
  <c r="D50" i="9"/>
  <c r="L50" i="9" s="1"/>
  <c r="N50" i="9" s="1"/>
  <c r="B50" i="9"/>
  <c r="X49" i="9"/>
  <c r="Z49" i="9" s="1"/>
  <c r="R49" i="9"/>
  <c r="N49" i="9"/>
  <c r="L49" i="9"/>
  <c r="B49" i="9"/>
  <c r="T48" i="9"/>
  <c r="R48" i="9"/>
  <c r="P48" i="9"/>
  <c r="X48" i="9" s="1"/>
  <c r="Z48" i="9" s="1"/>
  <c r="N48" i="9"/>
  <c r="L48" i="9"/>
  <c r="H48" i="9"/>
  <c r="F48" i="9"/>
  <c r="D48" i="9"/>
  <c r="B48" i="9"/>
  <c r="Z47" i="9"/>
  <c r="X47" i="9"/>
  <c r="R47" i="9"/>
  <c r="N47" i="9"/>
  <c r="L47" i="9"/>
  <c r="F47" i="9"/>
  <c r="B47" i="9"/>
  <c r="X46" i="9"/>
  <c r="Z46" i="9" s="1"/>
  <c r="T46" i="9"/>
  <c r="R46" i="9"/>
  <c r="P46" i="9"/>
  <c r="N46" i="9"/>
  <c r="H46" i="9"/>
  <c r="L46" i="9" s="1"/>
  <c r="F46" i="9"/>
  <c r="D46" i="9"/>
  <c r="B46" i="9"/>
  <c r="X45" i="9"/>
  <c r="Z45" i="9" s="1"/>
  <c r="L45" i="9"/>
  <c r="N45" i="9" s="1"/>
  <c r="F45" i="9"/>
  <c r="B45" i="9"/>
  <c r="T44" i="9"/>
  <c r="X44" i="9" s="1"/>
  <c r="Z44" i="9" s="1"/>
  <c r="R44" i="9"/>
  <c r="P44" i="9"/>
  <c r="H44" i="9"/>
  <c r="D44" i="9"/>
  <c r="L44" i="9" s="1"/>
  <c r="N44" i="9" s="1"/>
  <c r="B44" i="9"/>
  <c r="X43" i="9"/>
  <c r="Z43" i="9" s="1"/>
  <c r="R43" i="9"/>
  <c r="N43" i="9"/>
  <c r="L43" i="9"/>
  <c r="F43" i="9"/>
  <c r="B43" i="9"/>
  <c r="V42" i="9"/>
  <c r="T42" i="9"/>
  <c r="P42" i="9"/>
  <c r="X42" i="9" s="1"/>
  <c r="Z42" i="9" s="1"/>
  <c r="H42" i="9"/>
  <c r="F42" i="9"/>
  <c r="D42" i="9"/>
  <c r="L42" i="9" s="1"/>
  <c r="N42" i="9" s="1"/>
  <c r="B42" i="9"/>
  <c r="X41" i="9"/>
  <c r="Z41" i="9" s="1"/>
  <c r="R41" i="9"/>
  <c r="L41" i="9"/>
  <c r="N41" i="9" s="1"/>
  <c r="B41" i="9"/>
  <c r="T40" i="9"/>
  <c r="R40" i="9"/>
  <c r="P40" i="9"/>
  <c r="X40" i="9" s="1"/>
  <c r="Z40" i="9" s="1"/>
  <c r="L40" i="9"/>
  <c r="H40" i="9"/>
  <c r="N40" i="9" s="1"/>
  <c r="F40" i="9"/>
  <c r="D40" i="9"/>
  <c r="B40" i="9"/>
  <c r="Z39" i="9"/>
  <c r="X39" i="9"/>
  <c r="R39" i="9"/>
  <c r="L39" i="9"/>
  <c r="N39" i="9" s="1"/>
  <c r="F39" i="9"/>
  <c r="B39" i="9"/>
  <c r="X38" i="9"/>
  <c r="T38" i="9"/>
  <c r="Z38" i="9" s="1"/>
  <c r="R38" i="9"/>
  <c r="P38" i="9"/>
  <c r="H38" i="9"/>
  <c r="L38" i="9" s="1"/>
  <c r="N38" i="9" s="1"/>
  <c r="F38" i="9"/>
  <c r="D38" i="9"/>
  <c r="B38" i="9"/>
  <c r="X37" i="9"/>
  <c r="Z37" i="9" s="1"/>
  <c r="L37" i="9"/>
  <c r="N37" i="9" s="1"/>
  <c r="F37" i="9"/>
  <c r="B37" i="9"/>
  <c r="Z36" i="9"/>
  <c r="X36" i="9"/>
  <c r="R36" i="9"/>
  <c r="N36" i="9"/>
  <c r="L36" i="9"/>
  <c r="B36" i="9"/>
  <c r="Z35" i="9"/>
  <c r="X35" i="9"/>
  <c r="R35" i="9"/>
  <c r="L35" i="9"/>
  <c r="N35" i="9" s="1"/>
  <c r="F35" i="9"/>
  <c r="B35" i="9"/>
  <c r="X34" i="9"/>
  <c r="Z34" i="9" s="1"/>
  <c r="N34" i="9"/>
  <c r="L34" i="9"/>
  <c r="B34" i="9"/>
  <c r="X33" i="9"/>
  <c r="Z33" i="9" s="1"/>
  <c r="R33" i="9"/>
  <c r="L33" i="9"/>
  <c r="N33" i="9" s="1"/>
  <c r="B33" i="9"/>
  <c r="Z32" i="9"/>
  <c r="X32" i="9"/>
  <c r="R32" i="9"/>
  <c r="N32" i="9"/>
  <c r="L32" i="9"/>
  <c r="B32" i="9"/>
  <c r="T31" i="9"/>
  <c r="R31" i="9"/>
  <c r="P31" i="9"/>
  <c r="H31" i="9"/>
  <c r="N31" i="9" s="1"/>
  <c r="D31" i="9"/>
  <c r="L31" i="9" s="1"/>
  <c r="B31" i="9"/>
  <c r="X30" i="9"/>
  <c r="Z30" i="9" s="1"/>
  <c r="N30" i="9"/>
  <c r="L30" i="9"/>
  <c r="B30" i="9"/>
  <c r="X29" i="9"/>
  <c r="Z29" i="9" s="1"/>
  <c r="R29" i="9"/>
  <c r="L29" i="9"/>
  <c r="N29" i="9" s="1"/>
  <c r="B29" i="9"/>
  <c r="Z28" i="9"/>
  <c r="X28" i="9"/>
  <c r="R28" i="9"/>
  <c r="N28" i="9"/>
  <c r="L28" i="9"/>
  <c r="B28" i="9"/>
  <c r="X27" i="9"/>
  <c r="Z27" i="9" s="1"/>
  <c r="R27" i="9"/>
  <c r="N27" i="9"/>
  <c r="L27" i="9"/>
  <c r="F27" i="9"/>
  <c r="B27" i="9"/>
  <c r="Z26" i="9"/>
  <c r="X26" i="9"/>
  <c r="V26" i="9"/>
  <c r="R26" i="9"/>
  <c r="L26" i="9"/>
  <c r="N26" i="9" s="1"/>
  <c r="B26" i="9"/>
  <c r="X25" i="9"/>
  <c r="Z25" i="9" s="1"/>
  <c r="L25" i="9"/>
  <c r="N25" i="9" s="1"/>
  <c r="F25" i="9"/>
  <c r="B25" i="9"/>
  <c r="Z24" i="9"/>
  <c r="X24" i="9"/>
  <c r="R24" i="9"/>
  <c r="N24" i="9"/>
  <c r="L24" i="9"/>
  <c r="B24" i="9"/>
  <c r="Z23" i="9"/>
  <c r="X23" i="9"/>
  <c r="R23" i="9"/>
  <c r="L23" i="9"/>
  <c r="N23" i="9" s="1"/>
  <c r="F23" i="9"/>
  <c r="B23" i="9"/>
  <c r="X22" i="9"/>
  <c r="Z22" i="9" s="1"/>
  <c r="V22" i="9"/>
  <c r="N22" i="9"/>
  <c r="L22" i="9"/>
  <c r="J22" i="9"/>
  <c r="B22" i="9"/>
  <c r="X21" i="9"/>
  <c r="Z21" i="9" s="1"/>
  <c r="R21" i="9"/>
  <c r="L21" i="9"/>
  <c r="N21" i="9" s="1"/>
  <c r="B21" i="9"/>
  <c r="Z20" i="9"/>
  <c r="X20" i="9"/>
  <c r="R20" i="9"/>
  <c r="N20" i="9"/>
  <c r="L20" i="9"/>
  <c r="F20" i="9"/>
  <c r="B20" i="9"/>
  <c r="T19" i="9"/>
  <c r="R19" i="9"/>
  <c r="P19" i="9"/>
  <c r="L19" i="9"/>
  <c r="H19" i="9"/>
  <c r="F19" i="9"/>
  <c r="D19" i="9"/>
  <c r="B19" i="9"/>
  <c r="V18" i="9"/>
  <c r="T18" i="9" a="1"/>
  <c r="T18" i="9"/>
  <c r="R18" i="9"/>
  <c r="P18" i="9" a="1"/>
  <c r="P18" i="9" s="1"/>
  <c r="X18" i="9" s="1"/>
  <c r="J18" i="9"/>
  <c r="H18" i="9" a="1"/>
  <c r="H18" i="9"/>
  <c r="F18" i="9"/>
  <c r="D18" i="9" a="1"/>
  <c r="D18" i="9" s="1"/>
  <c r="L18" i="9" s="1"/>
  <c r="R16" i="9"/>
  <c r="F16" i="9"/>
  <c r="Z14" i="9"/>
  <c r="T14" i="9"/>
  <c r="P14" i="9"/>
  <c r="P16" i="9" s="1"/>
  <c r="N14" i="9"/>
  <c r="H14" i="9"/>
  <c r="F14" i="9"/>
  <c r="D14" i="9"/>
  <c r="L14" i="9" s="1"/>
  <c r="T12" i="9"/>
  <c r="V14" i="9" s="1"/>
  <c r="P12" i="9"/>
  <c r="R92" i="9" s="1"/>
  <c r="H12" i="9"/>
  <c r="J78" i="9" s="1"/>
  <c r="D12" i="9"/>
  <c r="F78" i="9" s="1"/>
  <c r="D4" i="9"/>
  <c r="B39" i="8"/>
  <c r="B38" i="8"/>
  <c r="T34" i="8"/>
  <c r="Z34" i="8" s="1"/>
  <c r="P34" i="8"/>
  <c r="H34" i="8"/>
  <c r="N34" i="8" s="1"/>
  <c r="D34" i="8"/>
  <c r="T33" i="8"/>
  <c r="P33" i="8"/>
  <c r="H33" i="8"/>
  <c r="N33" i="8" s="1"/>
  <c r="D33" i="8"/>
  <c r="T29" i="8"/>
  <c r="P29" i="8"/>
  <c r="H29" i="8"/>
  <c r="N29" i="8" s="1"/>
  <c r="D29" i="8"/>
  <c r="T25" i="8"/>
  <c r="P25" i="8"/>
  <c r="H25" i="8"/>
  <c r="N25" i="8" s="1"/>
  <c r="D25" i="8"/>
  <c r="B25" i="8"/>
  <c r="T24" i="8"/>
  <c r="Z24" i="8" s="1"/>
  <c r="P24" i="8"/>
  <c r="H24" i="8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P20" i="8"/>
  <c r="H20" i="8"/>
  <c r="N20" i="8" s="1"/>
  <c r="D20" i="8"/>
  <c r="T16" i="8"/>
  <c r="P16" i="8"/>
  <c r="H16" i="8"/>
  <c r="N16" i="8" s="1"/>
  <c r="D16" i="8"/>
  <c r="B16" i="8"/>
  <c r="T15" i="8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P12" i="8"/>
  <c r="R29" i="8" s="1"/>
  <c r="H12" i="8"/>
  <c r="J16" i="8" s="1"/>
  <c r="D12" i="8"/>
  <c r="F22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P22" i="7"/>
  <c r="H22" i="7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D16" i="7"/>
  <c r="B16" i="7"/>
  <c r="T15" i="7"/>
  <c r="Z15" i="7" s="1"/>
  <c r="P15" i="7"/>
  <c r="H15" i="7"/>
  <c r="N15" i="7" s="1"/>
  <c r="D15" i="7"/>
  <c r="T13" i="7"/>
  <c r="P13" i="7"/>
  <c r="H13" i="7"/>
  <c r="D13" i="7"/>
  <c r="B13" i="7"/>
  <c r="T12" i="7"/>
  <c r="P12" i="7"/>
  <c r="H12" i="7"/>
  <c r="J15" i="7" s="1"/>
  <c r="D12" i="7"/>
  <c r="D5" i="7"/>
  <c r="D4" i="7"/>
  <c r="T29" i="6"/>
  <c r="P29" i="6"/>
  <c r="X29" i="6" s="1"/>
  <c r="H29" i="6"/>
  <c r="D29" i="6"/>
  <c r="L29" i="6" s="1"/>
  <c r="N29" i="6" s="1"/>
  <c r="T28" i="6"/>
  <c r="P28" i="6"/>
  <c r="H28" i="6"/>
  <c r="D28" i="6"/>
  <c r="L28" i="6" s="1"/>
  <c r="Z24" i="6"/>
  <c r="X24" i="6"/>
  <c r="R24" i="6"/>
  <c r="N24" i="6"/>
  <c r="L24" i="6"/>
  <c r="T20" i="6"/>
  <c r="Z20" i="6" s="1"/>
  <c r="P20" i="6"/>
  <c r="X20" i="6" s="1"/>
  <c r="N20" i="6"/>
  <c r="L20" i="6"/>
  <c r="H20" i="6"/>
  <c r="D20" i="6"/>
  <c r="T18" i="6"/>
  <c r="P18" i="6"/>
  <c r="H18" i="6"/>
  <c r="N18" i="6" s="1"/>
  <c r="D18" i="6"/>
  <c r="L18" i="6" s="1"/>
  <c r="T16" i="6"/>
  <c r="Z16" i="6" s="1"/>
  <c r="T14" i="6"/>
  <c r="P14" i="6"/>
  <c r="H14" i="6"/>
  <c r="N14" i="6" s="1"/>
  <c r="D14" i="6"/>
  <c r="L14" i="6" s="1"/>
  <c r="T12" i="6"/>
  <c r="Z12" i="6" s="1"/>
  <c r="P12" i="6"/>
  <c r="H12" i="6"/>
  <c r="J29" i="6" s="1"/>
  <c r="D12" i="6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P22" i="5"/>
  <c r="H22" i="5"/>
  <c r="N22" i="5" s="1"/>
  <c r="D22" i="5"/>
  <c r="B22" i="5"/>
  <c r="T21" i="5"/>
  <c r="Z21" i="5" s="1"/>
  <c r="P21" i="5"/>
  <c r="H21" i="5"/>
  <c r="D21" i="5"/>
  <c r="B21" i="5"/>
  <c r="T20" i="5"/>
  <c r="Z20" i="5" s="1"/>
  <c r="P20" i="5"/>
  <c r="H20" i="5"/>
  <c r="D20" i="5"/>
  <c r="T16" i="5"/>
  <c r="Z16" i="5" s="1"/>
  <c r="P16" i="5"/>
  <c r="H16" i="5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15" i="5" s="1"/>
  <c r="P12" i="5"/>
  <c r="H12" i="5"/>
  <c r="J24" i="5" s="1"/>
  <c r="D12" i="5"/>
  <c r="F21" i="5" s="1"/>
  <c r="D5" i="5"/>
  <c r="D4" i="5"/>
  <c r="B39" i="4"/>
  <c r="B38" i="4"/>
  <c r="T34" i="4"/>
  <c r="Z34" i="4" s="1"/>
  <c r="P34" i="4"/>
  <c r="H34" i="4"/>
  <c r="N34" i="4" s="1"/>
  <c r="D34" i="4"/>
  <c r="T33" i="4"/>
  <c r="P33" i="4"/>
  <c r="H33" i="4"/>
  <c r="N33" i="4" s="1"/>
  <c r="D33" i="4"/>
  <c r="T29" i="4"/>
  <c r="P29" i="4"/>
  <c r="H29" i="4"/>
  <c r="N29" i="4" s="1"/>
  <c r="D29" i="4"/>
  <c r="T25" i="4"/>
  <c r="P25" i="4"/>
  <c r="H25" i="4"/>
  <c r="N25" i="4" s="1"/>
  <c r="D25" i="4"/>
  <c r="B25" i="4"/>
  <c r="T24" i="4"/>
  <c r="Z24" i="4" s="1"/>
  <c r="P24" i="4"/>
  <c r="H24" i="4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P20" i="4"/>
  <c r="H20" i="4"/>
  <c r="N20" i="4" s="1"/>
  <c r="D20" i="4"/>
  <c r="T16" i="4"/>
  <c r="P16" i="4"/>
  <c r="H16" i="4"/>
  <c r="N16" i="4" s="1"/>
  <c r="D16" i="4"/>
  <c r="B16" i="4"/>
  <c r="T15" i="4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P12" i="4"/>
  <c r="R22" i="4" s="1"/>
  <c r="H12" i="4"/>
  <c r="J20" i="4" s="1"/>
  <c r="D12" i="4"/>
  <c r="F20" i="4" s="1"/>
  <c r="D5" i="4"/>
  <c r="D4" i="4"/>
  <c r="Z279" i="3"/>
  <c r="T279" i="3"/>
  <c r="X279" i="3" s="1"/>
  <c r="P279" i="3"/>
  <c r="H279" i="3"/>
  <c r="D279" i="3"/>
  <c r="L279" i="3" s="1"/>
  <c r="N279" i="3" s="1"/>
  <c r="Z278" i="3"/>
  <c r="T278" i="3"/>
  <c r="P278" i="3"/>
  <c r="X278" i="3" s="1"/>
  <c r="L278" i="3"/>
  <c r="N278" i="3" s="1"/>
  <c r="H278" i="3"/>
  <c r="D278" i="3"/>
  <c r="Z274" i="3"/>
  <c r="X274" i="3"/>
  <c r="N274" i="3"/>
  <c r="L274" i="3"/>
  <c r="Z270" i="3"/>
  <c r="T270" i="3"/>
  <c r="X270" i="3" s="1"/>
  <c r="P270" i="3"/>
  <c r="H270" i="3"/>
  <c r="D270" i="3"/>
  <c r="L270" i="3" s="1"/>
  <c r="N270" i="3" s="1"/>
  <c r="B270" i="3"/>
  <c r="T269" i="3"/>
  <c r="P269" i="3"/>
  <c r="L269" i="3"/>
  <c r="H269" i="3"/>
  <c r="N269" i="3" s="1"/>
  <c r="D269" i="3"/>
  <c r="B269" i="3"/>
  <c r="X268" i="3"/>
  <c r="T268" i="3"/>
  <c r="Z268" i="3" s="1"/>
  <c r="P268" i="3"/>
  <c r="N268" i="3"/>
  <c r="H268" i="3"/>
  <c r="L268" i="3" s="1"/>
  <c r="D268" i="3"/>
  <c r="B268" i="3"/>
  <c r="X267" i="3"/>
  <c r="Z267" i="3" s="1"/>
  <c r="T267" i="3"/>
  <c r="P267" i="3"/>
  <c r="H267" i="3"/>
  <c r="D267" i="3"/>
  <c r="B267" i="3"/>
  <c r="Z266" i="3"/>
  <c r="T266" i="3"/>
  <c r="P266" i="3"/>
  <c r="X266" i="3" s="1"/>
  <c r="L266" i="3"/>
  <c r="H266" i="3"/>
  <c r="N266" i="3" s="1"/>
  <c r="D266" i="3"/>
  <c r="B266" i="3"/>
  <c r="T265" i="3"/>
  <c r="P265" i="3"/>
  <c r="X265" i="3" s="1"/>
  <c r="H265" i="3"/>
  <c r="D265" i="3"/>
  <c r="L265" i="3" s="1"/>
  <c r="N265" i="3" s="1"/>
  <c r="B265" i="3"/>
  <c r="Z264" i="3"/>
  <c r="T264" i="3"/>
  <c r="P264" i="3"/>
  <c r="X264" i="3" s="1"/>
  <c r="N264" i="3"/>
  <c r="H264" i="3"/>
  <c r="D264" i="3"/>
  <c r="L264" i="3" s="1"/>
  <c r="B264" i="3"/>
  <c r="T263" i="3"/>
  <c r="P263" i="3"/>
  <c r="P261" i="3" s="1"/>
  <c r="H263" i="3"/>
  <c r="D263" i="3"/>
  <c r="B263" i="3"/>
  <c r="Z262" i="3"/>
  <c r="T262" i="3"/>
  <c r="X262" i="3" s="1"/>
  <c r="P262" i="3"/>
  <c r="N262" i="3"/>
  <c r="H262" i="3"/>
  <c r="D262" i="3"/>
  <c r="L262" i="3" s="1"/>
  <c r="B262" i="3"/>
  <c r="D261" i="3"/>
  <c r="Z259" i="3"/>
  <c r="X259" i="3"/>
  <c r="L259" i="3"/>
  <c r="N259" i="3" s="1"/>
  <c r="B259" i="3"/>
  <c r="X258" i="3"/>
  <c r="T258" i="3"/>
  <c r="Z258" i="3" s="1"/>
  <c r="P258" i="3"/>
  <c r="H258" i="3"/>
  <c r="L258" i="3" s="1"/>
  <c r="N258" i="3" s="1"/>
  <c r="D258" i="3"/>
  <c r="B258" i="3"/>
  <c r="X257" i="3"/>
  <c r="Z257" i="3" s="1"/>
  <c r="N257" i="3"/>
  <c r="L257" i="3"/>
  <c r="B257" i="3"/>
  <c r="Z256" i="3"/>
  <c r="X256" i="3"/>
  <c r="N256" i="3"/>
  <c r="L256" i="3"/>
  <c r="B256" i="3"/>
  <c r="Z255" i="3"/>
  <c r="X255" i="3"/>
  <c r="N255" i="3"/>
  <c r="L255" i="3"/>
  <c r="B255" i="3"/>
  <c r="T254" i="3"/>
  <c r="Z254" i="3" s="1"/>
  <c r="P254" i="3"/>
  <c r="X254" i="3" s="1"/>
  <c r="N254" i="3"/>
  <c r="H254" i="3"/>
  <c r="L254" i="3" s="1"/>
  <c r="D254" i="3"/>
  <c r="B254" i="3"/>
  <c r="X253" i="3"/>
  <c r="Z253" i="3" s="1"/>
  <c r="N253" i="3"/>
  <c r="L253" i="3"/>
  <c r="B253" i="3"/>
  <c r="T252" i="3"/>
  <c r="X252" i="3" s="1"/>
  <c r="Z252" i="3" s="1"/>
  <c r="P252" i="3"/>
  <c r="N252" i="3"/>
  <c r="H252" i="3"/>
  <c r="D252" i="3"/>
  <c r="L252" i="3" s="1"/>
  <c r="B252" i="3"/>
  <c r="X251" i="3"/>
  <c r="Z251" i="3" s="1"/>
  <c r="N251" i="3"/>
  <c r="L251" i="3"/>
  <c r="B251" i="3"/>
  <c r="Z250" i="3"/>
  <c r="X250" i="3"/>
  <c r="N250" i="3"/>
  <c r="L250" i="3"/>
  <c r="B250" i="3"/>
  <c r="T249" i="3"/>
  <c r="P249" i="3"/>
  <c r="X249" i="3" s="1"/>
  <c r="Z249" i="3" s="1"/>
  <c r="H249" i="3"/>
  <c r="D249" i="3"/>
  <c r="B249" i="3"/>
  <c r="Z248" i="3"/>
  <c r="X248" i="3"/>
  <c r="N248" i="3"/>
  <c r="L248" i="3"/>
  <c r="B248" i="3"/>
  <c r="X247" i="3"/>
  <c r="Z247" i="3" s="1"/>
  <c r="N247" i="3"/>
  <c r="L247" i="3"/>
  <c r="B247" i="3"/>
  <c r="Z246" i="3"/>
  <c r="X246" i="3"/>
  <c r="L246" i="3"/>
  <c r="N246" i="3" s="1"/>
  <c r="B246" i="3"/>
  <c r="X245" i="3"/>
  <c r="Z245" i="3" s="1"/>
  <c r="L245" i="3"/>
  <c r="N245" i="3" s="1"/>
  <c r="B245" i="3"/>
  <c r="Z244" i="3"/>
  <c r="X244" i="3"/>
  <c r="N244" i="3"/>
  <c r="L244" i="3"/>
  <c r="B244" i="3"/>
  <c r="Z243" i="3"/>
  <c r="X243" i="3"/>
  <c r="L243" i="3"/>
  <c r="N243" i="3" s="1"/>
  <c r="B243" i="3"/>
  <c r="X242" i="3"/>
  <c r="Z242" i="3" s="1"/>
  <c r="N242" i="3"/>
  <c r="L242" i="3"/>
  <c r="B242" i="3"/>
  <c r="X241" i="3"/>
  <c r="Z241" i="3" s="1"/>
  <c r="L241" i="3"/>
  <c r="N241" i="3" s="1"/>
  <c r="B241" i="3"/>
  <c r="Z240" i="3"/>
  <c r="X240" i="3"/>
  <c r="N240" i="3"/>
  <c r="L240" i="3"/>
  <c r="B240" i="3"/>
  <c r="T239" i="3"/>
  <c r="P239" i="3"/>
  <c r="H239" i="3"/>
  <c r="D239" i="3"/>
  <c r="L239" i="3" s="1"/>
  <c r="B239" i="3"/>
  <c r="X238" i="3"/>
  <c r="Z238" i="3" s="1"/>
  <c r="N238" i="3"/>
  <c r="L238" i="3"/>
  <c r="B238" i="3"/>
  <c r="X237" i="3"/>
  <c r="Z237" i="3" s="1"/>
  <c r="L237" i="3"/>
  <c r="N237" i="3" s="1"/>
  <c r="B237" i="3"/>
  <c r="Z236" i="3"/>
  <c r="T236" i="3"/>
  <c r="P236" i="3"/>
  <c r="X236" i="3" s="1"/>
  <c r="H236" i="3"/>
  <c r="N236" i="3" s="1"/>
  <c r="D236" i="3"/>
  <c r="L236" i="3" s="1"/>
  <c r="B236" i="3"/>
  <c r="Z235" i="3"/>
  <c r="X235" i="3"/>
  <c r="L235" i="3"/>
  <c r="N235" i="3" s="1"/>
  <c r="B235" i="3"/>
  <c r="X234" i="3"/>
  <c r="Z234" i="3" s="1"/>
  <c r="N234" i="3"/>
  <c r="L234" i="3"/>
  <c r="B234" i="3"/>
  <c r="X233" i="3"/>
  <c r="Z233" i="3" s="1"/>
  <c r="L233" i="3"/>
  <c r="N233" i="3" s="1"/>
  <c r="B233" i="3"/>
  <c r="Z232" i="3"/>
  <c r="X232" i="3"/>
  <c r="N232" i="3"/>
  <c r="L232" i="3"/>
  <c r="B232" i="3"/>
  <c r="X231" i="3"/>
  <c r="Z231" i="3" s="1"/>
  <c r="N231" i="3"/>
  <c r="L231" i="3"/>
  <c r="B231" i="3"/>
  <c r="T230" i="3"/>
  <c r="P230" i="3"/>
  <c r="X230" i="3" s="1"/>
  <c r="Z230" i="3" s="1"/>
  <c r="N230" i="3"/>
  <c r="H230" i="3"/>
  <c r="D230" i="3"/>
  <c r="L230" i="3" s="1"/>
  <c r="B230" i="3"/>
  <c r="X229" i="3"/>
  <c r="Z229" i="3" s="1"/>
  <c r="L229" i="3"/>
  <c r="N229" i="3" s="1"/>
  <c r="B229" i="3"/>
  <c r="Z228" i="3"/>
  <c r="X228" i="3"/>
  <c r="N228" i="3"/>
  <c r="L228" i="3"/>
  <c r="B228" i="3"/>
  <c r="X227" i="3"/>
  <c r="Z227" i="3" s="1"/>
  <c r="N227" i="3"/>
  <c r="L227" i="3"/>
  <c r="B227" i="3"/>
  <c r="T226" i="3"/>
  <c r="P226" i="3"/>
  <c r="X226" i="3" s="1"/>
  <c r="Z226" i="3" s="1"/>
  <c r="N226" i="3"/>
  <c r="H226" i="3"/>
  <c r="D226" i="3"/>
  <c r="L226" i="3" s="1"/>
  <c r="B226" i="3"/>
  <c r="X225" i="3"/>
  <c r="Z225" i="3" s="1"/>
  <c r="L225" i="3"/>
  <c r="N225" i="3" s="1"/>
  <c r="B225" i="3"/>
  <c r="Z224" i="3"/>
  <c r="X224" i="3"/>
  <c r="N224" i="3"/>
  <c r="L224" i="3"/>
  <c r="B224" i="3"/>
  <c r="X223" i="3"/>
  <c r="Z223" i="3" s="1"/>
  <c r="N223" i="3"/>
  <c r="L223" i="3"/>
  <c r="B223" i="3"/>
  <c r="Z222" i="3"/>
  <c r="X222" i="3"/>
  <c r="L222" i="3"/>
  <c r="N222" i="3" s="1"/>
  <c r="B222" i="3"/>
  <c r="X221" i="3"/>
  <c r="Z221" i="3" s="1"/>
  <c r="T221" i="3"/>
  <c r="P221" i="3"/>
  <c r="H221" i="3"/>
  <c r="D221" i="3"/>
  <c r="B221" i="3"/>
  <c r="Z220" i="3"/>
  <c r="X220" i="3"/>
  <c r="N220" i="3"/>
  <c r="L220" i="3"/>
  <c r="B220" i="3"/>
  <c r="X219" i="3"/>
  <c r="T219" i="3"/>
  <c r="P219" i="3"/>
  <c r="H219" i="3"/>
  <c r="L219" i="3" s="1"/>
  <c r="D219" i="3"/>
  <c r="B219" i="3"/>
  <c r="X218" i="3"/>
  <c r="Z218" i="3" s="1"/>
  <c r="N218" i="3"/>
  <c r="L218" i="3"/>
  <c r="B218" i="3"/>
  <c r="T217" i="3"/>
  <c r="P217" i="3"/>
  <c r="X217" i="3" s="1"/>
  <c r="H217" i="3"/>
  <c r="D217" i="3"/>
  <c r="B217" i="3"/>
  <c r="Z216" i="3"/>
  <c r="X216" i="3"/>
  <c r="N216" i="3"/>
  <c r="L216" i="3"/>
  <c r="B216" i="3"/>
  <c r="T215" i="3"/>
  <c r="Z215" i="3" s="1"/>
  <c r="P215" i="3"/>
  <c r="X215" i="3" s="1"/>
  <c r="N215" i="3"/>
  <c r="L215" i="3"/>
  <c r="H215" i="3"/>
  <c r="D215" i="3"/>
  <c r="B215" i="3"/>
  <c r="Z214" i="3"/>
  <c r="X214" i="3"/>
  <c r="N214" i="3"/>
  <c r="L214" i="3"/>
  <c r="B214" i="3"/>
  <c r="X213" i="3"/>
  <c r="Z213" i="3" s="1"/>
  <c r="L213" i="3"/>
  <c r="N213" i="3" s="1"/>
  <c r="B213" i="3"/>
  <c r="T212" i="3"/>
  <c r="X212" i="3" s="1"/>
  <c r="Z212" i="3" s="1"/>
  <c r="P212" i="3"/>
  <c r="N212" i="3"/>
  <c r="H212" i="3"/>
  <c r="D212" i="3"/>
  <c r="L212" i="3" s="1"/>
  <c r="B212" i="3"/>
  <c r="X211" i="3"/>
  <c r="Z211" i="3" s="1"/>
  <c r="N211" i="3"/>
  <c r="L211" i="3"/>
  <c r="B211" i="3"/>
  <c r="Z210" i="3"/>
  <c r="T210" i="3"/>
  <c r="P210" i="3"/>
  <c r="X210" i="3" s="1"/>
  <c r="H210" i="3"/>
  <c r="D210" i="3"/>
  <c r="L210" i="3" s="1"/>
  <c r="N210" i="3" s="1"/>
  <c r="B210" i="3"/>
  <c r="X209" i="3"/>
  <c r="Z209" i="3" s="1"/>
  <c r="L209" i="3"/>
  <c r="N209" i="3" s="1"/>
  <c r="B209" i="3"/>
  <c r="T208" i="3"/>
  <c r="P208" i="3"/>
  <c r="X208" i="3" s="1"/>
  <c r="Z208" i="3" s="1"/>
  <c r="H208" i="3"/>
  <c r="D208" i="3"/>
  <c r="L208" i="3" s="1"/>
  <c r="B208" i="3"/>
  <c r="Z207" i="3"/>
  <c r="X207" i="3"/>
  <c r="L207" i="3"/>
  <c r="N207" i="3" s="1"/>
  <c r="B207" i="3"/>
  <c r="T206" i="3"/>
  <c r="P206" i="3"/>
  <c r="X206" i="3" s="1"/>
  <c r="N206" i="3"/>
  <c r="H206" i="3"/>
  <c r="L206" i="3" s="1"/>
  <c r="D206" i="3"/>
  <c r="B206" i="3"/>
  <c r="X205" i="3"/>
  <c r="Z205" i="3" s="1"/>
  <c r="L205" i="3"/>
  <c r="N205" i="3" s="1"/>
  <c r="B205" i="3"/>
  <c r="Z204" i="3"/>
  <c r="X204" i="3"/>
  <c r="N204" i="3"/>
  <c r="L204" i="3"/>
  <c r="B204" i="3"/>
  <c r="T203" i="3"/>
  <c r="P203" i="3"/>
  <c r="L203" i="3"/>
  <c r="N203" i="3" s="1"/>
  <c r="H203" i="3"/>
  <c r="D203" i="3"/>
  <c r="B203" i="3"/>
  <c r="Z202" i="3"/>
  <c r="X202" i="3"/>
  <c r="L202" i="3"/>
  <c r="N202" i="3" s="1"/>
  <c r="B202" i="3"/>
  <c r="X201" i="3"/>
  <c r="Z201" i="3" s="1"/>
  <c r="T201" i="3"/>
  <c r="P201" i="3"/>
  <c r="L201" i="3"/>
  <c r="H201" i="3"/>
  <c r="D201" i="3"/>
  <c r="B201" i="3"/>
  <c r="Z200" i="3"/>
  <c r="X200" i="3"/>
  <c r="N200" i="3"/>
  <c r="L200" i="3"/>
  <c r="B200" i="3"/>
  <c r="T199" i="3"/>
  <c r="P199" i="3"/>
  <c r="H199" i="3"/>
  <c r="N199" i="3" s="1"/>
  <c r="D199" i="3"/>
  <c r="B199" i="3"/>
  <c r="X198" i="3"/>
  <c r="Z198" i="3" s="1"/>
  <c r="L198" i="3"/>
  <c r="N198" i="3" s="1"/>
  <c r="B198" i="3"/>
  <c r="T197" i="3"/>
  <c r="P197" i="3"/>
  <c r="H197" i="3"/>
  <c r="D197" i="3"/>
  <c r="B197" i="3"/>
  <c r="Z196" i="3"/>
  <c r="X196" i="3"/>
  <c r="N196" i="3"/>
  <c r="L196" i="3"/>
  <c r="B196" i="3"/>
  <c r="Z195" i="3"/>
  <c r="X195" i="3"/>
  <c r="N195" i="3"/>
  <c r="L195" i="3"/>
  <c r="B195" i="3"/>
  <c r="T194" i="3"/>
  <c r="P194" i="3"/>
  <c r="X194" i="3" s="1"/>
  <c r="Z194" i="3" s="1"/>
  <c r="H194" i="3"/>
  <c r="N194" i="3" s="1"/>
  <c r="D194" i="3"/>
  <c r="B194" i="3"/>
  <c r="Z193" i="3"/>
  <c r="X193" i="3"/>
  <c r="L193" i="3"/>
  <c r="N193" i="3" s="1"/>
  <c r="B193" i="3"/>
  <c r="X192" i="3"/>
  <c r="Z192" i="3" s="1"/>
  <c r="N192" i="3"/>
  <c r="L192" i="3"/>
  <c r="B192" i="3"/>
  <c r="T191" i="3"/>
  <c r="P191" i="3"/>
  <c r="H191" i="3"/>
  <c r="D191" i="3"/>
  <c r="L191" i="3" s="1"/>
  <c r="N191" i="3" s="1"/>
  <c r="B191" i="3"/>
  <c r="X190" i="3"/>
  <c r="Z190" i="3" s="1"/>
  <c r="L190" i="3"/>
  <c r="N190" i="3" s="1"/>
  <c r="B190" i="3"/>
  <c r="T189" i="3"/>
  <c r="P189" i="3"/>
  <c r="X189" i="3" s="1"/>
  <c r="Z189" i="3" s="1"/>
  <c r="L189" i="3"/>
  <c r="H189" i="3"/>
  <c r="D189" i="3"/>
  <c r="B189" i="3"/>
  <c r="Z188" i="3"/>
  <c r="X188" i="3"/>
  <c r="N188" i="3"/>
  <c r="L188" i="3"/>
  <c r="B188" i="3"/>
  <c r="X187" i="3"/>
  <c r="Z187" i="3" s="1"/>
  <c r="N187" i="3"/>
  <c r="L187" i="3"/>
  <c r="B187" i="3"/>
  <c r="T186" i="3"/>
  <c r="P186" i="3"/>
  <c r="H186" i="3"/>
  <c r="D186" i="3"/>
  <c r="B186" i="3"/>
  <c r="Z185" i="3"/>
  <c r="X185" i="3"/>
  <c r="L185" i="3"/>
  <c r="N185" i="3" s="1"/>
  <c r="B185" i="3"/>
  <c r="T184" i="3"/>
  <c r="P184" i="3"/>
  <c r="X184" i="3" s="1"/>
  <c r="Z184" i="3" s="1"/>
  <c r="H184" i="3"/>
  <c r="D184" i="3"/>
  <c r="L184" i="3" s="1"/>
  <c r="B184" i="3"/>
  <c r="Z183" i="3"/>
  <c r="X183" i="3"/>
  <c r="L183" i="3"/>
  <c r="N183" i="3" s="1"/>
  <c r="B183" i="3"/>
  <c r="X182" i="3"/>
  <c r="Z182" i="3" s="1"/>
  <c r="N182" i="3"/>
  <c r="L182" i="3"/>
  <c r="B182" i="3"/>
  <c r="Z181" i="3"/>
  <c r="X181" i="3"/>
  <c r="N181" i="3"/>
  <c r="L181" i="3"/>
  <c r="B181" i="3"/>
  <c r="Z180" i="3"/>
  <c r="X180" i="3"/>
  <c r="N180" i="3"/>
  <c r="L180" i="3"/>
  <c r="B180" i="3"/>
  <c r="X179" i="3"/>
  <c r="Z179" i="3" s="1"/>
  <c r="N179" i="3"/>
  <c r="L179" i="3"/>
  <c r="B179" i="3"/>
  <c r="Z178" i="3"/>
  <c r="X178" i="3"/>
  <c r="L178" i="3"/>
  <c r="N178" i="3" s="1"/>
  <c r="B178" i="3"/>
  <c r="X177" i="3"/>
  <c r="Z177" i="3" s="1"/>
  <c r="L177" i="3"/>
  <c r="N177" i="3" s="1"/>
  <c r="B177" i="3"/>
  <c r="T176" i="3"/>
  <c r="P176" i="3"/>
  <c r="L176" i="3"/>
  <c r="N176" i="3" s="1"/>
  <c r="H176" i="3"/>
  <c r="D176" i="3"/>
  <c r="B176" i="3"/>
  <c r="X175" i="3"/>
  <c r="Z175" i="3" s="1"/>
  <c r="N175" i="3"/>
  <c r="L175" i="3"/>
  <c r="B175" i="3"/>
  <c r="Z174" i="3"/>
  <c r="X174" i="3"/>
  <c r="L174" i="3"/>
  <c r="N174" i="3" s="1"/>
  <c r="B174" i="3"/>
  <c r="Z173" i="3"/>
  <c r="X173" i="3"/>
  <c r="L173" i="3"/>
  <c r="N173" i="3" s="1"/>
  <c r="B173" i="3"/>
  <c r="X172" i="3"/>
  <c r="Z172" i="3" s="1"/>
  <c r="N172" i="3"/>
  <c r="L172" i="3"/>
  <c r="B172" i="3"/>
  <c r="Z171" i="3"/>
  <c r="X171" i="3"/>
  <c r="N171" i="3"/>
  <c r="L171" i="3"/>
  <c r="B171" i="3"/>
  <c r="X170" i="3"/>
  <c r="Z170" i="3" s="1"/>
  <c r="L170" i="3"/>
  <c r="N170" i="3" s="1"/>
  <c r="B170" i="3"/>
  <c r="X169" i="3"/>
  <c r="Z169" i="3" s="1"/>
  <c r="L169" i="3"/>
  <c r="N169" i="3" s="1"/>
  <c r="B169" i="3"/>
  <c r="Z168" i="3"/>
  <c r="X168" i="3"/>
  <c r="L168" i="3"/>
  <c r="N168" i="3" s="1"/>
  <c r="B168" i="3"/>
  <c r="X167" i="3"/>
  <c r="Z167" i="3" s="1"/>
  <c r="N167" i="3"/>
  <c r="L167" i="3"/>
  <c r="B167" i="3"/>
  <c r="X166" i="3"/>
  <c r="Z166" i="3" s="1"/>
  <c r="L166" i="3"/>
  <c r="N166" i="3" s="1"/>
  <c r="B166" i="3"/>
  <c r="X165" i="3"/>
  <c r="Z165" i="3" s="1"/>
  <c r="T165" i="3"/>
  <c r="P165" i="3"/>
  <c r="L165" i="3"/>
  <c r="H165" i="3"/>
  <c r="D165" i="3"/>
  <c r="B165" i="3"/>
  <c r="T164" i="3" a="1"/>
  <c r="T164" i="3"/>
  <c r="P164" i="3" a="1"/>
  <c r="P164" i="3"/>
  <c r="H164" i="3" a="1"/>
  <c r="H164" i="3"/>
  <c r="D164" i="3" a="1"/>
  <c r="D164" i="3"/>
  <c r="Z160" i="3"/>
  <c r="X160" i="3"/>
  <c r="N160" i="3"/>
  <c r="L160" i="3"/>
  <c r="B160" i="3"/>
  <c r="X159" i="3"/>
  <c r="Z159" i="3" s="1"/>
  <c r="N159" i="3"/>
  <c r="L159" i="3"/>
  <c r="B159" i="3"/>
  <c r="X158" i="3"/>
  <c r="Z158" i="3" s="1"/>
  <c r="N158" i="3"/>
  <c r="L158" i="3"/>
  <c r="B158" i="3"/>
  <c r="X157" i="3"/>
  <c r="Z157" i="3" s="1"/>
  <c r="N157" i="3"/>
  <c r="L157" i="3"/>
  <c r="B157" i="3"/>
  <c r="Z156" i="3"/>
  <c r="X156" i="3"/>
  <c r="L156" i="3"/>
  <c r="N156" i="3" s="1"/>
  <c r="B156" i="3"/>
  <c r="X155" i="3"/>
  <c r="Z155" i="3" s="1"/>
  <c r="N155" i="3"/>
  <c r="L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N152" i="3"/>
  <c r="L152" i="3"/>
  <c r="B152" i="3"/>
  <c r="X151" i="3"/>
  <c r="Z151" i="3" s="1"/>
  <c r="N151" i="3"/>
  <c r="L151" i="3"/>
  <c r="B151" i="3"/>
  <c r="X150" i="3"/>
  <c r="Z150" i="3" s="1"/>
  <c r="L150" i="3"/>
  <c r="N150" i="3" s="1"/>
  <c r="B150" i="3"/>
  <c r="X149" i="3"/>
  <c r="Z149" i="3" s="1"/>
  <c r="L149" i="3"/>
  <c r="N149" i="3" s="1"/>
  <c r="B149" i="3"/>
  <c r="Z148" i="3"/>
  <c r="X148" i="3"/>
  <c r="N148" i="3"/>
  <c r="L148" i="3"/>
  <c r="B148" i="3"/>
  <c r="Z147" i="3"/>
  <c r="X147" i="3"/>
  <c r="N147" i="3"/>
  <c r="L147" i="3"/>
  <c r="B147" i="3"/>
  <c r="Z146" i="3"/>
  <c r="X146" i="3"/>
  <c r="N146" i="3"/>
  <c r="L146" i="3"/>
  <c r="B146" i="3"/>
  <c r="X145" i="3"/>
  <c r="Z145" i="3" s="1"/>
  <c r="N145" i="3"/>
  <c r="L145" i="3"/>
  <c r="B145" i="3"/>
  <c r="Z144" i="3"/>
  <c r="X144" i="3"/>
  <c r="N144" i="3"/>
  <c r="L144" i="3"/>
  <c r="B144" i="3"/>
  <c r="X143" i="3"/>
  <c r="Z143" i="3" s="1"/>
  <c r="N143" i="3"/>
  <c r="L143" i="3"/>
  <c r="B143" i="3"/>
  <c r="X142" i="3"/>
  <c r="Z142" i="3" s="1"/>
  <c r="N142" i="3"/>
  <c r="L142" i="3"/>
  <c r="B142" i="3"/>
  <c r="X141" i="3"/>
  <c r="Z141" i="3" s="1"/>
  <c r="L141" i="3"/>
  <c r="N141" i="3" s="1"/>
  <c r="B141" i="3"/>
  <c r="Z140" i="3"/>
  <c r="X140" i="3"/>
  <c r="N140" i="3"/>
  <c r="L140" i="3"/>
  <c r="B140" i="3"/>
  <c r="Z139" i="3"/>
  <c r="X139" i="3"/>
  <c r="N139" i="3"/>
  <c r="L139" i="3"/>
  <c r="B139" i="3"/>
  <c r="X138" i="3"/>
  <c r="Z138" i="3" s="1"/>
  <c r="L138" i="3"/>
  <c r="N138" i="3" s="1"/>
  <c r="B138" i="3"/>
  <c r="X137" i="3"/>
  <c r="Z137" i="3" s="1"/>
  <c r="L137" i="3"/>
  <c r="N137" i="3" s="1"/>
  <c r="B137" i="3"/>
  <c r="Z136" i="3"/>
  <c r="X136" i="3"/>
  <c r="N136" i="3"/>
  <c r="L136" i="3"/>
  <c r="B136" i="3"/>
  <c r="X135" i="3"/>
  <c r="Z135" i="3" s="1"/>
  <c r="N135" i="3"/>
  <c r="L135" i="3"/>
  <c r="B135" i="3"/>
  <c r="X134" i="3"/>
  <c r="Z134" i="3" s="1"/>
  <c r="L134" i="3"/>
  <c r="N134" i="3" s="1"/>
  <c r="B134" i="3"/>
  <c r="X133" i="3"/>
  <c r="Z133" i="3" s="1"/>
  <c r="L133" i="3"/>
  <c r="N133" i="3" s="1"/>
  <c r="B133" i="3"/>
  <c r="Z132" i="3"/>
  <c r="X132" i="3"/>
  <c r="N132" i="3"/>
  <c r="L132" i="3"/>
  <c r="B132" i="3"/>
  <c r="Z131" i="3"/>
  <c r="X131" i="3"/>
  <c r="L131" i="3"/>
  <c r="N131" i="3" s="1"/>
  <c r="B131" i="3"/>
  <c r="X130" i="3"/>
  <c r="Z130" i="3" s="1"/>
  <c r="L130" i="3"/>
  <c r="N130" i="3" s="1"/>
  <c r="B130" i="3"/>
  <c r="X129" i="3"/>
  <c r="Z129" i="3" s="1"/>
  <c r="L129" i="3"/>
  <c r="N129" i="3" s="1"/>
  <c r="B129" i="3"/>
  <c r="Z128" i="3"/>
  <c r="X128" i="3"/>
  <c r="N128" i="3"/>
  <c r="L128" i="3"/>
  <c r="B128" i="3"/>
  <c r="X127" i="3"/>
  <c r="Z127" i="3" s="1"/>
  <c r="N127" i="3"/>
  <c r="L127" i="3"/>
  <c r="B127" i="3"/>
  <c r="X126" i="3"/>
  <c r="Z126" i="3" s="1"/>
  <c r="L126" i="3"/>
  <c r="N126" i="3" s="1"/>
  <c r="B126" i="3"/>
  <c r="X125" i="3"/>
  <c r="Z125" i="3" s="1"/>
  <c r="L125" i="3"/>
  <c r="N125" i="3" s="1"/>
  <c r="B125" i="3"/>
  <c r="Z124" i="3"/>
  <c r="X124" i="3"/>
  <c r="N124" i="3"/>
  <c r="L124" i="3"/>
  <c r="B124" i="3"/>
  <c r="Z123" i="3"/>
  <c r="X123" i="3"/>
  <c r="L123" i="3"/>
  <c r="N123" i="3" s="1"/>
  <c r="B123" i="3"/>
  <c r="X122" i="3"/>
  <c r="Z122" i="3" s="1"/>
  <c r="L122" i="3"/>
  <c r="N122" i="3" s="1"/>
  <c r="B122" i="3"/>
  <c r="X121" i="3"/>
  <c r="Z121" i="3" s="1"/>
  <c r="L121" i="3"/>
  <c r="N121" i="3" s="1"/>
  <c r="B121" i="3"/>
  <c r="Z120" i="3"/>
  <c r="X120" i="3"/>
  <c r="N120" i="3"/>
  <c r="L120" i="3"/>
  <c r="B120" i="3"/>
  <c r="X119" i="3"/>
  <c r="Z119" i="3" s="1"/>
  <c r="N119" i="3"/>
  <c r="L119" i="3"/>
  <c r="B119" i="3"/>
  <c r="X118" i="3"/>
  <c r="Z118" i="3" s="1"/>
  <c r="N118" i="3"/>
  <c r="L118" i="3"/>
  <c r="B118" i="3"/>
  <c r="X117" i="3"/>
  <c r="Z117" i="3" s="1"/>
  <c r="N117" i="3"/>
  <c r="L117" i="3"/>
  <c r="B117" i="3"/>
  <c r="Z116" i="3"/>
  <c r="X116" i="3"/>
  <c r="N116" i="3"/>
  <c r="L116" i="3"/>
  <c r="B116" i="3"/>
  <c r="Z115" i="3"/>
  <c r="X115" i="3"/>
  <c r="N115" i="3"/>
  <c r="L115" i="3"/>
  <c r="B115" i="3"/>
  <c r="X114" i="3"/>
  <c r="Z114" i="3" s="1"/>
  <c r="N114" i="3"/>
  <c r="L114" i="3"/>
  <c r="B114" i="3"/>
  <c r="X113" i="3"/>
  <c r="Z113" i="3" s="1"/>
  <c r="L113" i="3"/>
  <c r="N113" i="3" s="1"/>
  <c r="B113" i="3"/>
  <c r="Z112" i="3"/>
  <c r="X112" i="3"/>
  <c r="N112" i="3"/>
  <c r="L112" i="3"/>
  <c r="B112" i="3"/>
  <c r="X111" i="3"/>
  <c r="Z111" i="3" s="1"/>
  <c r="N111" i="3"/>
  <c r="L111" i="3"/>
  <c r="B111" i="3"/>
  <c r="X110" i="3"/>
  <c r="Z110" i="3" s="1"/>
  <c r="L110" i="3"/>
  <c r="N110" i="3" s="1"/>
  <c r="B110" i="3"/>
  <c r="Z109" i="3"/>
  <c r="X109" i="3"/>
  <c r="N109" i="3"/>
  <c r="L109" i="3"/>
  <c r="B109" i="3"/>
  <c r="T108" i="3"/>
  <c r="X108" i="3" s="1"/>
  <c r="Z108" i="3" s="1"/>
  <c r="P108" i="3"/>
  <c r="H108" i="3"/>
  <c r="D108" i="3"/>
  <c r="L108" i="3" s="1"/>
  <c r="N108" i="3" s="1"/>
  <c r="Z106" i="3"/>
  <c r="T106" i="3"/>
  <c r="P106" i="3"/>
  <c r="X106" i="3" s="1"/>
  <c r="N106" i="3"/>
  <c r="H106" i="3"/>
  <c r="D106" i="3"/>
  <c r="L106" i="3" s="1"/>
  <c r="B106" i="3"/>
  <c r="T105" i="3"/>
  <c r="P105" i="3"/>
  <c r="X105" i="3" s="1"/>
  <c r="H105" i="3"/>
  <c r="N105" i="3" s="1"/>
  <c r="D105" i="3"/>
  <c r="L105" i="3" s="1"/>
  <c r="B105" i="3"/>
  <c r="T104" i="3"/>
  <c r="P104" i="3"/>
  <c r="H104" i="3"/>
  <c r="N104" i="3" s="1"/>
  <c r="D104" i="3"/>
  <c r="B104" i="3"/>
  <c r="X103" i="3"/>
  <c r="Z103" i="3" s="1"/>
  <c r="T103" i="3"/>
  <c r="P103" i="3"/>
  <c r="N103" i="3"/>
  <c r="L103" i="3"/>
  <c r="H103" i="3"/>
  <c r="D103" i="3"/>
  <c r="B103" i="3"/>
  <c r="T102" i="3"/>
  <c r="P102" i="3"/>
  <c r="X102" i="3" s="1"/>
  <c r="Z102" i="3" s="1"/>
  <c r="H102" i="3"/>
  <c r="D102" i="3"/>
  <c r="L102" i="3" s="1"/>
  <c r="N102" i="3" s="1"/>
  <c r="B102" i="3"/>
  <c r="T101" i="3"/>
  <c r="P101" i="3"/>
  <c r="X101" i="3" s="1"/>
  <c r="H101" i="3"/>
  <c r="N101" i="3" s="1"/>
  <c r="D101" i="3"/>
  <c r="L101" i="3" s="1"/>
  <c r="B101" i="3"/>
  <c r="T100" i="3"/>
  <c r="P100" i="3"/>
  <c r="H100" i="3"/>
  <c r="D100" i="3"/>
  <c r="B100" i="3"/>
  <c r="X99" i="3"/>
  <c r="Z99" i="3" s="1"/>
  <c r="T99" i="3"/>
  <c r="P99" i="3"/>
  <c r="L99" i="3"/>
  <c r="N99" i="3" s="1"/>
  <c r="H99" i="3"/>
  <c r="D99" i="3"/>
  <c r="B99" i="3"/>
  <c r="T98" i="3"/>
  <c r="P98" i="3"/>
  <c r="X98" i="3" s="1"/>
  <c r="Z98" i="3" s="1"/>
  <c r="H98" i="3"/>
  <c r="D98" i="3"/>
  <c r="L98" i="3" s="1"/>
  <c r="N98" i="3" s="1"/>
  <c r="B98" i="3"/>
  <c r="T97" i="3"/>
  <c r="Z97" i="3" s="1"/>
  <c r="P97" i="3"/>
  <c r="X97" i="3" s="1"/>
  <c r="H97" i="3"/>
  <c r="D97" i="3"/>
  <c r="L97" i="3" s="1"/>
  <c r="B97" i="3"/>
  <c r="T96" i="3"/>
  <c r="Z96" i="3" s="1"/>
  <c r="P96" i="3"/>
  <c r="H96" i="3"/>
  <c r="N96" i="3" s="1"/>
  <c r="D96" i="3"/>
  <c r="B96" i="3"/>
  <c r="X95" i="3"/>
  <c r="Z95" i="3" s="1"/>
  <c r="T95" i="3"/>
  <c r="P95" i="3"/>
  <c r="N95" i="3"/>
  <c r="L95" i="3"/>
  <c r="H95" i="3"/>
  <c r="D95" i="3"/>
  <c r="B95" i="3"/>
  <c r="T94" i="3"/>
  <c r="P94" i="3"/>
  <c r="X94" i="3" s="1"/>
  <c r="Z94" i="3" s="1"/>
  <c r="N94" i="3"/>
  <c r="H94" i="3"/>
  <c r="D94" i="3"/>
  <c r="L94" i="3" s="1"/>
  <c r="B94" i="3"/>
  <c r="T93" i="3"/>
  <c r="Z93" i="3" s="1"/>
  <c r="P93" i="3"/>
  <c r="X93" i="3" s="1"/>
  <c r="H93" i="3"/>
  <c r="D93" i="3"/>
  <c r="L93" i="3" s="1"/>
  <c r="B93" i="3"/>
  <c r="T92" i="3"/>
  <c r="P92" i="3"/>
  <c r="H92" i="3"/>
  <c r="D92" i="3"/>
  <c r="B92" i="3"/>
  <c r="X91" i="3"/>
  <c r="Z91" i="3" s="1"/>
  <c r="T91" i="3"/>
  <c r="P91" i="3"/>
  <c r="L91" i="3"/>
  <c r="N91" i="3" s="1"/>
  <c r="H91" i="3"/>
  <c r="D91" i="3"/>
  <c r="B91" i="3"/>
  <c r="T90" i="3"/>
  <c r="P90" i="3"/>
  <c r="X90" i="3" s="1"/>
  <c r="Z90" i="3" s="1"/>
  <c r="H90" i="3"/>
  <c r="D90" i="3"/>
  <c r="L90" i="3" s="1"/>
  <c r="N90" i="3" s="1"/>
  <c r="B90" i="3"/>
  <c r="T89" i="3"/>
  <c r="Z89" i="3" s="1"/>
  <c r="P89" i="3"/>
  <c r="X89" i="3" s="1"/>
  <c r="H89" i="3"/>
  <c r="N89" i="3" s="1"/>
  <c r="D89" i="3"/>
  <c r="L89" i="3" s="1"/>
  <c r="B89" i="3"/>
  <c r="T88" i="3"/>
  <c r="P88" i="3"/>
  <c r="H88" i="3"/>
  <c r="D88" i="3"/>
  <c r="B88" i="3"/>
  <c r="X87" i="3"/>
  <c r="Z87" i="3" s="1"/>
  <c r="T87" i="3"/>
  <c r="P87" i="3"/>
  <c r="L87" i="3"/>
  <c r="N87" i="3" s="1"/>
  <c r="H87" i="3"/>
  <c r="D87" i="3"/>
  <c r="B87" i="3"/>
  <c r="T86" i="3"/>
  <c r="P86" i="3"/>
  <c r="X86" i="3" s="1"/>
  <c r="Z86" i="3" s="1"/>
  <c r="H86" i="3"/>
  <c r="D86" i="3"/>
  <c r="L86" i="3" s="1"/>
  <c r="N86" i="3" s="1"/>
  <c r="B86" i="3"/>
  <c r="T85" i="3"/>
  <c r="Z85" i="3" s="1"/>
  <c r="P85" i="3"/>
  <c r="X85" i="3" s="1"/>
  <c r="H85" i="3"/>
  <c r="D85" i="3"/>
  <c r="L85" i="3" s="1"/>
  <c r="B85" i="3"/>
  <c r="T84" i="3"/>
  <c r="P84" i="3"/>
  <c r="H84" i="3"/>
  <c r="N84" i="3" s="1"/>
  <c r="D84" i="3"/>
  <c r="B84" i="3"/>
  <c r="X83" i="3"/>
  <c r="Z83" i="3" s="1"/>
  <c r="T83" i="3"/>
  <c r="P83" i="3"/>
  <c r="L83" i="3"/>
  <c r="N83" i="3" s="1"/>
  <c r="H83" i="3"/>
  <c r="D83" i="3"/>
  <c r="B83" i="3"/>
  <c r="T82" i="3"/>
  <c r="P82" i="3"/>
  <c r="X82" i="3" s="1"/>
  <c r="Z82" i="3" s="1"/>
  <c r="H82" i="3"/>
  <c r="D82" i="3"/>
  <c r="L82" i="3" s="1"/>
  <c r="N82" i="3" s="1"/>
  <c r="B82" i="3"/>
  <c r="T81" i="3"/>
  <c r="Z81" i="3" s="1"/>
  <c r="P81" i="3"/>
  <c r="X81" i="3" s="1"/>
  <c r="H81" i="3"/>
  <c r="N81" i="3" s="1"/>
  <c r="D81" i="3"/>
  <c r="L81" i="3" s="1"/>
  <c r="B81" i="3"/>
  <c r="T80" i="3"/>
  <c r="P80" i="3"/>
  <c r="H80" i="3"/>
  <c r="D80" i="3"/>
  <c r="B80" i="3"/>
  <c r="X79" i="3"/>
  <c r="Z79" i="3" s="1"/>
  <c r="T79" i="3"/>
  <c r="P79" i="3"/>
  <c r="N79" i="3"/>
  <c r="L79" i="3"/>
  <c r="H79" i="3"/>
  <c r="D79" i="3"/>
  <c r="B79" i="3"/>
  <c r="T78" i="3"/>
  <c r="P78" i="3"/>
  <c r="X78" i="3" s="1"/>
  <c r="Z78" i="3" s="1"/>
  <c r="H78" i="3"/>
  <c r="D78" i="3"/>
  <c r="L78" i="3" s="1"/>
  <c r="N78" i="3" s="1"/>
  <c r="B78" i="3"/>
  <c r="T77" i="3"/>
  <c r="P77" i="3"/>
  <c r="X77" i="3" s="1"/>
  <c r="H77" i="3"/>
  <c r="D77" i="3"/>
  <c r="L77" i="3" s="1"/>
  <c r="B77" i="3"/>
  <c r="T76" i="3"/>
  <c r="Z76" i="3" s="1"/>
  <c r="P76" i="3"/>
  <c r="H76" i="3"/>
  <c r="N76" i="3" s="1"/>
  <c r="D76" i="3"/>
  <c r="B76" i="3"/>
  <c r="X75" i="3"/>
  <c r="Z75" i="3" s="1"/>
  <c r="T75" i="3"/>
  <c r="P75" i="3"/>
  <c r="L75" i="3"/>
  <c r="N75" i="3" s="1"/>
  <c r="H75" i="3"/>
  <c r="D75" i="3"/>
  <c r="B75" i="3"/>
  <c r="T74" i="3"/>
  <c r="P74" i="3"/>
  <c r="X74" i="3" s="1"/>
  <c r="Z74" i="3" s="1"/>
  <c r="H74" i="3"/>
  <c r="D74" i="3"/>
  <c r="L74" i="3" s="1"/>
  <c r="N74" i="3" s="1"/>
  <c r="B74" i="3"/>
  <c r="T73" i="3"/>
  <c r="P73" i="3"/>
  <c r="X73" i="3" s="1"/>
  <c r="H73" i="3"/>
  <c r="D73" i="3"/>
  <c r="L73" i="3" s="1"/>
  <c r="B73" i="3"/>
  <c r="T72" i="3"/>
  <c r="P72" i="3"/>
  <c r="H72" i="3"/>
  <c r="D72" i="3"/>
  <c r="B72" i="3"/>
  <c r="X71" i="3"/>
  <c r="Z71" i="3" s="1"/>
  <c r="T71" i="3"/>
  <c r="P71" i="3"/>
  <c r="L71" i="3"/>
  <c r="N71" i="3" s="1"/>
  <c r="H71" i="3"/>
  <c r="D71" i="3"/>
  <c r="B71" i="3"/>
  <c r="Z70" i="3"/>
  <c r="T70" i="3"/>
  <c r="P70" i="3"/>
  <c r="X70" i="3" s="1"/>
  <c r="N70" i="3"/>
  <c r="H70" i="3"/>
  <c r="D70" i="3"/>
  <c r="L70" i="3" s="1"/>
  <c r="B70" i="3"/>
  <c r="T69" i="3"/>
  <c r="P69" i="3"/>
  <c r="X69" i="3" s="1"/>
  <c r="H69" i="3"/>
  <c r="D69" i="3"/>
  <c r="L69" i="3" s="1"/>
  <c r="B69" i="3"/>
  <c r="T68" i="3"/>
  <c r="P68" i="3"/>
  <c r="H68" i="3"/>
  <c r="N68" i="3" s="1"/>
  <c r="D68" i="3"/>
  <c r="B68" i="3"/>
  <c r="X67" i="3"/>
  <c r="Z67" i="3" s="1"/>
  <c r="T67" i="3"/>
  <c r="P67" i="3"/>
  <c r="L67" i="3"/>
  <c r="N67" i="3" s="1"/>
  <c r="H67" i="3"/>
  <c r="D67" i="3"/>
  <c r="B67" i="3"/>
  <c r="T66" i="3"/>
  <c r="P66" i="3"/>
  <c r="X66" i="3" s="1"/>
  <c r="Z66" i="3" s="1"/>
  <c r="H66" i="3"/>
  <c r="D66" i="3"/>
  <c r="L66" i="3" s="1"/>
  <c r="N66" i="3" s="1"/>
  <c r="B66" i="3"/>
  <c r="T65" i="3"/>
  <c r="Z65" i="3" s="1"/>
  <c r="P65" i="3"/>
  <c r="X65" i="3" s="1"/>
  <c r="H65" i="3"/>
  <c r="D65" i="3"/>
  <c r="L65" i="3" s="1"/>
  <c r="B65" i="3"/>
  <c r="T64" i="3"/>
  <c r="P64" i="3"/>
  <c r="H64" i="3"/>
  <c r="N64" i="3" s="1"/>
  <c r="D64" i="3"/>
  <c r="B64" i="3"/>
  <c r="X63" i="3"/>
  <c r="Z63" i="3" s="1"/>
  <c r="T63" i="3"/>
  <c r="P63" i="3"/>
  <c r="L63" i="3"/>
  <c r="N63" i="3" s="1"/>
  <c r="H63" i="3"/>
  <c r="D63" i="3"/>
  <c r="B63" i="3"/>
  <c r="T62" i="3"/>
  <c r="P62" i="3"/>
  <c r="X62" i="3" s="1"/>
  <c r="Z62" i="3" s="1"/>
  <c r="H62" i="3"/>
  <c r="D62" i="3"/>
  <c r="L62" i="3" s="1"/>
  <c r="N62" i="3" s="1"/>
  <c r="B62" i="3"/>
  <c r="T61" i="3"/>
  <c r="P61" i="3"/>
  <c r="X61" i="3" s="1"/>
  <c r="H61" i="3"/>
  <c r="N61" i="3" s="1"/>
  <c r="D61" i="3"/>
  <c r="L61" i="3" s="1"/>
  <c r="B61" i="3"/>
  <c r="T60" i="3"/>
  <c r="P60" i="3"/>
  <c r="H60" i="3"/>
  <c r="D60" i="3"/>
  <c r="B60" i="3"/>
  <c r="X59" i="3"/>
  <c r="Z59" i="3" s="1"/>
  <c r="T59" i="3"/>
  <c r="P59" i="3"/>
  <c r="L59" i="3"/>
  <c r="N59" i="3" s="1"/>
  <c r="H59" i="3"/>
  <c r="D59" i="3"/>
  <c r="B59" i="3"/>
  <c r="T58" i="3"/>
  <c r="P58" i="3"/>
  <c r="X58" i="3" s="1"/>
  <c r="Z58" i="3" s="1"/>
  <c r="N58" i="3"/>
  <c r="H58" i="3"/>
  <c r="D58" i="3"/>
  <c r="L58" i="3" s="1"/>
  <c r="B58" i="3"/>
  <c r="T57" i="3"/>
  <c r="Z57" i="3" s="1"/>
  <c r="P57" i="3"/>
  <c r="X57" i="3" s="1"/>
  <c r="H57" i="3"/>
  <c r="N57" i="3" s="1"/>
  <c r="D57" i="3"/>
  <c r="L57" i="3" s="1"/>
  <c r="B57" i="3"/>
  <c r="T56" i="3"/>
  <c r="P56" i="3"/>
  <c r="H56" i="3"/>
  <c r="N56" i="3" s="1"/>
  <c r="D56" i="3"/>
  <c r="B56" i="3"/>
  <c r="X55" i="3"/>
  <c r="Z55" i="3" s="1"/>
  <c r="T55" i="3"/>
  <c r="P55" i="3"/>
  <c r="N55" i="3"/>
  <c r="L55" i="3"/>
  <c r="H55" i="3"/>
  <c r="D55" i="3"/>
  <c r="B55" i="3"/>
  <c r="T54" i="3"/>
  <c r="P54" i="3"/>
  <c r="X54" i="3" s="1"/>
  <c r="Z54" i="3" s="1"/>
  <c r="H54" i="3"/>
  <c r="D54" i="3"/>
  <c r="L54" i="3" s="1"/>
  <c r="N54" i="3" s="1"/>
  <c r="B54" i="3"/>
  <c r="T53" i="3"/>
  <c r="P53" i="3"/>
  <c r="X53" i="3" s="1"/>
  <c r="H53" i="3"/>
  <c r="D53" i="3"/>
  <c r="L53" i="3" s="1"/>
  <c r="B53" i="3"/>
  <c r="T52" i="3"/>
  <c r="P52" i="3"/>
  <c r="H52" i="3"/>
  <c r="D52" i="3"/>
  <c r="B52" i="3"/>
  <c r="X51" i="3"/>
  <c r="Z51" i="3" s="1"/>
  <c r="T51" i="3"/>
  <c r="P51" i="3"/>
  <c r="N51" i="3"/>
  <c r="L51" i="3"/>
  <c r="H51" i="3"/>
  <c r="D51" i="3"/>
  <c r="B51" i="3"/>
  <c r="T50" i="3"/>
  <c r="P50" i="3"/>
  <c r="X50" i="3" s="1"/>
  <c r="Z50" i="3" s="1"/>
  <c r="N50" i="3"/>
  <c r="H50" i="3"/>
  <c r="D50" i="3"/>
  <c r="L50" i="3" s="1"/>
  <c r="B50" i="3"/>
  <c r="T49" i="3"/>
  <c r="P49" i="3"/>
  <c r="X49" i="3" s="1"/>
  <c r="H49" i="3"/>
  <c r="N49" i="3" s="1"/>
  <c r="D49" i="3"/>
  <c r="L49" i="3" s="1"/>
  <c r="B49" i="3"/>
  <c r="T48" i="3"/>
  <c r="P48" i="3"/>
  <c r="H48" i="3"/>
  <c r="D48" i="3"/>
  <c r="B48" i="3"/>
  <c r="X47" i="3"/>
  <c r="Z47" i="3" s="1"/>
  <c r="T47" i="3"/>
  <c r="P47" i="3"/>
  <c r="N47" i="3"/>
  <c r="L47" i="3"/>
  <c r="H47" i="3"/>
  <c r="D47" i="3"/>
  <c r="B47" i="3"/>
  <c r="T46" i="3"/>
  <c r="P46" i="3"/>
  <c r="X46" i="3" s="1"/>
  <c r="Z46" i="3" s="1"/>
  <c r="H46" i="3"/>
  <c r="D46" i="3"/>
  <c r="L46" i="3" s="1"/>
  <c r="N46" i="3" s="1"/>
  <c r="B46" i="3"/>
  <c r="T45" i="3"/>
  <c r="Z45" i="3" s="1"/>
  <c r="P45" i="3"/>
  <c r="X45" i="3" s="1"/>
  <c r="H45" i="3"/>
  <c r="D45" i="3"/>
  <c r="L45" i="3" s="1"/>
  <c r="B45" i="3"/>
  <c r="T44" i="3"/>
  <c r="P44" i="3"/>
  <c r="H44" i="3"/>
  <c r="D44" i="3"/>
  <c r="B44" i="3"/>
  <c r="X43" i="3"/>
  <c r="Z43" i="3" s="1"/>
  <c r="T43" i="3"/>
  <c r="P43" i="3"/>
  <c r="L43" i="3"/>
  <c r="N43" i="3" s="1"/>
  <c r="H43" i="3"/>
  <c r="D43" i="3"/>
  <c r="B43" i="3"/>
  <c r="T42" i="3"/>
  <c r="P42" i="3"/>
  <c r="X42" i="3" s="1"/>
  <c r="Z42" i="3" s="1"/>
  <c r="H42" i="3"/>
  <c r="D42" i="3"/>
  <c r="L42" i="3" s="1"/>
  <c r="N42" i="3" s="1"/>
  <c r="B42" i="3"/>
  <c r="T41" i="3"/>
  <c r="P41" i="3"/>
  <c r="X41" i="3" s="1"/>
  <c r="H41" i="3"/>
  <c r="N41" i="3" s="1"/>
  <c r="D41" i="3"/>
  <c r="L41" i="3" s="1"/>
  <c r="B41" i="3"/>
  <c r="T40" i="3"/>
  <c r="P40" i="3"/>
  <c r="H40" i="3"/>
  <c r="D40" i="3"/>
  <c r="B40" i="3"/>
  <c r="X39" i="3"/>
  <c r="Z39" i="3" s="1"/>
  <c r="T39" i="3"/>
  <c r="P39" i="3"/>
  <c r="L39" i="3"/>
  <c r="N39" i="3" s="1"/>
  <c r="H39" i="3"/>
  <c r="D39" i="3"/>
  <c r="B39" i="3"/>
  <c r="T38" i="3"/>
  <c r="P38" i="3"/>
  <c r="X38" i="3" s="1"/>
  <c r="Z38" i="3" s="1"/>
  <c r="H38" i="3"/>
  <c r="D38" i="3"/>
  <c r="L38" i="3" s="1"/>
  <c r="N38" i="3" s="1"/>
  <c r="B38" i="3"/>
  <c r="T37" i="3"/>
  <c r="Z37" i="3" s="1"/>
  <c r="P37" i="3"/>
  <c r="X37" i="3" s="1"/>
  <c r="H37" i="3"/>
  <c r="N37" i="3" s="1"/>
  <c r="D37" i="3"/>
  <c r="L37" i="3" s="1"/>
  <c r="B37" i="3"/>
  <c r="T36" i="3"/>
  <c r="Z36" i="3" s="1"/>
  <c r="P36" i="3"/>
  <c r="H36" i="3"/>
  <c r="N36" i="3" s="1"/>
  <c r="D36" i="3"/>
  <c r="B36" i="3"/>
  <c r="X35" i="3"/>
  <c r="Z35" i="3" s="1"/>
  <c r="T35" i="3"/>
  <c r="P35" i="3"/>
  <c r="L35" i="3"/>
  <c r="N35" i="3" s="1"/>
  <c r="H35" i="3"/>
  <c r="D35" i="3"/>
  <c r="B35" i="3"/>
  <c r="T34" i="3"/>
  <c r="P34" i="3"/>
  <c r="X34" i="3" s="1"/>
  <c r="Z34" i="3" s="1"/>
  <c r="H34" i="3"/>
  <c r="D34" i="3"/>
  <c r="L34" i="3" s="1"/>
  <c r="N34" i="3" s="1"/>
  <c r="B34" i="3"/>
  <c r="T33" i="3"/>
  <c r="Z33" i="3" s="1"/>
  <c r="P33" i="3"/>
  <c r="X33" i="3" s="1"/>
  <c r="H33" i="3"/>
  <c r="N33" i="3" s="1"/>
  <c r="D33" i="3"/>
  <c r="L33" i="3" s="1"/>
  <c r="B33" i="3"/>
  <c r="T32" i="3"/>
  <c r="P32" i="3"/>
  <c r="H32" i="3"/>
  <c r="D32" i="3"/>
  <c r="B32" i="3"/>
  <c r="X31" i="3"/>
  <c r="Z31" i="3" s="1"/>
  <c r="T31" i="3"/>
  <c r="P31" i="3"/>
  <c r="L31" i="3"/>
  <c r="N31" i="3" s="1"/>
  <c r="H31" i="3"/>
  <c r="D31" i="3"/>
  <c r="B31" i="3"/>
  <c r="T30" i="3"/>
  <c r="P30" i="3"/>
  <c r="X30" i="3" s="1"/>
  <c r="Z30" i="3" s="1"/>
  <c r="H30" i="3"/>
  <c r="D30" i="3"/>
  <c r="L30" i="3" s="1"/>
  <c r="N30" i="3" s="1"/>
  <c r="B30" i="3"/>
  <c r="T29" i="3"/>
  <c r="P29" i="3"/>
  <c r="X29" i="3" s="1"/>
  <c r="H29" i="3"/>
  <c r="N29" i="3" s="1"/>
  <c r="D29" i="3"/>
  <c r="L29" i="3" s="1"/>
  <c r="B29" i="3"/>
  <c r="T28" i="3"/>
  <c r="P28" i="3"/>
  <c r="H28" i="3"/>
  <c r="D28" i="3"/>
  <c r="B28" i="3"/>
  <c r="X27" i="3"/>
  <c r="Z27" i="3" s="1"/>
  <c r="T27" i="3"/>
  <c r="P27" i="3"/>
  <c r="L27" i="3"/>
  <c r="N27" i="3" s="1"/>
  <c r="H27" i="3"/>
  <c r="D27" i="3"/>
  <c r="B27" i="3"/>
  <c r="T26" i="3"/>
  <c r="P26" i="3"/>
  <c r="X26" i="3" s="1"/>
  <c r="Z26" i="3" s="1"/>
  <c r="N26" i="3"/>
  <c r="H26" i="3"/>
  <c r="D26" i="3"/>
  <c r="L26" i="3" s="1"/>
  <c r="B26" i="3"/>
  <c r="T25" i="3"/>
  <c r="P25" i="3"/>
  <c r="X25" i="3" s="1"/>
  <c r="H25" i="3"/>
  <c r="N25" i="3" s="1"/>
  <c r="D25" i="3"/>
  <c r="L25" i="3" s="1"/>
  <c r="B25" i="3"/>
  <c r="T24" i="3"/>
  <c r="P24" i="3"/>
  <c r="H24" i="3"/>
  <c r="D24" i="3"/>
  <c r="B24" i="3"/>
  <c r="X23" i="3"/>
  <c r="Z23" i="3" s="1"/>
  <c r="T23" i="3"/>
  <c r="P23" i="3"/>
  <c r="L23" i="3"/>
  <c r="N23" i="3" s="1"/>
  <c r="H23" i="3"/>
  <c r="D23" i="3"/>
  <c r="B23" i="3"/>
  <c r="T22" i="3"/>
  <c r="P22" i="3"/>
  <c r="X22" i="3" s="1"/>
  <c r="Z22" i="3" s="1"/>
  <c r="H22" i="3"/>
  <c r="D22" i="3"/>
  <c r="L22" i="3" s="1"/>
  <c r="N22" i="3" s="1"/>
  <c r="B22" i="3"/>
  <c r="T21" i="3"/>
  <c r="Z21" i="3" s="1"/>
  <c r="P21" i="3"/>
  <c r="X21" i="3" s="1"/>
  <c r="H21" i="3"/>
  <c r="D21" i="3"/>
  <c r="L21" i="3" s="1"/>
  <c r="B21" i="3"/>
  <c r="T20" i="3"/>
  <c r="P20" i="3"/>
  <c r="H20" i="3"/>
  <c r="D20" i="3"/>
  <c r="B20" i="3"/>
  <c r="X19" i="3"/>
  <c r="Z19" i="3" s="1"/>
  <c r="T19" i="3"/>
  <c r="P19" i="3"/>
  <c r="L19" i="3"/>
  <c r="N19" i="3" s="1"/>
  <c r="H19" i="3"/>
  <c r="D19" i="3"/>
  <c r="B19" i="3"/>
  <c r="T18" i="3"/>
  <c r="P18" i="3"/>
  <c r="X18" i="3" s="1"/>
  <c r="Z18" i="3" s="1"/>
  <c r="H18" i="3"/>
  <c r="D18" i="3"/>
  <c r="L18" i="3" s="1"/>
  <c r="N18" i="3" s="1"/>
  <c r="B18" i="3"/>
  <c r="T17" i="3"/>
  <c r="P17" i="3"/>
  <c r="X17" i="3" s="1"/>
  <c r="H17" i="3"/>
  <c r="N17" i="3" s="1"/>
  <c r="D17" i="3"/>
  <c r="L17" i="3" s="1"/>
  <c r="B17" i="3"/>
  <c r="T16" i="3"/>
  <c r="T12" i="3" s="1"/>
  <c r="P16" i="3"/>
  <c r="H16" i="3"/>
  <c r="D16" i="3"/>
  <c r="B16" i="3"/>
  <c r="X15" i="3"/>
  <c r="Z15" i="3" s="1"/>
  <c r="T15" i="3"/>
  <c r="P15" i="3"/>
  <c r="L15" i="3"/>
  <c r="N15" i="3" s="1"/>
  <c r="H15" i="3"/>
  <c r="D15" i="3"/>
  <c r="B15" i="3"/>
  <c r="T14" i="3"/>
  <c r="P14" i="3"/>
  <c r="X14" i="3" s="1"/>
  <c r="Z14" i="3" s="1"/>
  <c r="H14" i="3"/>
  <c r="D14" i="3"/>
  <c r="L14" i="3" s="1"/>
  <c r="N14" i="3" s="1"/>
  <c r="B14" i="3"/>
  <c r="T13" i="3"/>
  <c r="P13" i="3"/>
  <c r="X13" i="3" s="1"/>
  <c r="H13" i="3"/>
  <c r="D13" i="3"/>
  <c r="D12" i="3" s="1"/>
  <c r="B13" i="3"/>
  <c r="H12" i="3"/>
  <c r="J242" i="3" s="1"/>
  <c r="D4" i="3"/>
  <c r="L24" i="99" l="1"/>
  <c r="X29" i="19"/>
  <c r="X34" i="19"/>
  <c r="X24" i="20"/>
  <c r="X25" i="23"/>
  <c r="X33" i="23"/>
  <c r="X33" i="27"/>
  <c r="X22" i="29"/>
  <c r="X29" i="32"/>
  <c r="X34" i="32"/>
  <c r="L15" i="99"/>
  <c r="L34" i="49"/>
  <c r="X16" i="50"/>
  <c r="L13" i="52"/>
  <c r="L16" i="4"/>
  <c r="L25" i="5"/>
  <c r="X24" i="8"/>
  <c r="X33" i="26"/>
  <c r="L25" i="29"/>
  <c r="L33" i="29"/>
  <c r="L22" i="30"/>
  <c r="X21" i="33"/>
  <c r="L29" i="33"/>
  <c r="L34" i="33"/>
  <c r="X20" i="37"/>
  <c r="L22" i="37"/>
  <c r="X20" i="41"/>
  <c r="X16" i="44"/>
  <c r="L24" i="44"/>
  <c r="X33" i="5"/>
  <c r="X24" i="10"/>
  <c r="X22" i="16"/>
  <c r="L13" i="17"/>
  <c r="L25" i="17"/>
  <c r="X13" i="40"/>
  <c r="L21" i="40"/>
  <c r="X25" i="40"/>
  <c r="X22" i="41"/>
  <c r="X24" i="44"/>
  <c r="L20" i="49"/>
  <c r="L34" i="50"/>
  <c r="L16" i="10"/>
  <c r="L21" i="13"/>
  <c r="X25" i="13"/>
  <c r="X33" i="13"/>
  <c r="L21" i="20"/>
  <c r="L21" i="46"/>
  <c r="L16" i="47"/>
  <c r="X22" i="47"/>
  <c r="L34" i="53"/>
  <c r="L33" i="5"/>
  <c r="X13" i="98"/>
  <c r="L21" i="98"/>
  <c r="L33" i="35"/>
  <c r="X20" i="53"/>
  <c r="L21" i="100"/>
  <c r="X22" i="10"/>
  <c r="X13" i="10"/>
  <c r="L21" i="10"/>
  <c r="X22" i="11"/>
  <c r="X33" i="14"/>
  <c r="X34" i="16"/>
  <c r="X24" i="17"/>
  <c r="L15" i="32"/>
  <c r="X34" i="37"/>
  <c r="X25" i="47"/>
  <c r="X33" i="47"/>
  <c r="L16" i="50"/>
  <c r="X22" i="50"/>
  <c r="X29" i="40"/>
  <c r="L20" i="41"/>
  <c r="X24" i="52"/>
  <c r="X15" i="37"/>
  <c r="X24" i="53"/>
  <c r="L16" i="100"/>
  <c r="L20" i="11"/>
  <c r="X24" i="11"/>
  <c r="L21" i="16"/>
  <c r="N21" i="100"/>
  <c r="X15" i="27"/>
  <c r="X22" i="33"/>
  <c r="L25" i="19"/>
  <c r="X29" i="7"/>
  <c r="L16" i="8"/>
  <c r="L34" i="24"/>
  <c r="L29" i="29"/>
  <c r="L34" i="29"/>
  <c r="X13" i="38"/>
  <c r="X25" i="38"/>
  <c r="X33" i="38"/>
  <c r="L34" i="40"/>
  <c r="L24" i="41"/>
  <c r="X29" i="13"/>
  <c r="L33" i="17"/>
  <c r="L25" i="100"/>
  <c r="L15" i="24"/>
  <c r="L29" i="24"/>
  <c r="X21" i="27"/>
  <c r="L34" i="27"/>
  <c r="L13" i="32"/>
  <c r="L16" i="38"/>
  <c r="X13" i="41"/>
  <c r="X33" i="41"/>
  <c r="L22" i="43"/>
  <c r="L22" i="46"/>
  <c r="X15" i="47"/>
  <c r="X15" i="49"/>
  <c r="L24" i="100"/>
  <c r="L34" i="10"/>
  <c r="X20" i="16"/>
  <c r="L34" i="20"/>
  <c r="L21" i="22"/>
  <c r="X25" i="22"/>
  <c r="X33" i="22"/>
  <c r="X20" i="24"/>
  <c r="L33" i="26"/>
  <c r="L22" i="27"/>
  <c r="X24" i="40"/>
  <c r="L15" i="52"/>
  <c r="L16" i="98"/>
  <c r="X22" i="98"/>
  <c r="X20" i="99"/>
  <c r="L24" i="4"/>
  <c r="L21" i="5"/>
  <c r="L34" i="32"/>
  <c r="L21" i="19"/>
  <c r="L13" i="38"/>
  <c r="L25" i="53"/>
  <c r="L21" i="52"/>
  <c r="L21" i="32"/>
  <c r="L33" i="98"/>
  <c r="X29" i="37"/>
  <c r="L21" i="37"/>
  <c r="X15" i="44"/>
  <c r="X33" i="100"/>
  <c r="X34" i="13"/>
  <c r="X15" i="30"/>
  <c r="L21" i="7"/>
  <c r="L24" i="98"/>
  <c r="D18" i="7"/>
  <c r="D27" i="7" s="1"/>
  <c r="L13" i="10"/>
  <c r="L16" i="13"/>
  <c r="X22" i="13"/>
  <c r="L21" i="17"/>
  <c r="L21" i="29"/>
  <c r="L16" i="30"/>
  <c r="L20" i="43"/>
  <c r="X24" i="43"/>
  <c r="X21" i="44"/>
  <c r="L29" i="44"/>
  <c r="L34" i="44"/>
  <c r="X21" i="46"/>
  <c r="L34" i="46"/>
  <c r="L24" i="47"/>
  <c r="X16" i="49"/>
  <c r="X13" i="50"/>
  <c r="X33" i="50"/>
  <c r="L29" i="98"/>
  <c r="L21" i="99"/>
  <c r="X33" i="99"/>
  <c r="L24" i="8"/>
  <c r="X15" i="46"/>
  <c r="L20" i="99"/>
  <c r="X16" i="5"/>
  <c r="X21" i="11"/>
  <c r="X16" i="53"/>
  <c r="L20" i="20"/>
  <c r="X33" i="98"/>
  <c r="X20" i="100"/>
  <c r="X29" i="14"/>
  <c r="L25" i="11"/>
  <c r="F33" i="24"/>
  <c r="X29" i="30"/>
  <c r="X21" i="47"/>
  <c r="X21" i="8"/>
  <c r="L21" i="41"/>
  <c r="R16" i="14"/>
  <c r="X13" i="53"/>
  <c r="X21" i="20"/>
  <c r="X21" i="100"/>
  <c r="L24" i="5"/>
  <c r="X16" i="38"/>
  <c r="X29" i="47"/>
  <c r="R29" i="4"/>
  <c r="L13" i="24"/>
  <c r="X20" i="27"/>
  <c r="X24" i="38"/>
  <c r="X24" i="41"/>
  <c r="R18" i="23"/>
  <c r="L13" i="4"/>
  <c r="L25" i="4"/>
  <c r="X15" i="5"/>
  <c r="X24" i="16"/>
  <c r="L29" i="17"/>
  <c r="L34" i="17"/>
  <c r="F16" i="19"/>
  <c r="X22" i="24"/>
  <c r="L16" i="26"/>
  <c r="L15" i="30"/>
  <c r="X21" i="30"/>
  <c r="L34" i="30"/>
  <c r="X22" i="37"/>
  <c r="X15" i="38"/>
  <c r="X29" i="38"/>
  <c r="X15" i="41"/>
  <c r="X29" i="41"/>
  <c r="X34" i="41"/>
  <c r="X16" i="43"/>
  <c r="L16" i="44"/>
  <c r="X33" i="44"/>
  <c r="L16" i="46"/>
  <c r="L13" i="47"/>
  <c r="L13" i="49"/>
  <c r="X34" i="49"/>
  <c r="R15" i="53"/>
  <c r="X29" i="10"/>
  <c r="L33" i="53"/>
  <c r="L20" i="52"/>
  <c r="X15" i="98"/>
  <c r="L15" i="4"/>
  <c r="X12" i="7"/>
  <c r="L20" i="7"/>
  <c r="X15" i="19"/>
  <c r="X24" i="19"/>
  <c r="L20" i="24"/>
  <c r="X15" i="99"/>
  <c r="X29" i="11"/>
  <c r="X34" i="11"/>
  <c r="J29" i="13"/>
  <c r="X25" i="14"/>
  <c r="X22" i="17"/>
  <c r="L29" i="19"/>
  <c r="X33" i="19"/>
  <c r="X34" i="20"/>
  <c r="V34" i="23"/>
  <c r="P18" i="24"/>
  <c r="P27" i="24" s="1"/>
  <c r="X21" i="24"/>
  <c r="F34" i="26"/>
  <c r="L16" i="27"/>
  <c r="X34" i="30"/>
  <c r="L25" i="35"/>
  <c r="R31" i="35"/>
  <c r="L24" i="38"/>
  <c r="X21" i="40"/>
  <c r="L34" i="43"/>
  <c r="X34" i="46"/>
  <c r="N12" i="49"/>
  <c r="L25" i="52"/>
  <c r="L24" i="53"/>
  <c r="R33" i="53"/>
  <c r="L13" i="98"/>
  <c r="L22" i="98"/>
  <c r="L25" i="99"/>
  <c r="X15" i="100"/>
  <c r="L29" i="100"/>
  <c r="L34" i="100"/>
  <c r="X20" i="4"/>
  <c r="J36" i="11"/>
  <c r="V25" i="14"/>
  <c r="R25" i="17"/>
  <c r="F15" i="19"/>
  <c r="F22" i="19"/>
  <c r="X22" i="22"/>
  <c r="V29" i="22"/>
  <c r="V25" i="24"/>
  <c r="F31" i="26"/>
  <c r="X16" i="27"/>
  <c r="F25" i="27"/>
  <c r="L29" i="37"/>
  <c r="H18" i="44"/>
  <c r="H27" i="44" s="1"/>
  <c r="X29" i="98"/>
  <c r="R24" i="19"/>
  <c r="T18" i="5"/>
  <c r="Z18" i="5" s="1"/>
  <c r="L33" i="13"/>
  <c r="L20" i="17"/>
  <c r="X12" i="19"/>
  <c r="Z12" i="22"/>
  <c r="V25" i="23"/>
  <c r="F15" i="27"/>
  <c r="R20" i="38"/>
  <c r="L22" i="38"/>
  <c r="N12" i="7"/>
  <c r="J21" i="7"/>
  <c r="P18" i="35"/>
  <c r="P27" i="35" s="1"/>
  <c r="R24" i="44"/>
  <c r="X15" i="52"/>
  <c r="R20" i="53"/>
  <c r="L22" i="53"/>
  <c r="P18" i="4"/>
  <c r="P27" i="4" s="1"/>
  <c r="P31" i="4" s="1"/>
  <c r="R16" i="4"/>
  <c r="X21" i="7"/>
  <c r="R18" i="19"/>
  <c r="V31" i="19"/>
  <c r="V16" i="26"/>
  <c r="F24" i="26"/>
  <c r="F16" i="43"/>
  <c r="R15" i="4"/>
  <c r="L16" i="17"/>
  <c r="R20" i="17"/>
  <c r="V15" i="19"/>
  <c r="F29" i="22"/>
  <c r="V20" i="23"/>
  <c r="Z12" i="26"/>
  <c r="X24" i="27"/>
  <c r="L16" i="37"/>
  <c r="F22" i="49"/>
  <c r="L20" i="98"/>
  <c r="X25" i="100"/>
  <c r="L22" i="5"/>
  <c r="L34" i="5"/>
  <c r="X22" i="8"/>
  <c r="X33" i="10"/>
  <c r="L34" i="26"/>
  <c r="F22" i="27"/>
  <c r="J34" i="30"/>
  <c r="F34" i="35"/>
  <c r="X13" i="44"/>
  <c r="X25" i="5"/>
  <c r="F24" i="11"/>
  <c r="F34" i="11"/>
  <c r="F25" i="11"/>
  <c r="F15" i="11"/>
  <c r="F36" i="11"/>
  <c r="F27" i="11"/>
  <c r="F21" i="11"/>
  <c r="L12" i="11"/>
  <c r="L13" i="13"/>
  <c r="R22" i="33"/>
  <c r="R33" i="33"/>
  <c r="R36" i="33"/>
  <c r="R24" i="33"/>
  <c r="R16" i="33"/>
  <c r="R20" i="33"/>
  <c r="V25" i="37"/>
  <c r="V22" i="40"/>
  <c r="V33" i="40"/>
  <c r="V18" i="40"/>
  <c r="V34" i="40"/>
  <c r="T18" i="40"/>
  <c r="T27" i="40" s="1"/>
  <c r="T31" i="40" s="1"/>
  <c r="V27" i="40"/>
  <c r="X12" i="43"/>
  <c r="Z22" i="7"/>
  <c r="X22" i="7"/>
  <c r="V24" i="35"/>
  <c r="V16" i="35"/>
  <c r="V21" i="35"/>
  <c r="V20" i="35"/>
  <c r="Z12" i="35"/>
  <c r="N24" i="35"/>
  <c r="L24" i="35"/>
  <c r="V20" i="5"/>
  <c r="V29" i="5"/>
  <c r="V25" i="5"/>
  <c r="F36" i="10"/>
  <c r="F24" i="10"/>
  <c r="F20" i="10"/>
  <c r="V24" i="14"/>
  <c r="V15" i="14"/>
  <c r="P18" i="14"/>
  <c r="X15" i="14"/>
  <c r="R15" i="33"/>
  <c r="R21" i="33"/>
  <c r="R16" i="41"/>
  <c r="X15" i="43"/>
  <c r="Z15" i="43"/>
  <c r="R33" i="5"/>
  <c r="R31" i="5"/>
  <c r="J20" i="19"/>
  <c r="L12" i="19"/>
  <c r="J20" i="22"/>
  <c r="J33" i="22"/>
  <c r="J27" i="22"/>
  <c r="J25" i="22"/>
  <c r="N12" i="22"/>
  <c r="V24" i="43"/>
  <c r="V31" i="43"/>
  <c r="Z13" i="99"/>
  <c r="X13" i="99"/>
  <c r="V24" i="11"/>
  <c r="V31" i="11"/>
  <c r="V20" i="11"/>
  <c r="V16" i="11"/>
  <c r="V21" i="11"/>
  <c r="Z12" i="11"/>
  <c r="V33" i="11"/>
  <c r="V22" i="11"/>
  <c r="V18" i="11"/>
  <c r="D18" i="11"/>
  <c r="D27" i="11" s="1"/>
  <c r="X29" i="16"/>
  <c r="X21" i="29"/>
  <c r="R16" i="27"/>
  <c r="V22" i="29"/>
  <c r="V24" i="29"/>
  <c r="V15" i="29"/>
  <c r="V29" i="29"/>
  <c r="V33" i="29"/>
  <c r="Z12" i="29"/>
  <c r="L20" i="4"/>
  <c r="N24" i="4"/>
  <c r="N21" i="5"/>
  <c r="F20" i="8"/>
  <c r="F18" i="8"/>
  <c r="R24" i="13"/>
  <c r="R22" i="13"/>
  <c r="X21" i="5"/>
  <c r="R24" i="20"/>
  <c r="R15" i="20"/>
  <c r="L25" i="33"/>
  <c r="Z29" i="49"/>
  <c r="X29" i="49"/>
  <c r="X29" i="99"/>
  <c r="R20" i="4"/>
  <c r="L34" i="4"/>
  <c r="X20" i="5"/>
  <c r="L16" i="7"/>
  <c r="N16" i="7"/>
  <c r="V20" i="29"/>
  <c r="V31" i="30"/>
  <c r="V34" i="30"/>
  <c r="V18" i="30"/>
  <c r="X24" i="32"/>
  <c r="L15" i="33"/>
  <c r="L21" i="35"/>
  <c r="X25" i="43"/>
  <c r="Z25" i="43"/>
  <c r="J36" i="47"/>
  <c r="J22" i="47"/>
  <c r="N12" i="47"/>
  <c r="L21" i="8"/>
  <c r="F18" i="13"/>
  <c r="T18" i="19"/>
  <c r="T27" i="19" s="1"/>
  <c r="V21" i="19"/>
  <c r="F25" i="19"/>
  <c r="V36" i="19"/>
  <c r="L25" i="20"/>
  <c r="L16" i="22"/>
  <c r="V15" i="23"/>
  <c r="T18" i="23"/>
  <c r="T27" i="23" s="1"/>
  <c r="F36" i="24"/>
  <c r="F18" i="26"/>
  <c r="L21" i="26"/>
  <c r="X29" i="26"/>
  <c r="R33" i="26"/>
  <c r="F36" i="26"/>
  <c r="F21" i="27"/>
  <c r="F29" i="27"/>
  <c r="J31" i="30"/>
  <c r="R21" i="32"/>
  <c r="F33" i="32"/>
  <c r="J16" i="33"/>
  <c r="X16" i="35"/>
  <c r="J31" i="40"/>
  <c r="F20" i="43"/>
  <c r="X29" i="43"/>
  <c r="F34" i="43"/>
  <c r="L20" i="44"/>
  <c r="R21" i="44"/>
  <c r="X25" i="44"/>
  <c r="L15" i="47"/>
  <c r="V29" i="50"/>
  <c r="V22" i="52"/>
  <c r="L25" i="98"/>
  <c r="R16" i="100"/>
  <c r="X25" i="7"/>
  <c r="L24" i="10"/>
  <c r="L16" i="11"/>
  <c r="J33" i="11"/>
  <c r="X15" i="13"/>
  <c r="V18" i="13"/>
  <c r="F34" i="13"/>
  <c r="J18" i="14"/>
  <c r="L21" i="14"/>
  <c r="L22" i="16"/>
  <c r="L34" i="16"/>
  <c r="R33" i="17"/>
  <c r="R36" i="17"/>
  <c r="V18" i="19"/>
  <c r="F21" i="19"/>
  <c r="V33" i="19"/>
  <c r="N25" i="20"/>
  <c r="F16" i="22"/>
  <c r="X20" i="22"/>
  <c r="V21" i="22"/>
  <c r="X29" i="22"/>
  <c r="L34" i="22"/>
  <c r="V18" i="23"/>
  <c r="V36" i="23"/>
  <c r="R16" i="24"/>
  <c r="V15" i="26"/>
  <c r="L20" i="26"/>
  <c r="R16" i="29"/>
  <c r="L13" i="30"/>
  <c r="L16" i="32"/>
  <c r="X24" i="33"/>
  <c r="R27" i="35"/>
  <c r="L22" i="40"/>
  <c r="X13" i="43"/>
  <c r="J25" i="43"/>
  <c r="R25" i="44"/>
  <c r="L13" i="46"/>
  <c r="J36" i="46"/>
  <c r="F15" i="47"/>
  <c r="L21" i="49"/>
  <c r="L33" i="49"/>
  <c r="P18" i="50"/>
  <c r="P27" i="50" s="1"/>
  <c r="V29" i="52"/>
  <c r="F18" i="98"/>
  <c r="L16" i="99"/>
  <c r="L33" i="99"/>
  <c r="X34" i="100"/>
  <c r="L15" i="7"/>
  <c r="X20" i="7"/>
  <c r="L24" i="7"/>
  <c r="L33" i="8"/>
  <c r="X25" i="10"/>
  <c r="X33" i="11"/>
  <c r="L24" i="13"/>
  <c r="F31" i="13"/>
  <c r="L20" i="14"/>
  <c r="L16" i="16"/>
  <c r="R21" i="17"/>
  <c r="R29" i="17"/>
  <c r="F31" i="19"/>
  <c r="L13" i="20"/>
  <c r="L20" i="23"/>
  <c r="X22" i="23"/>
  <c r="L25" i="23"/>
  <c r="X29" i="23"/>
  <c r="L34" i="23"/>
  <c r="L21" i="24"/>
  <c r="R33" i="24"/>
  <c r="F20" i="26"/>
  <c r="X21" i="26"/>
  <c r="X25" i="26"/>
  <c r="L13" i="27"/>
  <c r="F20" i="27"/>
  <c r="X22" i="27"/>
  <c r="R31" i="29"/>
  <c r="L29" i="30"/>
  <c r="L33" i="33"/>
  <c r="X34" i="33"/>
  <c r="L13" i="35"/>
  <c r="X15" i="35"/>
  <c r="L29" i="35"/>
  <c r="X16" i="37"/>
  <c r="L25" i="37"/>
  <c r="L34" i="38"/>
  <c r="X16" i="40"/>
  <c r="L25" i="41"/>
  <c r="L33" i="41"/>
  <c r="L33" i="43"/>
  <c r="L15" i="44"/>
  <c r="R20" i="44"/>
  <c r="L33" i="44"/>
  <c r="L29" i="46"/>
  <c r="X33" i="46"/>
  <c r="L25" i="47"/>
  <c r="X25" i="49"/>
  <c r="X15" i="50"/>
  <c r="L20" i="50"/>
  <c r="R21" i="50"/>
  <c r="L24" i="50"/>
  <c r="X34" i="50"/>
  <c r="L16" i="52"/>
  <c r="V21" i="98"/>
  <c r="V25" i="99"/>
  <c r="X24" i="7"/>
  <c r="L29" i="7"/>
  <c r="R20" i="10"/>
  <c r="X12" i="11"/>
  <c r="X16" i="11"/>
  <c r="X20" i="11"/>
  <c r="R16" i="17"/>
  <c r="R24" i="17"/>
  <c r="Z12" i="19"/>
  <c r="X16" i="19"/>
  <c r="V27" i="19"/>
  <c r="L33" i="19"/>
  <c r="L16" i="20"/>
  <c r="X16" i="23"/>
  <c r="V29" i="23"/>
  <c r="V15" i="24"/>
  <c r="V25" i="26"/>
  <c r="J36" i="30"/>
  <c r="X16" i="32"/>
  <c r="J18" i="33"/>
  <c r="L25" i="40"/>
  <c r="F22" i="43"/>
  <c r="J29" i="46"/>
  <c r="F24" i="47"/>
  <c r="R33" i="50"/>
  <c r="F15" i="52"/>
  <c r="F27" i="52"/>
  <c r="X20" i="13"/>
  <c r="N12" i="14"/>
  <c r="P18" i="16"/>
  <c r="P27" i="16" s="1"/>
  <c r="X21" i="19"/>
  <c r="V15" i="22"/>
  <c r="F36" i="22"/>
  <c r="V31" i="23"/>
  <c r="F15" i="26"/>
  <c r="F24" i="27"/>
  <c r="F33" i="27"/>
  <c r="R22" i="29"/>
  <c r="J22" i="30"/>
  <c r="X22" i="32"/>
  <c r="X21" i="37"/>
  <c r="N25" i="40"/>
  <c r="Z12" i="41"/>
  <c r="J15" i="43"/>
  <c r="J22" i="46"/>
  <c r="F34" i="46"/>
  <c r="F24" i="53"/>
  <c r="Z33" i="98"/>
  <c r="T18" i="99"/>
  <c r="V20" i="99"/>
  <c r="R20" i="100"/>
  <c r="X13" i="8"/>
  <c r="L29" i="8"/>
  <c r="X15" i="10"/>
  <c r="R16" i="10"/>
  <c r="L24" i="11"/>
  <c r="X25" i="11"/>
  <c r="X16" i="13"/>
  <c r="J36" i="13"/>
  <c r="L22" i="14"/>
  <c r="R21" i="16"/>
  <c r="L24" i="16"/>
  <c r="R15" i="17"/>
  <c r="P18" i="17"/>
  <c r="P27" i="17" s="1"/>
  <c r="V16" i="19"/>
  <c r="V20" i="19"/>
  <c r="R21" i="19"/>
  <c r="R22" i="19"/>
  <c r="L15" i="20"/>
  <c r="X22" i="20"/>
  <c r="L25" i="22"/>
  <c r="Z12" i="23"/>
  <c r="V16" i="23"/>
  <c r="L33" i="24"/>
  <c r="L22" i="26"/>
  <c r="F29" i="26"/>
  <c r="L16" i="29"/>
  <c r="X16" i="30"/>
  <c r="L21" i="30"/>
  <c r="X15" i="32"/>
  <c r="L20" i="32"/>
  <c r="R22" i="32"/>
  <c r="N34" i="32"/>
  <c r="X21" i="35"/>
  <c r="L33" i="37"/>
  <c r="F21" i="43"/>
  <c r="X22" i="43"/>
  <c r="F18" i="44"/>
  <c r="L25" i="44"/>
  <c r="X29" i="44"/>
  <c r="L15" i="46"/>
  <c r="L25" i="46"/>
  <c r="X29" i="46"/>
  <c r="X20" i="47"/>
  <c r="X24" i="47"/>
  <c r="L29" i="47"/>
  <c r="L34" i="47"/>
  <c r="X20" i="49"/>
  <c r="R36" i="53"/>
  <c r="L12" i="98"/>
  <c r="L15" i="98"/>
  <c r="X16" i="98"/>
  <c r="L34" i="98"/>
  <c r="V15" i="99"/>
  <c r="J27" i="100"/>
  <c r="J27" i="5"/>
  <c r="V24" i="7"/>
  <c r="V34" i="7"/>
  <c r="V33" i="7"/>
  <c r="V31" i="7"/>
  <c r="V36" i="7"/>
  <c r="F29" i="7"/>
  <c r="F33" i="7"/>
  <c r="J20" i="10"/>
  <c r="J36" i="10"/>
  <c r="N12" i="10"/>
  <c r="J33" i="10"/>
  <c r="J29" i="10"/>
  <c r="J25" i="10"/>
  <c r="J15" i="10"/>
  <c r="J34" i="10"/>
  <c r="J24" i="10"/>
  <c r="J18" i="10"/>
  <c r="J22" i="10"/>
  <c r="F24" i="16"/>
  <c r="F27" i="16"/>
  <c r="F24" i="23"/>
  <c r="F31" i="23"/>
  <c r="F22" i="23"/>
  <c r="D18" i="23"/>
  <c r="D27" i="23" s="1"/>
  <c r="F16" i="23"/>
  <c r="F15" i="23"/>
  <c r="F25" i="23"/>
  <c r="L12" i="23"/>
  <c r="F18" i="23"/>
  <c r="F34" i="23"/>
  <c r="F27" i="23"/>
  <c r="F20" i="23"/>
  <c r="F29" i="23"/>
  <c r="F18" i="29"/>
  <c r="F31" i="29"/>
  <c r="F25" i="29"/>
  <c r="F27" i="29"/>
  <c r="F24" i="29"/>
  <c r="F22" i="29"/>
  <c r="F16" i="29"/>
  <c r="F34" i="29"/>
  <c r="F33" i="29"/>
  <c r="F29" i="29"/>
  <c r="F36" i="29"/>
  <c r="T18" i="29"/>
  <c r="Z15" i="29"/>
  <c r="N24" i="30"/>
  <c r="L24" i="30"/>
  <c r="X16" i="4"/>
  <c r="X24" i="4"/>
  <c r="R15" i="5"/>
  <c r="R27" i="5"/>
  <c r="R34" i="5"/>
  <c r="F15" i="7"/>
  <c r="V16" i="7"/>
  <c r="F20" i="7"/>
  <c r="F21" i="7"/>
  <c r="X34" i="7"/>
  <c r="X20" i="8"/>
  <c r="Z20" i="8"/>
  <c r="L25" i="8"/>
  <c r="L20" i="10"/>
  <c r="J22" i="16"/>
  <c r="J16" i="16"/>
  <c r="F20" i="20"/>
  <c r="F24" i="20"/>
  <c r="F22" i="20"/>
  <c r="J20" i="23"/>
  <c r="J16" i="23"/>
  <c r="J21" i="23"/>
  <c r="N24" i="24"/>
  <c r="L24" i="24"/>
  <c r="N29" i="26"/>
  <c r="L29" i="26"/>
  <c r="J20" i="27"/>
  <c r="J16" i="27"/>
  <c r="J18" i="27"/>
  <c r="F20" i="29"/>
  <c r="F21" i="29"/>
  <c r="F24" i="32"/>
  <c r="F34" i="32"/>
  <c r="F29" i="32"/>
  <c r="F36" i="32"/>
  <c r="F25" i="32"/>
  <c r="F31" i="32"/>
  <c r="F22" i="32"/>
  <c r="F16" i="32"/>
  <c r="F15" i="32"/>
  <c r="D18" i="32"/>
  <c r="D27" i="32" s="1"/>
  <c r="L12" i="32"/>
  <c r="F20" i="32"/>
  <c r="F18" i="32"/>
  <c r="X13" i="4"/>
  <c r="Z16" i="4"/>
  <c r="R21" i="4"/>
  <c r="X22" i="4"/>
  <c r="R24" i="4"/>
  <c r="R25" i="4"/>
  <c r="L33" i="4"/>
  <c r="X13" i="5"/>
  <c r="V21" i="5"/>
  <c r="J25" i="5"/>
  <c r="J31" i="5"/>
  <c r="V33" i="5"/>
  <c r="X34" i="5"/>
  <c r="Z12" i="7"/>
  <c r="L15" i="8"/>
  <c r="N24" i="8"/>
  <c r="V36" i="10"/>
  <c r="V20" i="10"/>
  <c r="V18" i="10"/>
  <c r="V16" i="10"/>
  <c r="J18" i="13"/>
  <c r="J25" i="13"/>
  <c r="J24" i="13"/>
  <c r="J31" i="13"/>
  <c r="J22" i="13"/>
  <c r="N12" i="13"/>
  <c r="J27" i="13"/>
  <c r="J15" i="13"/>
  <c r="J34" i="13"/>
  <c r="J33" i="13"/>
  <c r="J21" i="17"/>
  <c r="J16" i="17"/>
  <c r="N12" i="17"/>
  <c r="J18" i="17"/>
  <c r="J18" i="20"/>
  <c r="J20" i="20"/>
  <c r="F36" i="23"/>
  <c r="R22" i="24"/>
  <c r="R29" i="24"/>
  <c r="R25" i="24"/>
  <c r="R18" i="24"/>
  <c r="R24" i="24"/>
  <c r="R36" i="24"/>
  <c r="R20" i="24"/>
  <c r="R15" i="24"/>
  <c r="X24" i="24"/>
  <c r="L25" i="26"/>
  <c r="N20" i="29"/>
  <c r="L20" i="29"/>
  <c r="F27" i="32"/>
  <c r="F18" i="4"/>
  <c r="F24" i="7"/>
  <c r="F27" i="7"/>
  <c r="F25" i="7"/>
  <c r="F16" i="7"/>
  <c r="F18" i="7"/>
  <c r="F22" i="7"/>
  <c r="F36" i="7"/>
  <c r="R22" i="8"/>
  <c r="R18" i="8"/>
  <c r="R36" i="8"/>
  <c r="R33" i="8"/>
  <c r="P18" i="8"/>
  <c r="P27" i="8" s="1"/>
  <c r="P31" i="8" s="1"/>
  <c r="R20" i="8"/>
  <c r="R25" i="8"/>
  <c r="R24" i="8"/>
  <c r="R16" i="8"/>
  <c r="N34" i="11"/>
  <c r="L34" i="11"/>
  <c r="X16" i="33"/>
  <c r="Z16" i="33"/>
  <c r="N22" i="35"/>
  <c r="L22" i="35"/>
  <c r="X21" i="4"/>
  <c r="H18" i="5"/>
  <c r="N18" i="5" s="1"/>
  <c r="J29" i="5"/>
  <c r="J36" i="5"/>
  <c r="J20" i="7"/>
  <c r="J29" i="7"/>
  <c r="J25" i="7"/>
  <c r="J33" i="7"/>
  <c r="H18" i="7"/>
  <c r="H27" i="7" s="1"/>
  <c r="H31" i="7" s="1"/>
  <c r="H36" i="7" s="1"/>
  <c r="N36" i="7" s="1"/>
  <c r="V25" i="7"/>
  <c r="J36" i="7"/>
  <c r="X16" i="8"/>
  <c r="Z16" i="8"/>
  <c r="L21" i="11"/>
  <c r="V24" i="13"/>
  <c r="V31" i="13"/>
  <c r="V16" i="13"/>
  <c r="V22" i="13"/>
  <c r="V21" i="13"/>
  <c r="X13" i="13"/>
  <c r="F21" i="14"/>
  <c r="F36" i="14"/>
  <c r="L12" i="14"/>
  <c r="F31" i="14"/>
  <c r="F29" i="14"/>
  <c r="F18" i="14"/>
  <c r="F16" i="14"/>
  <c r="D18" i="14"/>
  <c r="D27" i="14" s="1"/>
  <c r="F27" i="14"/>
  <c r="F25" i="14"/>
  <c r="F15" i="14"/>
  <c r="F20" i="14"/>
  <c r="F34" i="14"/>
  <c r="T18" i="17"/>
  <c r="Z18" i="17" s="1"/>
  <c r="V36" i="17"/>
  <c r="V34" i="17"/>
  <c r="V25" i="17"/>
  <c r="F15" i="29"/>
  <c r="V24" i="32"/>
  <c r="V36" i="32"/>
  <c r="V20" i="32"/>
  <c r="V18" i="32"/>
  <c r="V31" i="32"/>
  <c r="T18" i="32"/>
  <c r="T27" i="32" s="1"/>
  <c r="Z12" i="32"/>
  <c r="V33" i="32"/>
  <c r="V27" i="32"/>
  <c r="V25" i="32"/>
  <c r="V29" i="32"/>
  <c r="V15" i="32"/>
  <c r="V22" i="32"/>
  <c r="V21" i="32"/>
  <c r="V16" i="32"/>
  <c r="V34" i="32"/>
  <c r="F20" i="35"/>
  <c r="F21" i="35"/>
  <c r="F31" i="35"/>
  <c r="J16" i="4"/>
  <c r="R18" i="4"/>
  <c r="Z20" i="4"/>
  <c r="L29" i="4"/>
  <c r="R33" i="4"/>
  <c r="R36" i="4"/>
  <c r="L15" i="5"/>
  <c r="P18" i="5"/>
  <c r="P27" i="5" s="1"/>
  <c r="L29" i="5"/>
  <c r="R36" i="5"/>
  <c r="L12" i="7"/>
  <c r="X15" i="7"/>
  <c r="V29" i="7"/>
  <c r="R15" i="8"/>
  <c r="J31" i="10"/>
  <c r="Z12" i="13"/>
  <c r="V20" i="13"/>
  <c r="L22" i="13"/>
  <c r="V27" i="13"/>
  <c r="L16" i="14"/>
  <c r="F24" i="14"/>
  <c r="V27" i="17"/>
  <c r="V31" i="17"/>
  <c r="V33" i="17"/>
  <c r="L20" i="19"/>
  <c r="Z13" i="22"/>
  <c r="X13" i="22"/>
  <c r="J36" i="26"/>
  <c r="J34" i="26"/>
  <c r="N12" i="26"/>
  <c r="J18" i="26"/>
  <c r="J27" i="26"/>
  <c r="J22" i="26"/>
  <c r="J21" i="26"/>
  <c r="J24" i="26"/>
  <c r="L22" i="4"/>
  <c r="F24" i="4"/>
  <c r="X29" i="5"/>
  <c r="J33" i="5"/>
  <c r="J34" i="5"/>
  <c r="T18" i="7"/>
  <c r="T27" i="7" s="1"/>
  <c r="V20" i="7"/>
  <c r="V27" i="7"/>
  <c r="F31" i="7"/>
  <c r="F34" i="7"/>
  <c r="L20" i="8"/>
  <c r="R21" i="8"/>
  <c r="L34" i="8"/>
  <c r="X21" i="14"/>
  <c r="Z21" i="14"/>
  <c r="J31" i="26"/>
  <c r="N20" i="47"/>
  <c r="L20" i="47"/>
  <c r="L21" i="4"/>
  <c r="F22" i="4"/>
  <c r="L13" i="5"/>
  <c r="J15" i="5"/>
  <c r="R18" i="7"/>
  <c r="R21" i="7"/>
  <c r="V15" i="7"/>
  <c r="V18" i="7"/>
  <c r="V21" i="7"/>
  <c r="V22" i="7"/>
  <c r="L25" i="7"/>
  <c r="J27" i="10"/>
  <c r="R34" i="14"/>
  <c r="R25" i="14"/>
  <c r="R15" i="14"/>
  <c r="R24" i="14"/>
  <c r="R22" i="14"/>
  <c r="R21" i="14"/>
  <c r="X12" i="14"/>
  <c r="R29" i="14"/>
  <c r="X24" i="14"/>
  <c r="X20" i="19"/>
  <c r="F33" i="23"/>
  <c r="X22" i="44"/>
  <c r="Z22" i="44"/>
  <c r="R20" i="46"/>
  <c r="X12" i="46"/>
  <c r="F34" i="41"/>
  <c r="F29" i="41"/>
  <c r="F20" i="41"/>
  <c r="F15" i="41"/>
  <c r="F36" i="41"/>
  <c r="F33" i="41"/>
  <c r="F16" i="41"/>
  <c r="F25" i="41"/>
  <c r="F24" i="41"/>
  <c r="V24" i="46"/>
  <c r="V31" i="46"/>
  <c r="V34" i="46"/>
  <c r="V27" i="46"/>
  <c r="V22" i="46"/>
  <c r="V18" i="46"/>
  <c r="V21" i="46"/>
  <c r="Z12" i="46"/>
  <c r="V20" i="46"/>
  <c r="L34" i="7"/>
  <c r="J15" i="11"/>
  <c r="F16" i="11"/>
  <c r="F18" i="11"/>
  <c r="J21" i="11"/>
  <c r="V27" i="11"/>
  <c r="V29" i="11"/>
  <c r="V36" i="11"/>
  <c r="F16" i="13"/>
  <c r="L20" i="13"/>
  <c r="X24" i="13"/>
  <c r="J21" i="14"/>
  <c r="J22" i="14"/>
  <c r="J24" i="14"/>
  <c r="L33" i="14"/>
  <c r="D18" i="16"/>
  <c r="D27" i="16" s="1"/>
  <c r="R22" i="16"/>
  <c r="R24" i="16"/>
  <c r="F29" i="19"/>
  <c r="F34" i="19"/>
  <c r="F36" i="19"/>
  <c r="R34" i="20"/>
  <c r="R36" i="20"/>
  <c r="R25" i="20"/>
  <c r="R36" i="23"/>
  <c r="X12" i="23"/>
  <c r="R34" i="26"/>
  <c r="R24" i="26"/>
  <c r="R22" i="26"/>
  <c r="R15" i="26"/>
  <c r="R36" i="26"/>
  <c r="R21" i="26"/>
  <c r="R34" i="35"/>
  <c r="R22" i="35"/>
  <c r="X13" i="35"/>
  <c r="Z13" i="35"/>
  <c r="V16" i="46"/>
  <c r="F16" i="10"/>
  <c r="L13" i="11"/>
  <c r="H18" i="11"/>
  <c r="H27" i="11" s="1"/>
  <c r="H31" i="11" s="1"/>
  <c r="H36" i="11" s="1"/>
  <c r="N36" i="11" s="1"/>
  <c r="J25" i="11"/>
  <c r="L29" i="11"/>
  <c r="F20" i="13"/>
  <c r="F21" i="13"/>
  <c r="F27" i="13"/>
  <c r="L15" i="14"/>
  <c r="X22" i="14"/>
  <c r="L25" i="14"/>
  <c r="J27" i="14"/>
  <c r="N33" i="14"/>
  <c r="R27" i="16"/>
  <c r="R31" i="16"/>
  <c r="X21" i="17"/>
  <c r="X22" i="19"/>
  <c r="F33" i="19"/>
  <c r="L34" i="19"/>
  <c r="R16" i="20"/>
  <c r="R21" i="20"/>
  <c r="R22" i="20"/>
  <c r="V22" i="22"/>
  <c r="V20" i="22"/>
  <c r="T18" i="22"/>
  <c r="Z18" i="22" s="1"/>
  <c r="V36" i="22"/>
  <c r="X24" i="23"/>
  <c r="F20" i="24"/>
  <c r="F24" i="24"/>
  <c r="D18" i="24"/>
  <c r="D27" i="24" s="1"/>
  <c r="D31" i="24" s="1"/>
  <c r="X16" i="24"/>
  <c r="L25" i="24"/>
  <c r="V24" i="26"/>
  <c r="V36" i="26"/>
  <c r="V29" i="26"/>
  <c r="V20" i="26"/>
  <c r="T18" i="26"/>
  <c r="T27" i="26" s="1"/>
  <c r="V27" i="26"/>
  <c r="L15" i="26"/>
  <c r="R25" i="26"/>
  <c r="L25" i="27"/>
  <c r="X16" i="29"/>
  <c r="R27" i="30"/>
  <c r="R31" i="30"/>
  <c r="L13" i="37"/>
  <c r="F21" i="38"/>
  <c r="F27" i="38"/>
  <c r="F31" i="38"/>
  <c r="F34" i="38"/>
  <c r="F24" i="38"/>
  <c r="F22" i="38"/>
  <c r="F22" i="41"/>
  <c r="Z25" i="99"/>
  <c r="X25" i="99"/>
  <c r="X33" i="7"/>
  <c r="L13" i="8"/>
  <c r="F18" i="10"/>
  <c r="X20" i="10"/>
  <c r="R22" i="10"/>
  <c r="X34" i="10"/>
  <c r="X15" i="11"/>
  <c r="T18" i="11"/>
  <c r="T27" i="11" s="1"/>
  <c r="F22" i="11"/>
  <c r="F29" i="11"/>
  <c r="F31" i="11"/>
  <c r="N15" i="14"/>
  <c r="N25" i="14"/>
  <c r="V27" i="14"/>
  <c r="V29" i="14"/>
  <c r="X34" i="14"/>
  <c r="L15" i="16"/>
  <c r="L29" i="16"/>
  <c r="F20" i="19"/>
  <c r="X25" i="19"/>
  <c r="X16" i="20"/>
  <c r="R20" i="20"/>
  <c r="R33" i="20"/>
  <c r="L15" i="22"/>
  <c r="V18" i="22"/>
  <c r="X24" i="22"/>
  <c r="V25" i="22"/>
  <c r="V33" i="22"/>
  <c r="X15" i="23"/>
  <c r="R24" i="23"/>
  <c r="F25" i="24"/>
  <c r="X12" i="26"/>
  <c r="X34" i="26"/>
  <c r="V36" i="30"/>
  <c r="V22" i="30"/>
  <c r="V21" i="30"/>
  <c r="V27" i="30"/>
  <c r="L13" i="33"/>
  <c r="F24" i="37"/>
  <c r="F31" i="37"/>
  <c r="F29" i="37"/>
  <c r="F21" i="37"/>
  <c r="F27" i="37"/>
  <c r="F25" i="37"/>
  <c r="F34" i="37"/>
  <c r="F16" i="37"/>
  <c r="F15" i="37"/>
  <c r="F20" i="37"/>
  <c r="F36" i="37"/>
  <c r="D18" i="37"/>
  <c r="D27" i="37" s="1"/>
  <c r="D31" i="37" s="1"/>
  <c r="L12" i="37"/>
  <c r="J21" i="38"/>
  <c r="J22" i="38"/>
  <c r="N12" i="38"/>
  <c r="J18" i="38"/>
  <c r="X20" i="38"/>
  <c r="Z20" i="38"/>
  <c r="R34" i="47"/>
  <c r="R15" i="47"/>
  <c r="R18" i="47"/>
  <c r="R24" i="47"/>
  <c r="R22" i="47"/>
  <c r="R20" i="47"/>
  <c r="R21" i="47"/>
  <c r="R16" i="47"/>
  <c r="J20" i="50"/>
  <c r="J34" i="50"/>
  <c r="J33" i="50"/>
  <c r="J29" i="50"/>
  <c r="J22" i="50"/>
  <c r="J21" i="50"/>
  <c r="J31" i="50"/>
  <c r="J25" i="50"/>
  <c r="J24" i="50"/>
  <c r="N12" i="50"/>
  <c r="J27" i="50"/>
  <c r="J18" i="37"/>
  <c r="J21" i="37"/>
  <c r="J24" i="37"/>
  <c r="J25" i="37"/>
  <c r="J33" i="37"/>
  <c r="J36" i="37"/>
  <c r="H18" i="37"/>
  <c r="N18" i="37" s="1"/>
  <c r="J15" i="37"/>
  <c r="J29" i="37"/>
  <c r="F33" i="37"/>
  <c r="F21" i="41"/>
  <c r="V36" i="49"/>
  <c r="V22" i="49"/>
  <c r="X20" i="50"/>
  <c r="R24" i="10"/>
  <c r="V15" i="11"/>
  <c r="R21" i="11"/>
  <c r="J29" i="11"/>
  <c r="L33" i="11"/>
  <c r="V34" i="11"/>
  <c r="T18" i="14"/>
  <c r="T27" i="14" s="1"/>
  <c r="V33" i="14"/>
  <c r="V34" i="14"/>
  <c r="R18" i="17"/>
  <c r="X20" i="17"/>
  <c r="L24" i="17"/>
  <c r="D18" i="19"/>
  <c r="D27" i="19" s="1"/>
  <c r="D31" i="19" s="1"/>
  <c r="V22" i="19"/>
  <c r="V25" i="19"/>
  <c r="P18" i="20"/>
  <c r="P27" i="20" s="1"/>
  <c r="R22" i="22"/>
  <c r="L13" i="23"/>
  <c r="R22" i="23"/>
  <c r="F15" i="24"/>
  <c r="L16" i="24"/>
  <c r="F22" i="24"/>
  <c r="R16" i="26"/>
  <c r="V34" i="26"/>
  <c r="J29" i="29"/>
  <c r="J20" i="29"/>
  <c r="X13" i="29"/>
  <c r="J20" i="32"/>
  <c r="J24" i="32"/>
  <c r="X25" i="32"/>
  <c r="X20" i="35"/>
  <c r="X34" i="35"/>
  <c r="N12" i="37"/>
  <c r="N24" i="40"/>
  <c r="L24" i="40"/>
  <c r="V24" i="52"/>
  <c r="V36" i="52"/>
  <c r="V15" i="52"/>
  <c r="V16" i="52"/>
  <c r="V31" i="52"/>
  <c r="V34" i="52"/>
  <c r="V33" i="52"/>
  <c r="V27" i="52"/>
  <c r="Z12" i="52"/>
  <c r="T18" i="52"/>
  <c r="T27" i="52" s="1"/>
  <c r="V25" i="52"/>
  <c r="V20" i="52"/>
  <c r="X12" i="52"/>
  <c r="L33" i="7"/>
  <c r="L22" i="8"/>
  <c r="F24" i="8"/>
  <c r="X16" i="10"/>
  <c r="L22" i="10"/>
  <c r="L15" i="11"/>
  <c r="F20" i="11"/>
  <c r="V25" i="11"/>
  <c r="F33" i="11"/>
  <c r="X12" i="13"/>
  <c r="X13" i="14"/>
  <c r="V18" i="14"/>
  <c r="L29" i="14"/>
  <c r="V31" i="14"/>
  <c r="X13" i="16"/>
  <c r="R15" i="16"/>
  <c r="N24" i="17"/>
  <c r="L15" i="19"/>
  <c r="L16" i="19"/>
  <c r="F18" i="19"/>
  <c r="J21" i="19"/>
  <c r="F27" i="19"/>
  <c r="V29" i="19"/>
  <c r="V34" i="19"/>
  <c r="X13" i="20"/>
  <c r="R18" i="20"/>
  <c r="R29" i="20"/>
  <c r="F33" i="22"/>
  <c r="F18" i="22"/>
  <c r="F21" i="22"/>
  <c r="F15" i="22"/>
  <c r="L13" i="22"/>
  <c r="N13" i="22"/>
  <c r="X16" i="22"/>
  <c r="X34" i="22"/>
  <c r="X20" i="23"/>
  <c r="L33" i="23"/>
  <c r="V29" i="24"/>
  <c r="V33" i="24"/>
  <c r="R20" i="26"/>
  <c r="V33" i="26"/>
  <c r="L29" i="27"/>
  <c r="R34" i="29"/>
  <c r="R20" i="29"/>
  <c r="R18" i="29"/>
  <c r="P18" i="30"/>
  <c r="P27" i="30" s="1"/>
  <c r="J21" i="32"/>
  <c r="F20" i="33"/>
  <c r="F22" i="33"/>
  <c r="F34" i="33"/>
  <c r="F31" i="33"/>
  <c r="F27" i="33"/>
  <c r="F24" i="33"/>
  <c r="R15" i="35"/>
  <c r="R36" i="35"/>
  <c r="F18" i="38"/>
  <c r="N33" i="47"/>
  <c r="L33" i="47"/>
  <c r="V18" i="49"/>
  <c r="J15" i="50"/>
  <c r="J18" i="50"/>
  <c r="X20" i="20"/>
  <c r="L33" i="20"/>
  <c r="L24" i="22"/>
  <c r="J31" i="22"/>
  <c r="J36" i="22"/>
  <c r="V22" i="23"/>
  <c r="F16" i="26"/>
  <c r="D18" i="26"/>
  <c r="D27" i="26" s="1"/>
  <c r="F25" i="26"/>
  <c r="F27" i="26"/>
  <c r="F33" i="26"/>
  <c r="X13" i="27"/>
  <c r="R20" i="27"/>
  <c r="X29" i="27"/>
  <c r="F36" i="27"/>
  <c r="V16" i="29"/>
  <c r="X25" i="29"/>
  <c r="J16" i="30"/>
  <c r="L20" i="30"/>
  <c r="X33" i="32"/>
  <c r="X13" i="33"/>
  <c r="X20" i="33"/>
  <c r="R25" i="33"/>
  <c r="R29" i="33"/>
  <c r="V27" i="35"/>
  <c r="V31" i="35"/>
  <c r="P18" i="40"/>
  <c r="X15" i="40"/>
  <c r="X33" i="40"/>
  <c r="L22" i="41"/>
  <c r="N22" i="41"/>
  <c r="X20" i="44"/>
  <c r="X25" i="46"/>
  <c r="L33" i="46"/>
  <c r="X34" i="52"/>
  <c r="V22" i="100"/>
  <c r="Z29" i="98"/>
  <c r="L22" i="20"/>
  <c r="L29" i="20"/>
  <c r="J15" i="22"/>
  <c r="J22" i="22"/>
  <c r="J24" i="22"/>
  <c r="L16" i="23"/>
  <c r="L21" i="23"/>
  <c r="L24" i="23"/>
  <c r="V27" i="23"/>
  <c r="X34" i="23"/>
  <c r="L12" i="26"/>
  <c r="X15" i="26"/>
  <c r="X22" i="26"/>
  <c r="X24" i="26"/>
  <c r="D18" i="27"/>
  <c r="D27" i="27" s="1"/>
  <c r="D31" i="27" s="1"/>
  <c r="F16" i="27"/>
  <c r="R18" i="27"/>
  <c r="F31" i="27"/>
  <c r="F34" i="27"/>
  <c r="X20" i="29"/>
  <c r="L24" i="29"/>
  <c r="X33" i="29"/>
  <c r="X20" i="30"/>
  <c r="X12" i="32"/>
  <c r="R18" i="32"/>
  <c r="L25" i="32"/>
  <c r="L16" i="33"/>
  <c r="P18" i="33"/>
  <c r="P27" i="33" s="1"/>
  <c r="L20" i="35"/>
  <c r="V22" i="35"/>
  <c r="X13" i="37"/>
  <c r="L24" i="49"/>
  <c r="Z15" i="98"/>
  <c r="X21" i="98"/>
  <c r="L24" i="20"/>
  <c r="X15" i="22"/>
  <c r="H18" i="22"/>
  <c r="H27" i="22" s="1"/>
  <c r="J29" i="22"/>
  <c r="J34" i="22"/>
  <c r="L29" i="23"/>
  <c r="V33" i="23"/>
  <c r="X13" i="24"/>
  <c r="L22" i="24"/>
  <c r="L20" i="27"/>
  <c r="L24" i="27"/>
  <c r="F27" i="27"/>
  <c r="L33" i="27"/>
  <c r="X21" i="32"/>
  <c r="L29" i="32"/>
  <c r="R18" i="33"/>
  <c r="L21" i="33"/>
  <c r="L22" i="33"/>
  <c r="L24" i="33"/>
  <c r="L15" i="35"/>
  <c r="V24" i="37"/>
  <c r="V34" i="37"/>
  <c r="V33" i="37"/>
  <c r="V31" i="37"/>
  <c r="V16" i="37"/>
  <c r="V29" i="37"/>
  <c r="V27" i="37"/>
  <c r="V36" i="37"/>
  <c r="V21" i="37"/>
  <c r="T18" i="37"/>
  <c r="Z18" i="37" s="1"/>
  <c r="V20" i="37"/>
  <c r="L15" i="37"/>
  <c r="X24" i="46"/>
  <c r="X16" i="47"/>
  <c r="L16" i="49"/>
  <c r="L13" i="53"/>
  <c r="R36" i="99"/>
  <c r="R22" i="99"/>
  <c r="R18" i="99"/>
  <c r="R15" i="99"/>
  <c r="X15" i="29"/>
  <c r="X13" i="30"/>
  <c r="J33" i="30"/>
  <c r="L33" i="32"/>
  <c r="L20" i="33"/>
  <c r="X25" i="35"/>
  <c r="X29" i="35"/>
  <c r="X33" i="35"/>
  <c r="Z12" i="37"/>
  <c r="L29" i="43"/>
  <c r="X33" i="52"/>
  <c r="X25" i="98"/>
  <c r="Z25" i="98"/>
  <c r="V34" i="99"/>
  <c r="V36" i="99"/>
  <c r="V33" i="99"/>
  <c r="V16" i="99"/>
  <c r="Z12" i="99"/>
  <c r="X22" i="99"/>
  <c r="R21" i="49"/>
  <c r="R24" i="49"/>
  <c r="F22" i="50"/>
  <c r="D18" i="50"/>
  <c r="D27" i="50" s="1"/>
  <c r="F15" i="50"/>
  <c r="F33" i="50"/>
  <c r="F36" i="50"/>
  <c r="F29" i="50"/>
  <c r="L12" i="50"/>
  <c r="X22" i="52"/>
  <c r="J20" i="98"/>
  <c r="J36" i="98"/>
  <c r="J25" i="98"/>
  <c r="J29" i="98"/>
  <c r="J15" i="98"/>
  <c r="J33" i="98"/>
  <c r="J18" i="98"/>
  <c r="H18" i="98"/>
  <c r="H27" i="98" s="1"/>
  <c r="X20" i="98"/>
  <c r="X16" i="99"/>
  <c r="R21" i="99"/>
  <c r="V29" i="99"/>
  <c r="X16" i="100"/>
  <c r="R18" i="38"/>
  <c r="L13" i="40"/>
  <c r="R15" i="40"/>
  <c r="R16" i="40"/>
  <c r="L29" i="40"/>
  <c r="V31" i="40"/>
  <c r="L12" i="41"/>
  <c r="V16" i="41"/>
  <c r="R20" i="41"/>
  <c r="L13" i="43"/>
  <c r="J21" i="43"/>
  <c r="J29" i="43"/>
  <c r="J15" i="44"/>
  <c r="J18" i="44"/>
  <c r="F18" i="46"/>
  <c r="X22" i="46"/>
  <c r="J33" i="46"/>
  <c r="J22" i="49"/>
  <c r="T18" i="50"/>
  <c r="T27" i="50" s="1"/>
  <c r="F31" i="52"/>
  <c r="P18" i="53"/>
  <c r="P27" i="53" s="1"/>
  <c r="R29" i="53"/>
  <c r="L34" i="99"/>
  <c r="L13" i="100"/>
  <c r="R15" i="100"/>
  <c r="R33" i="100"/>
  <c r="L34" i="37"/>
  <c r="V18" i="38"/>
  <c r="J21" i="40"/>
  <c r="R24" i="40"/>
  <c r="R25" i="40"/>
  <c r="R36" i="40"/>
  <c r="X21" i="41"/>
  <c r="J24" i="41"/>
  <c r="X21" i="43"/>
  <c r="J33" i="43"/>
  <c r="P18" i="44"/>
  <c r="P27" i="44" s="1"/>
  <c r="P31" i="44" s="1"/>
  <c r="P36" i="44" s="1"/>
  <c r="H18" i="46"/>
  <c r="N18" i="46" s="1"/>
  <c r="D18" i="47"/>
  <c r="D27" i="47" s="1"/>
  <c r="D31" i="47" s="1"/>
  <c r="R15" i="50"/>
  <c r="V18" i="50"/>
  <c r="L21" i="50"/>
  <c r="V33" i="50"/>
  <c r="J20" i="52"/>
  <c r="F25" i="52"/>
  <c r="L29" i="52"/>
  <c r="R18" i="53"/>
  <c r="F15" i="98"/>
  <c r="X34" i="98"/>
  <c r="F15" i="99"/>
  <c r="L29" i="99"/>
  <c r="F33" i="99"/>
  <c r="N34" i="99"/>
  <c r="X29" i="100"/>
  <c r="R36" i="100"/>
  <c r="L20" i="37"/>
  <c r="L24" i="37"/>
  <c r="N34" i="37"/>
  <c r="L20" i="38"/>
  <c r="L21" i="38"/>
  <c r="N12" i="40"/>
  <c r="V15" i="40"/>
  <c r="J22" i="40"/>
  <c r="L33" i="40"/>
  <c r="V36" i="40"/>
  <c r="R18" i="41"/>
  <c r="V20" i="41"/>
  <c r="R21" i="41"/>
  <c r="R22" i="41"/>
  <c r="X25" i="41"/>
  <c r="X20" i="43"/>
  <c r="X34" i="43"/>
  <c r="L13" i="44"/>
  <c r="N16" i="44"/>
  <c r="L22" i="44"/>
  <c r="F24" i="44"/>
  <c r="J27" i="44"/>
  <c r="F27" i="46"/>
  <c r="F18" i="47"/>
  <c r="X22" i="49"/>
  <c r="X25" i="50"/>
  <c r="F29" i="52"/>
  <c r="L33" i="52"/>
  <c r="F34" i="52"/>
  <c r="F16" i="99"/>
  <c r="F29" i="99"/>
  <c r="X34" i="99"/>
  <c r="X13" i="100"/>
  <c r="P18" i="100"/>
  <c r="P27" i="100" s="1"/>
  <c r="L22" i="100"/>
  <c r="R29" i="100"/>
  <c r="X33" i="37"/>
  <c r="R16" i="38"/>
  <c r="J18" i="40"/>
  <c r="R20" i="40"/>
  <c r="V25" i="40"/>
  <c r="R29" i="40"/>
  <c r="J34" i="40"/>
  <c r="D18" i="41"/>
  <c r="D27" i="41" s="1"/>
  <c r="F18" i="43"/>
  <c r="V21" i="43"/>
  <c r="R15" i="44"/>
  <c r="J31" i="44"/>
  <c r="J15" i="46"/>
  <c r="L20" i="46"/>
  <c r="F21" i="46"/>
  <c r="J18" i="47"/>
  <c r="X33" i="49"/>
  <c r="V15" i="50"/>
  <c r="X24" i="50"/>
  <c r="R25" i="50"/>
  <c r="R36" i="50"/>
  <c r="F22" i="52"/>
  <c r="F33" i="52"/>
  <c r="F36" i="52"/>
  <c r="L15" i="53"/>
  <c r="R25" i="53"/>
  <c r="F21" i="98"/>
  <c r="F22" i="98"/>
  <c r="P18" i="99"/>
  <c r="P27" i="99" s="1"/>
  <c r="D18" i="99"/>
  <c r="D27" i="99" s="1"/>
  <c r="J22" i="99"/>
  <c r="F25" i="99"/>
  <c r="R18" i="100"/>
  <c r="X22" i="38"/>
  <c r="R24" i="38"/>
  <c r="R21" i="40"/>
  <c r="L16" i="41"/>
  <c r="V22" i="41"/>
  <c r="L29" i="41"/>
  <c r="H18" i="43"/>
  <c r="H27" i="43" s="1"/>
  <c r="F27" i="43"/>
  <c r="Z29" i="43"/>
  <c r="X33" i="43"/>
  <c r="V34" i="43"/>
  <c r="N12" i="44"/>
  <c r="R16" i="44"/>
  <c r="N20" i="44"/>
  <c r="J21" i="44"/>
  <c r="J22" i="44"/>
  <c r="J24" i="44"/>
  <c r="J25" i="46"/>
  <c r="F31" i="46"/>
  <c r="P18" i="47"/>
  <c r="P27" i="47" s="1"/>
  <c r="Z12" i="50"/>
  <c r="X29" i="50"/>
  <c r="V36" i="50"/>
  <c r="L12" i="52"/>
  <c r="X21" i="52"/>
  <c r="L34" i="52"/>
  <c r="R16" i="53"/>
  <c r="R24" i="53"/>
  <c r="F24" i="98"/>
  <c r="L12" i="99"/>
  <c r="F18" i="99"/>
  <c r="F36" i="99"/>
  <c r="R25" i="100"/>
  <c r="J31" i="100"/>
  <c r="J34" i="100"/>
  <c r="X25" i="37"/>
  <c r="Z16" i="38"/>
  <c r="X34" i="38"/>
  <c r="X12" i="40"/>
  <c r="L15" i="40"/>
  <c r="R18" i="40"/>
  <c r="X20" i="40"/>
  <c r="J27" i="40"/>
  <c r="V29" i="40"/>
  <c r="R33" i="40"/>
  <c r="X34" i="40"/>
  <c r="L13" i="41"/>
  <c r="X16" i="41"/>
  <c r="L15" i="43"/>
  <c r="L16" i="43"/>
  <c r="V18" i="43"/>
  <c r="L21" i="43"/>
  <c r="V22" i="43"/>
  <c r="L25" i="43"/>
  <c r="V27" i="43"/>
  <c r="F31" i="43"/>
  <c r="J36" i="43"/>
  <c r="J34" i="44"/>
  <c r="N12" i="46"/>
  <c r="J21" i="46"/>
  <c r="L12" i="47"/>
  <c r="X13" i="47"/>
  <c r="L22" i="47"/>
  <c r="X13" i="49"/>
  <c r="F18" i="49"/>
  <c r="L22" i="49"/>
  <c r="V25" i="50"/>
  <c r="R29" i="50"/>
  <c r="R18" i="52"/>
  <c r="R21" i="52"/>
  <c r="X29" i="52"/>
  <c r="X21" i="53"/>
  <c r="L29" i="53"/>
  <c r="N12" i="99"/>
  <c r="X21" i="99"/>
  <c r="X24" i="99"/>
  <c r="L15" i="100"/>
  <c r="L33" i="100"/>
  <c r="F267" i="3"/>
  <c r="F249" i="3"/>
  <c r="F242" i="3"/>
  <c r="F238" i="3"/>
  <c r="F234" i="3"/>
  <c r="F221" i="3"/>
  <c r="F218" i="3"/>
  <c r="F201" i="3"/>
  <c r="F279" i="3"/>
  <c r="F270" i="3"/>
  <c r="F262" i="3"/>
  <c r="F252" i="3"/>
  <c r="F241" i="3"/>
  <c r="F237" i="3"/>
  <c r="F233" i="3"/>
  <c r="F229" i="3"/>
  <c r="F225" i="3"/>
  <c r="F212" i="3"/>
  <c r="F209" i="3"/>
  <c r="F185" i="3"/>
  <c r="F181" i="3"/>
  <c r="F176" i="3"/>
  <c r="F169" i="3"/>
  <c r="F274" i="3"/>
  <c r="F265" i="3"/>
  <c r="F248" i="3"/>
  <c r="F240" i="3"/>
  <c r="F232" i="3"/>
  <c r="F228" i="3"/>
  <c r="F224" i="3"/>
  <c r="F220" i="3"/>
  <c r="F215" i="3"/>
  <c r="F263" i="3"/>
  <c r="F250" i="3"/>
  <c r="F246" i="3"/>
  <c r="F222" i="3"/>
  <c r="F217" i="3"/>
  <c r="F214" i="3"/>
  <c r="F202" i="3"/>
  <c r="F197" i="3"/>
  <c r="F190" i="3"/>
  <c r="F178" i="3"/>
  <c r="F174" i="3"/>
  <c r="F166" i="3"/>
  <c r="F154" i="3"/>
  <c r="F278" i="3"/>
  <c r="F266" i="3"/>
  <c r="F257" i="3"/>
  <c r="F253" i="3"/>
  <c r="F245" i="3"/>
  <c r="F236" i="3"/>
  <c r="F269" i="3"/>
  <c r="F261" i="3"/>
  <c r="F256" i="3"/>
  <c r="F244" i="3"/>
  <c r="F239" i="3"/>
  <c r="F219" i="3"/>
  <c r="F216" i="3"/>
  <c r="F227" i="3"/>
  <c r="F159" i="3"/>
  <c r="F158" i="3"/>
  <c r="F157" i="3"/>
  <c r="F146" i="3"/>
  <c r="F138" i="3"/>
  <c r="F130" i="3"/>
  <c r="F122" i="3"/>
  <c r="F114" i="3"/>
  <c r="F198" i="3"/>
  <c r="D162" i="3"/>
  <c r="F123" i="3"/>
  <c r="F230" i="3"/>
  <c r="F207" i="3"/>
  <c r="F206" i="3"/>
  <c r="F196" i="3"/>
  <c r="F189" i="3"/>
  <c r="F156" i="3"/>
  <c r="F155" i="3"/>
  <c r="F153" i="3"/>
  <c r="F145" i="3"/>
  <c r="F137" i="3"/>
  <c r="F129" i="3"/>
  <c r="F121" i="3"/>
  <c r="F113" i="3"/>
  <c r="F108" i="3"/>
  <c r="F183" i="3"/>
  <c r="F264" i="3"/>
  <c r="F231" i="3"/>
  <c r="F208" i="3"/>
  <c r="F195" i="3"/>
  <c r="F188" i="3"/>
  <c r="F187" i="3"/>
  <c r="F152" i="3"/>
  <c r="F144" i="3"/>
  <c r="F136" i="3"/>
  <c r="F128" i="3"/>
  <c r="F120" i="3"/>
  <c r="F112" i="3"/>
  <c r="F247" i="3"/>
  <c r="F226" i="3"/>
  <c r="F147" i="3"/>
  <c r="F259" i="3"/>
  <c r="F258" i="3"/>
  <c r="F254" i="3"/>
  <c r="F243" i="3"/>
  <c r="F211" i="3"/>
  <c r="F177" i="3"/>
  <c r="F168" i="3"/>
  <c r="F167" i="3"/>
  <c r="F164" i="3"/>
  <c r="F151" i="3"/>
  <c r="F143" i="3"/>
  <c r="F135" i="3"/>
  <c r="F127" i="3"/>
  <c r="F119" i="3"/>
  <c r="F111" i="3"/>
  <c r="F199" i="3"/>
  <c r="F160" i="3"/>
  <c r="F268" i="3"/>
  <c r="F255" i="3"/>
  <c r="F213" i="3"/>
  <c r="F210" i="3"/>
  <c r="F194" i="3"/>
  <c r="F193" i="3"/>
  <c r="F192" i="3"/>
  <c r="F186" i="3"/>
  <c r="F173" i="3"/>
  <c r="F172" i="3"/>
  <c r="F170" i="3"/>
  <c r="F150" i="3"/>
  <c r="F142" i="3"/>
  <c r="F134" i="3"/>
  <c r="F126" i="3"/>
  <c r="F118" i="3"/>
  <c r="F110" i="3"/>
  <c r="F251" i="3"/>
  <c r="F204" i="3"/>
  <c r="F203" i="3"/>
  <c r="F180" i="3"/>
  <c r="F179" i="3"/>
  <c r="F171" i="3"/>
  <c r="F165" i="3"/>
  <c r="F149" i="3"/>
  <c r="F141" i="3"/>
  <c r="F133" i="3"/>
  <c r="F125" i="3"/>
  <c r="F117" i="3"/>
  <c r="F109" i="3"/>
  <c r="F139" i="3"/>
  <c r="F131" i="3"/>
  <c r="F115" i="3"/>
  <c r="F235" i="3"/>
  <c r="F223" i="3"/>
  <c r="F205" i="3"/>
  <c r="F200" i="3"/>
  <c r="F191" i="3"/>
  <c r="F184" i="3"/>
  <c r="F182" i="3"/>
  <c r="F175" i="3"/>
  <c r="F148" i="3"/>
  <c r="F140" i="3"/>
  <c r="F132" i="3"/>
  <c r="F124" i="3"/>
  <c r="F116" i="3"/>
  <c r="L12" i="3"/>
  <c r="N12" i="3" s="1"/>
  <c r="N13" i="3"/>
  <c r="Z17" i="3"/>
  <c r="N53" i="3"/>
  <c r="Z61" i="3"/>
  <c r="N77" i="3"/>
  <c r="Z105" i="3"/>
  <c r="Z197" i="3"/>
  <c r="N45" i="3"/>
  <c r="N93" i="3"/>
  <c r="N97" i="3"/>
  <c r="Z101" i="3"/>
  <c r="Z13" i="3"/>
  <c r="N32" i="3"/>
  <c r="Z49" i="3"/>
  <c r="Z53" i="3"/>
  <c r="N69" i="3"/>
  <c r="N73" i="3"/>
  <c r="Z77" i="3"/>
  <c r="V267" i="3"/>
  <c r="V257" i="3"/>
  <c r="V253" i="3"/>
  <c r="V249" i="3"/>
  <c r="V245" i="3"/>
  <c r="V221" i="3"/>
  <c r="V213" i="3"/>
  <c r="V205" i="3"/>
  <c r="V201" i="3"/>
  <c r="V279" i="3"/>
  <c r="V270" i="3"/>
  <c r="V262" i="3"/>
  <c r="V256" i="3"/>
  <c r="V252" i="3"/>
  <c r="V244" i="3"/>
  <c r="V216" i="3"/>
  <c r="V212" i="3"/>
  <c r="V204" i="3"/>
  <c r="V196" i="3"/>
  <c r="V192" i="3"/>
  <c r="V176" i="3"/>
  <c r="V172" i="3"/>
  <c r="V265" i="3"/>
  <c r="V259" i="3"/>
  <c r="V255" i="3"/>
  <c r="V243" i="3"/>
  <c r="V235" i="3"/>
  <c r="V215" i="3"/>
  <c r="V207" i="3"/>
  <c r="V263" i="3"/>
  <c r="V241" i="3"/>
  <c r="V237" i="3"/>
  <c r="V233" i="3"/>
  <c r="V229" i="3"/>
  <c r="V225" i="3"/>
  <c r="V217" i="3"/>
  <c r="V209" i="3"/>
  <c r="V197" i="3"/>
  <c r="V185" i="3"/>
  <c r="V181" i="3"/>
  <c r="V169" i="3"/>
  <c r="V157" i="3"/>
  <c r="V278" i="3"/>
  <c r="V274" i="3"/>
  <c r="V266" i="3"/>
  <c r="V248" i="3"/>
  <c r="V240" i="3"/>
  <c r="V236" i="3"/>
  <c r="V232" i="3"/>
  <c r="V228" i="3"/>
  <c r="V224" i="3"/>
  <c r="V269" i="3"/>
  <c r="V251" i="3"/>
  <c r="V247" i="3"/>
  <c r="V239" i="3"/>
  <c r="V231" i="3"/>
  <c r="V227" i="3"/>
  <c r="V223" i="3"/>
  <c r="V219" i="3"/>
  <c r="V211" i="3"/>
  <c r="V179" i="3"/>
  <c r="V177" i="3"/>
  <c r="V171" i="3"/>
  <c r="V170" i="3"/>
  <c r="T162" i="3"/>
  <c r="V149" i="3"/>
  <c r="V141" i="3"/>
  <c r="V133" i="3"/>
  <c r="V125" i="3"/>
  <c r="V117" i="3"/>
  <c r="V109" i="3"/>
  <c r="V166" i="3"/>
  <c r="V150" i="3"/>
  <c r="V234" i="3"/>
  <c r="V199" i="3"/>
  <c r="V193" i="3"/>
  <c r="V180" i="3"/>
  <c r="V178" i="3"/>
  <c r="V175" i="3"/>
  <c r="V173" i="3"/>
  <c r="V164" i="3"/>
  <c r="V148" i="3"/>
  <c r="V140" i="3"/>
  <c r="V132" i="3"/>
  <c r="V124" i="3"/>
  <c r="V116" i="3"/>
  <c r="V108" i="3"/>
  <c r="V203" i="3"/>
  <c r="V168" i="3"/>
  <c r="V126" i="3"/>
  <c r="V238" i="3"/>
  <c r="V226" i="3"/>
  <c r="V222" i="3"/>
  <c r="V202" i="3"/>
  <c r="V200" i="3"/>
  <c r="V189" i="3"/>
  <c r="V182" i="3"/>
  <c r="V174" i="3"/>
  <c r="V160" i="3"/>
  <c r="V147" i="3"/>
  <c r="V139" i="3"/>
  <c r="V131" i="3"/>
  <c r="V123" i="3"/>
  <c r="V115" i="3"/>
  <c r="V268" i="3"/>
  <c r="V250" i="3"/>
  <c r="V246" i="3"/>
  <c r="V218" i="3"/>
  <c r="V206" i="3"/>
  <c r="V198" i="3"/>
  <c r="V190" i="3"/>
  <c r="V183" i="3"/>
  <c r="V159" i="3"/>
  <c r="V146" i="3"/>
  <c r="V138" i="3"/>
  <c r="V130" i="3"/>
  <c r="V122" i="3"/>
  <c r="V114" i="3"/>
  <c r="V191" i="3"/>
  <c r="V230" i="3"/>
  <c r="V208" i="3"/>
  <c r="V158" i="3"/>
  <c r="V156" i="3"/>
  <c r="V155" i="3"/>
  <c r="V145" i="3"/>
  <c r="V137" i="3"/>
  <c r="V129" i="3"/>
  <c r="V121" i="3"/>
  <c r="V113" i="3"/>
  <c r="V184" i="3"/>
  <c r="V110" i="3"/>
  <c r="V264" i="3"/>
  <c r="V214" i="3"/>
  <c r="V195" i="3"/>
  <c r="V194" i="3"/>
  <c r="V187" i="3"/>
  <c r="V154" i="3"/>
  <c r="V153" i="3"/>
  <c r="V152" i="3"/>
  <c r="V144" i="3"/>
  <c r="V136" i="3"/>
  <c r="V128" i="3"/>
  <c r="V120" i="3"/>
  <c r="V112" i="3"/>
  <c r="V162" i="3"/>
  <c r="V142" i="3"/>
  <c r="V134" i="3"/>
  <c r="V118" i="3"/>
  <c r="V258" i="3"/>
  <c r="V254" i="3"/>
  <c r="V242" i="3"/>
  <c r="V210" i="3"/>
  <c r="V188" i="3"/>
  <c r="V186" i="3"/>
  <c r="V167" i="3"/>
  <c r="V165" i="3"/>
  <c r="V151" i="3"/>
  <c r="V143" i="3"/>
  <c r="V135" i="3"/>
  <c r="V127" i="3"/>
  <c r="V119" i="3"/>
  <c r="V111" i="3"/>
  <c r="V220" i="3"/>
  <c r="Z29" i="3"/>
  <c r="N52" i="3"/>
  <c r="N21" i="3"/>
  <c r="Z25" i="3"/>
  <c r="N65" i="3"/>
  <c r="Z69" i="3"/>
  <c r="Z73" i="3"/>
  <c r="Z80" i="3"/>
  <c r="Z41" i="3"/>
  <c r="N72" i="3"/>
  <c r="N85" i="3"/>
  <c r="J108" i="3"/>
  <c r="J130" i="3"/>
  <c r="J146" i="3"/>
  <c r="X16" i="3"/>
  <c r="L20" i="3"/>
  <c r="N20" i="3" s="1"/>
  <c r="X24" i="3"/>
  <c r="Z24" i="3" s="1"/>
  <c r="L28" i="3"/>
  <c r="N28" i="3" s="1"/>
  <c r="X32" i="3"/>
  <c r="Z32" i="3" s="1"/>
  <c r="L36" i="3"/>
  <c r="X40" i="3"/>
  <c r="Z40" i="3" s="1"/>
  <c r="L44" i="3"/>
  <c r="N44" i="3" s="1"/>
  <c r="X48" i="3"/>
  <c r="Z48" i="3" s="1"/>
  <c r="L52" i="3"/>
  <c r="X56" i="3"/>
  <c r="Z56" i="3" s="1"/>
  <c r="L60" i="3"/>
  <c r="N60" i="3" s="1"/>
  <c r="X64" i="3"/>
  <c r="Z64" i="3" s="1"/>
  <c r="L68" i="3"/>
  <c r="X72" i="3"/>
  <c r="Z72" i="3" s="1"/>
  <c r="L76" i="3"/>
  <c r="X80" i="3"/>
  <c r="L84" i="3"/>
  <c r="X88" i="3"/>
  <c r="Z88" i="3" s="1"/>
  <c r="L92" i="3"/>
  <c r="N92" i="3" s="1"/>
  <c r="X96" i="3"/>
  <c r="L100" i="3"/>
  <c r="N100" i="3" s="1"/>
  <c r="X104" i="3"/>
  <c r="Z104" i="3" s="1"/>
  <c r="J115" i="3"/>
  <c r="J123" i="3"/>
  <c r="J131" i="3"/>
  <c r="J139" i="3"/>
  <c r="J147" i="3"/>
  <c r="J160" i="3"/>
  <c r="X164" i="3"/>
  <c r="Z164" i="3" s="1"/>
  <c r="X176" i="3"/>
  <c r="Z176" i="3" s="1"/>
  <c r="J183" i="3"/>
  <c r="J190" i="3"/>
  <c r="J198" i="3"/>
  <c r="J218" i="3"/>
  <c r="J236" i="3"/>
  <c r="N239" i="3"/>
  <c r="J250" i="3"/>
  <c r="Z265" i="3"/>
  <c r="V20" i="4"/>
  <c r="V16" i="4"/>
  <c r="Z12" i="4"/>
  <c r="V34" i="4"/>
  <c r="V31" i="4"/>
  <c r="V27" i="4"/>
  <c r="X12" i="4"/>
  <c r="V21" i="4"/>
  <c r="V18" i="4"/>
  <c r="V36" i="4"/>
  <c r="V33" i="4"/>
  <c r="V29" i="4"/>
  <c r="V25" i="4"/>
  <c r="T18" i="4"/>
  <c r="V15" i="4"/>
  <c r="N28" i="6"/>
  <c r="Z29" i="6"/>
  <c r="N13" i="7"/>
  <c r="L13" i="7"/>
  <c r="N19" i="9"/>
  <c r="J52" i="9"/>
  <c r="J62" i="9"/>
  <c r="X63" i="9"/>
  <c r="Z63" i="9" s="1"/>
  <c r="X17" i="12"/>
  <c r="N20" i="12"/>
  <c r="X25" i="12"/>
  <c r="N29" i="12"/>
  <c r="L37" i="12"/>
  <c r="Z42" i="12"/>
  <c r="L45" i="12"/>
  <c r="N62" i="12"/>
  <c r="Z64" i="12"/>
  <c r="J158" i="3"/>
  <c r="L13" i="3"/>
  <c r="Z16" i="3"/>
  <c r="J116" i="3"/>
  <c r="J124" i="3"/>
  <c r="J132" i="3"/>
  <c r="J140" i="3"/>
  <c r="J148" i="3"/>
  <c r="L164" i="3"/>
  <c r="N164" i="3" s="1"/>
  <c r="J174" i="3"/>
  <c r="J175" i="3"/>
  <c r="J181" i="3"/>
  <c r="J182" i="3"/>
  <c r="N184" i="3"/>
  <c r="L186" i="3"/>
  <c r="N186" i="3" s="1"/>
  <c r="X186" i="3"/>
  <c r="Z186" i="3" s="1"/>
  <c r="L199" i="3"/>
  <c r="N201" i="3"/>
  <c r="J238" i="3"/>
  <c r="J246" i="3"/>
  <c r="X263" i="3"/>
  <c r="Z263" i="3" s="1"/>
  <c r="V22" i="4"/>
  <c r="N16" i="5"/>
  <c r="L16" i="5"/>
  <c r="N22" i="7"/>
  <c r="L22" i="7"/>
  <c r="V20" i="8"/>
  <c r="V16" i="8"/>
  <c r="Z12" i="8"/>
  <c r="V34" i="8"/>
  <c r="V31" i="8"/>
  <c r="V27" i="8"/>
  <c r="X12" i="8"/>
  <c r="V21" i="8"/>
  <c r="V18" i="8"/>
  <c r="V36" i="8"/>
  <c r="V33" i="8"/>
  <c r="V29" i="8"/>
  <c r="V25" i="8"/>
  <c r="T18" i="8"/>
  <c r="V15" i="8"/>
  <c r="V22" i="8"/>
  <c r="J44" i="9"/>
  <c r="V70" i="9"/>
  <c r="V97" i="9"/>
  <c r="N22" i="11"/>
  <c r="L22" i="11"/>
  <c r="Z17" i="12"/>
  <c r="Z25" i="12"/>
  <c r="N37" i="12"/>
  <c r="X69" i="12"/>
  <c r="Z69" i="12" s="1"/>
  <c r="X85" i="12"/>
  <c r="Z85" i="12" s="1"/>
  <c r="Z188" i="12"/>
  <c r="X188" i="12"/>
  <c r="J226" i="18"/>
  <c r="J189" i="3"/>
  <c r="N219" i="3"/>
  <c r="L73" i="9"/>
  <c r="N73" i="9" s="1"/>
  <c r="P12" i="3"/>
  <c r="J109" i="3"/>
  <c r="J117" i="3"/>
  <c r="J125" i="3"/>
  <c r="J133" i="3"/>
  <c r="J141" i="3"/>
  <c r="J149" i="3"/>
  <c r="N165" i="3"/>
  <c r="J171" i="3"/>
  <c r="J176" i="3"/>
  <c r="J178" i="3"/>
  <c r="J179" i="3"/>
  <c r="J184" i="3"/>
  <c r="J185" i="3"/>
  <c r="J191" i="3"/>
  <c r="J201" i="3"/>
  <c r="J202" i="3"/>
  <c r="J204" i="3"/>
  <c r="Z206" i="3"/>
  <c r="L217" i="3"/>
  <c r="Z219" i="3"/>
  <c r="J222" i="3"/>
  <c r="J234" i="3"/>
  <c r="T261" i="3"/>
  <c r="J270" i="3"/>
  <c r="V24" i="4"/>
  <c r="Z25" i="4"/>
  <c r="X25" i="4"/>
  <c r="X34" i="4"/>
  <c r="X24" i="5"/>
  <c r="R25" i="5"/>
  <c r="Z13" i="7"/>
  <c r="X13" i="7"/>
  <c r="X16" i="7"/>
  <c r="V24" i="8"/>
  <c r="Z25" i="8"/>
  <c r="X25" i="8"/>
  <c r="X34" i="8"/>
  <c r="V16" i="9"/>
  <c r="Z18" i="9"/>
  <c r="J34" i="9"/>
  <c r="J58" i="9"/>
  <c r="V92" i="9"/>
  <c r="X41" i="12"/>
  <c r="X49" i="12"/>
  <c r="N53" i="12"/>
  <c r="Z58" i="12"/>
  <c r="L61" i="12"/>
  <c r="H228" i="12"/>
  <c r="J34" i="8"/>
  <c r="J31" i="8"/>
  <c r="J27" i="8"/>
  <c r="J24" i="8"/>
  <c r="J21" i="8"/>
  <c r="J36" i="8"/>
  <c r="J33" i="8"/>
  <c r="J29" i="8"/>
  <c r="J25" i="8"/>
  <c r="H18" i="8"/>
  <c r="J15" i="8"/>
  <c r="J22" i="8"/>
  <c r="N12" i="8"/>
  <c r="J110" i="3"/>
  <c r="J118" i="3"/>
  <c r="J126" i="3"/>
  <c r="J134" i="3"/>
  <c r="J142" i="3"/>
  <c r="J150" i="3"/>
  <c r="J165" i="3"/>
  <c r="J169" i="3"/>
  <c r="J170" i="3"/>
  <c r="J172" i="3"/>
  <c r="J192" i="3"/>
  <c r="J212" i="3"/>
  <c r="N217" i="3"/>
  <c r="X239" i="3"/>
  <c r="Z239" i="3" s="1"/>
  <c r="N249" i="3"/>
  <c r="L249" i="3"/>
  <c r="J278" i="3"/>
  <c r="J279" i="3"/>
  <c r="Z15" i="4"/>
  <c r="X15" i="4"/>
  <c r="N20" i="5"/>
  <c r="L20" i="5"/>
  <c r="Z28" i="6"/>
  <c r="X28" i="6"/>
  <c r="P90" i="9"/>
  <c r="X59" i="9"/>
  <c r="Z59" i="9" s="1"/>
  <c r="X79" i="9"/>
  <c r="Z79" i="9" s="1"/>
  <c r="N15" i="10"/>
  <c r="L15" i="10"/>
  <c r="H18" i="10"/>
  <c r="N25" i="10"/>
  <c r="L25" i="10"/>
  <c r="Z41" i="12"/>
  <c r="Z49" i="12"/>
  <c r="N77" i="12"/>
  <c r="L183" i="12"/>
  <c r="N183" i="12"/>
  <c r="H218" i="15"/>
  <c r="N220" i="15"/>
  <c r="L220" i="15"/>
  <c r="J252" i="3"/>
  <c r="L218" i="15"/>
  <c r="L16" i="3"/>
  <c r="N16" i="3" s="1"/>
  <c r="X20" i="3"/>
  <c r="Z20" i="3" s="1"/>
  <c r="L24" i="3"/>
  <c r="N24" i="3" s="1"/>
  <c r="X28" i="3"/>
  <c r="Z28" i="3" s="1"/>
  <c r="L32" i="3"/>
  <c r="X36" i="3"/>
  <c r="L40" i="3"/>
  <c r="N40" i="3" s="1"/>
  <c r="X44" i="3"/>
  <c r="Z44" i="3" s="1"/>
  <c r="L48" i="3"/>
  <c r="N48" i="3" s="1"/>
  <c r="X52" i="3"/>
  <c r="Z52" i="3" s="1"/>
  <c r="L56" i="3"/>
  <c r="X60" i="3"/>
  <c r="Z60" i="3" s="1"/>
  <c r="L64" i="3"/>
  <c r="X68" i="3"/>
  <c r="Z68" i="3" s="1"/>
  <c r="L72" i="3"/>
  <c r="X76" i="3"/>
  <c r="L80" i="3"/>
  <c r="N80" i="3" s="1"/>
  <c r="X84" i="3"/>
  <c r="Z84" i="3" s="1"/>
  <c r="L88" i="3"/>
  <c r="N88" i="3" s="1"/>
  <c r="X92" i="3"/>
  <c r="Z92" i="3" s="1"/>
  <c r="L96" i="3"/>
  <c r="X100" i="3"/>
  <c r="Z100" i="3" s="1"/>
  <c r="L104" i="3"/>
  <c r="J111" i="3"/>
  <c r="J119" i="3"/>
  <c r="J127" i="3"/>
  <c r="J135" i="3"/>
  <c r="J143" i="3"/>
  <c r="J151" i="3"/>
  <c r="J166" i="3"/>
  <c r="J167" i="3"/>
  <c r="J186" i="3"/>
  <c r="L194" i="3"/>
  <c r="X197" i="3"/>
  <c r="J210" i="3"/>
  <c r="J216" i="3"/>
  <c r="J266" i="3"/>
  <c r="L267" i="3"/>
  <c r="N267" i="3" s="1"/>
  <c r="Z29" i="4"/>
  <c r="X29" i="4"/>
  <c r="F20" i="5"/>
  <c r="F16" i="5"/>
  <c r="F34" i="5"/>
  <c r="F31" i="5"/>
  <c r="F27" i="5"/>
  <c r="F24" i="5"/>
  <c r="F18" i="5"/>
  <c r="F36" i="5"/>
  <c r="F33" i="5"/>
  <c r="F29" i="5"/>
  <c r="F25" i="5"/>
  <c r="D18" i="5"/>
  <c r="F15" i="5"/>
  <c r="L12" i="5"/>
  <c r="F22" i="5"/>
  <c r="F29" i="6"/>
  <c r="F26" i="6"/>
  <c r="F20" i="6"/>
  <c r="F16" i="6"/>
  <c r="L12" i="6"/>
  <c r="F31" i="6"/>
  <c r="F28" i="6"/>
  <c r="F22" i="6"/>
  <c r="F18" i="6"/>
  <c r="F14" i="6"/>
  <c r="Z14" i="6"/>
  <c r="X14" i="6"/>
  <c r="Z18" i="6"/>
  <c r="X18" i="6"/>
  <c r="Z15" i="8"/>
  <c r="X15" i="8"/>
  <c r="Z29" i="8"/>
  <c r="X29" i="8"/>
  <c r="J81" i="9"/>
  <c r="J77" i="9"/>
  <c r="J69" i="9"/>
  <c r="J65" i="9"/>
  <c r="J61" i="9"/>
  <c r="J55" i="9"/>
  <c r="J49" i="9"/>
  <c r="J41" i="9"/>
  <c r="J33" i="9"/>
  <c r="J29" i="9"/>
  <c r="J21" i="9"/>
  <c r="J94" i="9"/>
  <c r="J88" i="9"/>
  <c r="J80" i="9"/>
  <c r="J76" i="9"/>
  <c r="J72" i="9"/>
  <c r="J64" i="9"/>
  <c r="J60" i="9"/>
  <c r="J46" i="9"/>
  <c r="J38" i="9"/>
  <c r="J32" i="9"/>
  <c r="J28" i="9"/>
  <c r="J20" i="9"/>
  <c r="J16" i="9"/>
  <c r="J83" i="9"/>
  <c r="J75" i="9"/>
  <c r="J71" i="9"/>
  <c r="J57" i="9"/>
  <c r="J51" i="9"/>
  <c r="J43" i="9"/>
  <c r="J27" i="9"/>
  <c r="H16" i="9"/>
  <c r="J92" i="9"/>
  <c r="J86" i="9"/>
  <c r="J74" i="9"/>
  <c r="J68" i="9"/>
  <c r="J54" i="9"/>
  <c r="J48" i="9"/>
  <c r="J40" i="9"/>
  <c r="J26" i="9"/>
  <c r="J85" i="9"/>
  <c r="J79" i="9"/>
  <c r="J63" i="9"/>
  <c r="J59" i="9"/>
  <c r="J53" i="9"/>
  <c r="J45" i="9"/>
  <c r="J37" i="9"/>
  <c r="J31" i="9"/>
  <c r="J25" i="9"/>
  <c r="J19" i="9"/>
  <c r="J97" i="9"/>
  <c r="J90" i="9"/>
  <c r="J82" i="9"/>
  <c r="J70" i="9"/>
  <c r="J56" i="9"/>
  <c r="J50" i="9"/>
  <c r="J42" i="9"/>
  <c r="J36" i="9"/>
  <c r="J24" i="9"/>
  <c r="J14" i="9"/>
  <c r="N12" i="9"/>
  <c r="J73" i="9"/>
  <c r="J67" i="9"/>
  <c r="J47" i="9"/>
  <c r="J39" i="9"/>
  <c r="J35" i="9"/>
  <c r="J23" i="9"/>
  <c r="L12" i="9"/>
  <c r="Z19" i="9"/>
  <c r="X19" i="9"/>
  <c r="V54" i="9"/>
  <c r="Z55" i="9"/>
  <c r="V82" i="9"/>
  <c r="N29" i="10"/>
  <c r="L29" i="10"/>
  <c r="N14" i="12"/>
  <c r="N22" i="12"/>
  <c r="Z57" i="12"/>
  <c r="Z88" i="12"/>
  <c r="X88" i="12"/>
  <c r="J249" i="18"/>
  <c r="J239" i="18"/>
  <c r="J235" i="18"/>
  <c r="J229" i="18"/>
  <c r="J219" i="18"/>
  <c r="J203" i="18"/>
  <c r="J197" i="18"/>
  <c r="J191" i="18"/>
  <c r="J179" i="18"/>
  <c r="J173" i="18"/>
  <c r="J169" i="18"/>
  <c r="J157" i="18"/>
  <c r="J145" i="18"/>
  <c r="J137" i="18"/>
  <c r="J129" i="18"/>
  <c r="J121" i="18"/>
  <c r="J113" i="18"/>
  <c r="J105" i="18"/>
  <c r="J244" i="18"/>
  <c r="J232" i="18"/>
  <c r="J228" i="18"/>
  <c r="J222" i="18"/>
  <c r="J214" i="18"/>
  <c r="J210" i="18"/>
  <c r="J200" i="18"/>
  <c r="J194" i="18"/>
  <c r="J188" i="18"/>
  <c r="J182" i="18"/>
  <c r="J176" i="18"/>
  <c r="J168" i="18"/>
  <c r="J156" i="18"/>
  <c r="J144" i="18"/>
  <c r="J136" i="18"/>
  <c r="J128" i="18"/>
  <c r="J120" i="18"/>
  <c r="J112" i="18"/>
  <c r="J104" i="18"/>
  <c r="J98" i="18"/>
  <c r="J253" i="18"/>
  <c r="J247" i="18"/>
  <c r="J231" i="18"/>
  <c r="J227" i="18"/>
  <c r="J205" i="18"/>
  <c r="J199" i="18"/>
  <c r="J185" i="18"/>
  <c r="J175" i="18"/>
  <c r="J167" i="18"/>
  <c r="J163" i="18"/>
  <c r="J155" i="18"/>
  <c r="J143" i="18"/>
  <c r="J135" i="18"/>
  <c r="J127" i="18"/>
  <c r="J119" i="18"/>
  <c r="J111" i="18"/>
  <c r="J103" i="18"/>
  <c r="J245" i="18"/>
  <c r="J237" i="18"/>
  <c r="J225" i="18"/>
  <c r="J221" i="18"/>
  <c r="J217" i="18"/>
  <c r="J213" i="18"/>
  <c r="J209" i="18"/>
  <c r="J193" i="18"/>
  <c r="J187" i="18"/>
  <c r="J181" i="18"/>
  <c r="J165" i="18"/>
  <c r="J161" i="18"/>
  <c r="H150" i="18"/>
  <c r="J141" i="18"/>
  <c r="J133" i="18"/>
  <c r="J125" i="18"/>
  <c r="J117" i="18"/>
  <c r="J109" i="18"/>
  <c r="J101" i="18"/>
  <c r="J248" i="18"/>
  <c r="J240" i="18"/>
  <c r="J236" i="18"/>
  <c r="J230" i="18"/>
  <c r="J224" i="18"/>
  <c r="J220" i="18"/>
  <c r="J216" i="18"/>
  <c r="J212" i="18"/>
  <c r="J208" i="18"/>
  <c r="J204" i="18"/>
  <c r="J198" i="18"/>
  <c r="J192" i="18"/>
  <c r="J184" i="18"/>
  <c r="J180" i="18"/>
  <c r="J174" i="18"/>
  <c r="J160" i="18"/>
  <c r="J152" i="18"/>
  <c r="J148" i="18"/>
  <c r="J140" i="18"/>
  <c r="J132" i="18"/>
  <c r="J124" i="18"/>
  <c r="J116" i="18"/>
  <c r="J108" i="18"/>
  <c r="J100" i="18"/>
  <c r="J243" i="18"/>
  <c r="J233" i="18"/>
  <c r="J223" i="18"/>
  <c r="J215" i="18"/>
  <c r="J211" i="18"/>
  <c r="J207" i="18"/>
  <c r="J201" i="18"/>
  <c r="J195" i="18"/>
  <c r="J189" i="18"/>
  <c r="J183" i="18"/>
  <c r="J177" i="18"/>
  <c r="J171" i="18"/>
  <c r="J159" i="18"/>
  <c r="J153" i="18"/>
  <c r="J147" i="18"/>
  <c r="J139" i="18"/>
  <c r="J131" i="18"/>
  <c r="J123" i="18"/>
  <c r="J115" i="18"/>
  <c r="J107" i="18"/>
  <c r="J99" i="18"/>
  <c r="J178" i="18"/>
  <c r="J170" i="18"/>
  <c r="J154" i="18"/>
  <c r="J114" i="18"/>
  <c r="J106" i="18"/>
  <c r="J238" i="18"/>
  <c r="J162" i="18"/>
  <c r="J142" i="18"/>
  <c r="J122" i="18"/>
  <c r="J130" i="18"/>
  <c r="J164" i="18"/>
  <c r="J150" i="18"/>
  <c r="J134" i="18"/>
  <c r="J118" i="18"/>
  <c r="J102" i="18"/>
  <c r="J246" i="18"/>
  <c r="J158" i="18"/>
  <c r="J146" i="18"/>
  <c r="J126" i="18"/>
  <c r="J172" i="18"/>
  <c r="J138" i="18"/>
  <c r="J206" i="18"/>
  <c r="J234" i="18"/>
  <c r="J166" i="18"/>
  <c r="J186" i="18"/>
  <c r="J196" i="18"/>
  <c r="J190" i="18"/>
  <c r="J110" i="18"/>
  <c r="J202" i="18"/>
  <c r="J114" i="3"/>
  <c r="J122" i="3"/>
  <c r="J159" i="3"/>
  <c r="J197" i="3"/>
  <c r="J18" i="8"/>
  <c r="H12" i="12"/>
  <c r="J112" i="3"/>
  <c r="J120" i="3"/>
  <c r="J128" i="3"/>
  <c r="J136" i="3"/>
  <c r="J144" i="3"/>
  <c r="J152" i="3"/>
  <c r="J154" i="3"/>
  <c r="J187" i="3"/>
  <c r="X191" i="3"/>
  <c r="Z191" i="3" s="1"/>
  <c r="J195" i="3"/>
  <c r="L197" i="3"/>
  <c r="N197" i="3" s="1"/>
  <c r="X203" i="3"/>
  <c r="Z203" i="3" s="1"/>
  <c r="N208" i="3"/>
  <c r="Z217" i="3"/>
  <c r="L221" i="3"/>
  <c r="N221" i="3" s="1"/>
  <c r="L263" i="3"/>
  <c r="Z33" i="4"/>
  <c r="X33" i="4"/>
  <c r="Z22" i="5"/>
  <c r="X22" i="5"/>
  <c r="D16" i="6"/>
  <c r="T22" i="6"/>
  <c r="J20" i="8"/>
  <c r="Z33" i="8"/>
  <c r="X33" i="8"/>
  <c r="N18" i="9"/>
  <c r="J30" i="9"/>
  <c r="N57" i="9"/>
  <c r="Z21" i="10"/>
  <c r="X21" i="10"/>
  <c r="N33" i="10"/>
  <c r="L33" i="10"/>
  <c r="N30" i="12"/>
  <c r="Z40" i="12"/>
  <c r="Z48" i="12"/>
  <c r="Z72" i="12"/>
  <c r="X77" i="12"/>
  <c r="Z77" i="12" s="1"/>
  <c r="N170" i="12"/>
  <c r="L170" i="12"/>
  <c r="J265" i="3"/>
  <c r="J241" i="3"/>
  <c r="J237" i="3"/>
  <c r="J233" i="3"/>
  <c r="J229" i="3"/>
  <c r="J225" i="3"/>
  <c r="J215" i="3"/>
  <c r="J209" i="3"/>
  <c r="J203" i="3"/>
  <c r="J274" i="3"/>
  <c r="J268" i="3"/>
  <c r="J258" i="3"/>
  <c r="J254" i="3"/>
  <c r="J248" i="3"/>
  <c r="J240" i="3"/>
  <c r="J232" i="3"/>
  <c r="J228" i="3"/>
  <c r="J224" i="3"/>
  <c r="J220" i="3"/>
  <c r="J206" i="3"/>
  <c r="J200" i="3"/>
  <c r="J194" i="3"/>
  <c r="J188" i="3"/>
  <c r="J180" i="3"/>
  <c r="J168" i="3"/>
  <c r="J263" i="3"/>
  <c r="J251" i="3"/>
  <c r="J247" i="3"/>
  <c r="J231" i="3"/>
  <c r="J227" i="3"/>
  <c r="J223" i="3"/>
  <c r="J217" i="3"/>
  <c r="J211" i="3"/>
  <c r="J269" i="3"/>
  <c r="J257" i="3"/>
  <c r="J253" i="3"/>
  <c r="J245" i="3"/>
  <c r="J239" i="3"/>
  <c r="J219" i="3"/>
  <c r="J213" i="3"/>
  <c r="J205" i="3"/>
  <c r="J199" i="3"/>
  <c r="J193" i="3"/>
  <c r="J177" i="3"/>
  <c r="J173" i="3"/>
  <c r="H162" i="3"/>
  <c r="J153" i="3"/>
  <c r="J264" i="3"/>
  <c r="J256" i="3"/>
  <c r="J244" i="3"/>
  <c r="J230" i="3"/>
  <c r="J226" i="3"/>
  <c r="J267" i="3"/>
  <c r="J259" i="3"/>
  <c r="J255" i="3"/>
  <c r="J249" i="3"/>
  <c r="J243" i="3"/>
  <c r="J235" i="3"/>
  <c r="J221" i="3"/>
  <c r="J207" i="3"/>
  <c r="J138" i="3"/>
  <c r="J157" i="3"/>
  <c r="J113" i="3"/>
  <c r="J121" i="3"/>
  <c r="J129" i="3"/>
  <c r="J137" i="3"/>
  <c r="J145" i="3"/>
  <c r="J155" i="3"/>
  <c r="J156" i="3"/>
  <c r="J164" i="3"/>
  <c r="N189" i="3"/>
  <c r="J196" i="3"/>
  <c r="X199" i="3"/>
  <c r="Z199" i="3" s="1"/>
  <c r="J208" i="3"/>
  <c r="J214" i="3"/>
  <c r="J262" i="3"/>
  <c r="N263" i="3"/>
  <c r="H261" i="3"/>
  <c r="J261" i="3" s="1"/>
  <c r="X269" i="3"/>
  <c r="Z269" i="3" s="1"/>
  <c r="J34" i="4"/>
  <c r="J31" i="4"/>
  <c r="J27" i="4"/>
  <c r="J24" i="4"/>
  <c r="J21" i="4"/>
  <c r="J36" i="4"/>
  <c r="J33" i="4"/>
  <c r="J29" i="4"/>
  <c r="J25" i="4"/>
  <c r="H18" i="4"/>
  <c r="J15" i="4"/>
  <c r="J22" i="4"/>
  <c r="N12" i="4"/>
  <c r="J18" i="4"/>
  <c r="R22" i="5"/>
  <c r="X12" i="5"/>
  <c r="R20" i="5"/>
  <c r="R16" i="5"/>
  <c r="R24" i="5"/>
  <c r="R21" i="5"/>
  <c r="R18" i="5"/>
  <c r="R29" i="5"/>
  <c r="R31" i="6"/>
  <c r="R28" i="6"/>
  <c r="R22" i="6"/>
  <c r="R18" i="6"/>
  <c r="R14" i="6"/>
  <c r="X12" i="6"/>
  <c r="R29" i="6"/>
  <c r="R26" i="6"/>
  <c r="R20" i="6"/>
  <c r="R16" i="6"/>
  <c r="P16" i="6"/>
  <c r="F24" i="6"/>
  <c r="V85" i="9"/>
  <c r="V73" i="9"/>
  <c r="V53" i="9"/>
  <c r="V45" i="9"/>
  <c r="V37" i="9"/>
  <c r="V25" i="9"/>
  <c r="V84" i="9"/>
  <c r="V56" i="9"/>
  <c r="V52" i="9"/>
  <c r="V44" i="9"/>
  <c r="V36" i="9"/>
  <c r="V24" i="9"/>
  <c r="Z12" i="9"/>
  <c r="V67" i="9"/>
  <c r="V55" i="9"/>
  <c r="V47" i="9"/>
  <c r="V39" i="9"/>
  <c r="V35" i="9"/>
  <c r="V23" i="9"/>
  <c r="X12" i="9"/>
  <c r="V94" i="9"/>
  <c r="V88" i="9"/>
  <c r="V78" i="9"/>
  <c r="V66" i="9"/>
  <c r="V62" i="9"/>
  <c r="V58" i="9"/>
  <c r="V46" i="9"/>
  <c r="V38" i="9"/>
  <c r="V34" i="9"/>
  <c r="V30" i="9"/>
  <c r="V81" i="9"/>
  <c r="V77" i="9"/>
  <c r="V69" i="9"/>
  <c r="V65" i="9"/>
  <c r="V61" i="9"/>
  <c r="V57" i="9"/>
  <c r="V49" i="9"/>
  <c r="V41" i="9"/>
  <c r="V33" i="9"/>
  <c r="V29" i="9"/>
  <c r="V21" i="9"/>
  <c r="T16" i="9"/>
  <c r="V80" i="9"/>
  <c r="V76" i="9"/>
  <c r="V72" i="9"/>
  <c r="V68" i="9"/>
  <c r="V64" i="9"/>
  <c r="V60" i="9"/>
  <c r="V48" i="9"/>
  <c r="V40" i="9"/>
  <c r="V32" i="9"/>
  <c r="V28" i="9"/>
  <c r="V20" i="9"/>
  <c r="V83" i="9"/>
  <c r="V79" i="9"/>
  <c r="V75" i="9"/>
  <c r="V71" i="9"/>
  <c r="V63" i="9"/>
  <c r="V59" i="9"/>
  <c r="V51" i="9"/>
  <c r="V43" i="9"/>
  <c r="V31" i="9"/>
  <c r="V27" i="9"/>
  <c r="V19" i="9"/>
  <c r="Z31" i="9"/>
  <c r="X31" i="9"/>
  <c r="V50" i="9"/>
  <c r="J66" i="9"/>
  <c r="V74" i="9"/>
  <c r="J84" i="9"/>
  <c r="D12" i="12"/>
  <c r="L21" i="12"/>
  <c r="N21" i="12" s="1"/>
  <c r="Z56" i="12"/>
  <c r="Z65" i="12"/>
  <c r="N186" i="15"/>
  <c r="L186" i="15"/>
  <c r="L12" i="4"/>
  <c r="F15" i="4"/>
  <c r="D18" i="4"/>
  <c r="F25" i="4"/>
  <c r="F29" i="4"/>
  <c r="F33" i="4"/>
  <c r="F36" i="4"/>
  <c r="J16" i="5"/>
  <c r="J20" i="5"/>
  <c r="V22" i="5"/>
  <c r="V14" i="6"/>
  <c r="V18" i="6"/>
  <c r="V22" i="6"/>
  <c r="V24" i="6"/>
  <c r="V28" i="6"/>
  <c r="V31" i="6"/>
  <c r="J22" i="7"/>
  <c r="R24" i="7"/>
  <c r="L12" i="8"/>
  <c r="F15" i="8"/>
  <c r="D18" i="8"/>
  <c r="F25" i="8"/>
  <c r="F29" i="8"/>
  <c r="F33" i="8"/>
  <c r="F36" i="8"/>
  <c r="X14" i="9"/>
  <c r="F24" i="9"/>
  <c r="F31" i="9"/>
  <c r="F36" i="9"/>
  <c r="F56" i="9"/>
  <c r="F59" i="9"/>
  <c r="F63" i="9"/>
  <c r="R72" i="9"/>
  <c r="R76" i="9"/>
  <c r="F79" i="9"/>
  <c r="R80" i="9"/>
  <c r="F21" i="10"/>
  <c r="V21" i="10"/>
  <c r="R27" i="10"/>
  <c r="R31" i="10"/>
  <c r="R34" i="10"/>
  <c r="N12" i="11"/>
  <c r="J22" i="11"/>
  <c r="R24" i="11"/>
  <c r="L13" i="12"/>
  <c r="N13" i="12" s="1"/>
  <c r="Z172" i="12"/>
  <c r="N190" i="12"/>
  <c r="L190" i="12"/>
  <c r="L228" i="12"/>
  <c r="L15" i="13"/>
  <c r="X21" i="13"/>
  <c r="N34" i="13"/>
  <c r="L34" i="13"/>
  <c r="N13" i="14"/>
  <c r="L13" i="14"/>
  <c r="L13" i="15"/>
  <c r="N13" i="15" s="1"/>
  <c r="H12" i="15"/>
  <c r="N21" i="15"/>
  <c r="L21" i="15"/>
  <c r="L29" i="15"/>
  <c r="N29" i="15" s="1"/>
  <c r="N37" i="15"/>
  <c r="L37" i="15"/>
  <c r="L45" i="15"/>
  <c r="N45" i="15" s="1"/>
  <c r="N53" i="15"/>
  <c r="L53" i="15"/>
  <c r="N57" i="15"/>
  <c r="N61" i="15"/>
  <c r="L61" i="15"/>
  <c r="N65" i="15"/>
  <c r="L69" i="15"/>
  <c r="N69" i="15" s="1"/>
  <c r="N77" i="15"/>
  <c r="L77" i="15"/>
  <c r="Z83" i="15"/>
  <c r="N181" i="15"/>
  <c r="N190" i="15"/>
  <c r="L190" i="15"/>
  <c r="L222" i="15"/>
  <c r="N222" i="15" s="1"/>
  <c r="X16" i="16"/>
  <c r="Z25" i="16"/>
  <c r="X25" i="16"/>
  <c r="X33" i="16"/>
  <c r="X16" i="17"/>
  <c r="Z16" i="17"/>
  <c r="N84" i="18"/>
  <c r="L84" i="18"/>
  <c r="N88" i="18"/>
  <c r="L88" i="18"/>
  <c r="N22" i="19"/>
  <c r="L22" i="19"/>
  <c r="J111" i="25"/>
  <c r="J105" i="25"/>
  <c r="J101" i="25"/>
  <c r="J97" i="25"/>
  <c r="J73" i="25"/>
  <c r="J69" i="25"/>
  <c r="J61" i="25"/>
  <c r="J57" i="25"/>
  <c r="J49" i="25"/>
  <c r="J41" i="25"/>
  <c r="J116" i="25"/>
  <c r="J108" i="25"/>
  <c r="J104" i="25"/>
  <c r="J94" i="25"/>
  <c r="J88" i="25"/>
  <c r="J82" i="25"/>
  <c r="J68" i="25"/>
  <c r="J62" i="25"/>
  <c r="J56" i="25"/>
  <c r="J48" i="25"/>
  <c r="J107" i="25"/>
  <c r="J91" i="25"/>
  <c r="J85" i="25"/>
  <c r="J79" i="25"/>
  <c r="J67" i="25"/>
  <c r="J55" i="25"/>
  <c r="J47" i="25"/>
  <c r="J117" i="25"/>
  <c r="J103" i="25"/>
  <c r="J93" i="25"/>
  <c r="J87" i="25"/>
  <c r="J81" i="25"/>
  <c r="J77" i="25"/>
  <c r="J65" i="25"/>
  <c r="J53" i="25"/>
  <c r="J45" i="25"/>
  <c r="J112" i="25"/>
  <c r="J106" i="25"/>
  <c r="J84" i="25"/>
  <c r="J76" i="25"/>
  <c r="J64" i="25"/>
  <c r="J52" i="25"/>
  <c r="J44" i="25"/>
  <c r="J121" i="25"/>
  <c r="J115" i="25"/>
  <c r="J109" i="25"/>
  <c r="J99" i="25"/>
  <c r="J95" i="25"/>
  <c r="J89" i="25"/>
  <c r="J83" i="25"/>
  <c r="J75" i="25"/>
  <c r="J71" i="25"/>
  <c r="J63" i="25"/>
  <c r="J51" i="25"/>
  <c r="J43" i="25"/>
  <c r="J86" i="25"/>
  <c r="J72" i="25"/>
  <c r="J66" i="25"/>
  <c r="J90" i="25"/>
  <c r="J40" i="25"/>
  <c r="J78" i="25"/>
  <c r="J54" i="25"/>
  <c r="J46" i="25"/>
  <c r="J98" i="25"/>
  <c r="J92" i="25"/>
  <c r="J102" i="25"/>
  <c r="J70" i="25"/>
  <c r="J110" i="25"/>
  <c r="J100" i="25"/>
  <c r="J80" i="25"/>
  <c r="J74" i="25"/>
  <c r="J50" i="25"/>
  <c r="J42" i="25"/>
  <c r="H59" i="25"/>
  <c r="J59" i="25" s="1"/>
  <c r="J96" i="25"/>
  <c r="X24" i="25"/>
  <c r="Z24" i="25" s="1"/>
  <c r="T12" i="25"/>
  <c r="N28" i="25"/>
  <c r="L28" i="25"/>
  <c r="V36" i="5"/>
  <c r="R27" i="7"/>
  <c r="R31" i="7"/>
  <c r="R34" i="7"/>
  <c r="F53" i="9"/>
  <c r="F68" i="9"/>
  <c r="F85" i="9"/>
  <c r="V24" i="10"/>
  <c r="R27" i="11"/>
  <c r="R31" i="11"/>
  <c r="R34" i="11"/>
  <c r="P12" i="12"/>
  <c r="N135" i="12"/>
  <c r="N15" i="13"/>
  <c r="H18" i="13"/>
  <c r="P12" i="15"/>
  <c r="V34" i="16"/>
  <c r="F20" i="17"/>
  <c r="F16" i="17"/>
  <c r="F21" i="17"/>
  <c r="F36" i="17"/>
  <c r="F34" i="17"/>
  <c r="F29" i="17"/>
  <c r="F18" i="17"/>
  <c r="F33" i="17"/>
  <c r="D18" i="17"/>
  <c r="L12" i="17"/>
  <c r="F24" i="17"/>
  <c r="F22" i="17"/>
  <c r="F15" i="17"/>
  <c r="F27" i="17"/>
  <c r="T12" i="18"/>
  <c r="J34" i="24"/>
  <c r="J31" i="24"/>
  <c r="J27" i="24"/>
  <c r="J24" i="24"/>
  <c r="J21" i="24"/>
  <c r="J36" i="24"/>
  <c r="J33" i="24"/>
  <c r="J29" i="24"/>
  <c r="J25" i="24"/>
  <c r="H18" i="24"/>
  <c r="J15" i="24"/>
  <c r="J22" i="24"/>
  <c r="N12" i="24"/>
  <c r="J18" i="24"/>
  <c r="J16" i="24"/>
  <c r="J20" i="24"/>
  <c r="L12" i="24"/>
  <c r="N48" i="28"/>
  <c r="L48" i="28"/>
  <c r="F21" i="4"/>
  <c r="R27" i="4"/>
  <c r="R31" i="4"/>
  <c r="R34" i="4"/>
  <c r="N12" i="5"/>
  <c r="V18" i="5"/>
  <c r="J22" i="5"/>
  <c r="N12" i="6"/>
  <c r="J14" i="6"/>
  <c r="J18" i="6"/>
  <c r="J22" i="6"/>
  <c r="J28" i="6"/>
  <c r="J31" i="6"/>
  <c r="R16" i="7"/>
  <c r="J18" i="7"/>
  <c r="R20" i="7"/>
  <c r="F21" i="8"/>
  <c r="R27" i="8"/>
  <c r="R31" i="8"/>
  <c r="R34" i="8"/>
  <c r="D16" i="9"/>
  <c r="R22" i="9"/>
  <c r="F26" i="9"/>
  <c r="R30" i="9"/>
  <c r="R34" i="9"/>
  <c r="F54" i="9"/>
  <c r="R55" i="9"/>
  <c r="F57" i="9"/>
  <c r="R58" i="9"/>
  <c r="R62" i="9"/>
  <c r="R66" i="9"/>
  <c r="F74" i="9"/>
  <c r="R78" i="9"/>
  <c r="F86" i="9"/>
  <c r="F92" i="9"/>
  <c r="X12" i="10"/>
  <c r="J21" i="10"/>
  <c r="F27" i="10"/>
  <c r="V27" i="10"/>
  <c r="F31" i="10"/>
  <c r="V31" i="10"/>
  <c r="F34" i="10"/>
  <c r="V34" i="10"/>
  <c r="R16" i="11"/>
  <c r="J18" i="11"/>
  <c r="R20" i="11"/>
  <c r="T12" i="12"/>
  <c r="L66" i="12"/>
  <c r="L74" i="12"/>
  <c r="N74" i="12" s="1"/>
  <c r="L82" i="12"/>
  <c r="N82" i="12" s="1"/>
  <c r="N157" i="12"/>
  <c r="N174" i="12"/>
  <c r="N181" i="12"/>
  <c r="Z195" i="12"/>
  <c r="Z199" i="12"/>
  <c r="X216" i="12"/>
  <c r="L230" i="12"/>
  <c r="N230" i="12" s="1"/>
  <c r="X232" i="12"/>
  <c r="Z232" i="12" s="1"/>
  <c r="L29" i="13"/>
  <c r="Z20" i="14"/>
  <c r="X20" i="14"/>
  <c r="T12" i="15"/>
  <c r="X17" i="15"/>
  <c r="Z17" i="15" s="1"/>
  <c r="Z21" i="15"/>
  <c r="X25" i="15"/>
  <c r="Z25" i="15" s="1"/>
  <c r="Z29" i="15"/>
  <c r="Z33" i="15"/>
  <c r="X33" i="15"/>
  <c r="Z37" i="15"/>
  <c r="X41" i="15"/>
  <c r="Z41" i="15" s="1"/>
  <c r="Z45" i="15"/>
  <c r="X49" i="15"/>
  <c r="Z49" i="15" s="1"/>
  <c r="Z53" i="15"/>
  <c r="Z57" i="15"/>
  <c r="X57" i="15"/>
  <c r="Z61" i="15"/>
  <c r="Z65" i="15"/>
  <c r="X65" i="15"/>
  <c r="Z69" i="15"/>
  <c r="Z73" i="15"/>
  <c r="X73" i="15"/>
  <c r="Z77" i="15"/>
  <c r="Z81" i="15"/>
  <c r="X81" i="15"/>
  <c r="N128" i="15"/>
  <c r="Z172" i="15"/>
  <c r="N174" i="15"/>
  <c r="Z211" i="15"/>
  <c r="Z222" i="15"/>
  <c r="X222" i="15"/>
  <c r="L80" i="18"/>
  <c r="N80" i="18" s="1"/>
  <c r="P242" i="18"/>
  <c r="X243" i="18"/>
  <c r="Z243" i="18" s="1"/>
  <c r="N13" i="19"/>
  <c r="L13" i="19"/>
  <c r="J46" i="21"/>
  <c r="Z216" i="12"/>
  <c r="N170" i="15"/>
  <c r="L170" i="15"/>
  <c r="Z15" i="16"/>
  <c r="X15" i="16"/>
  <c r="F27" i="4"/>
  <c r="F31" i="4"/>
  <c r="F34" i="4"/>
  <c r="J18" i="5"/>
  <c r="V24" i="5"/>
  <c r="V16" i="6"/>
  <c r="V20" i="6"/>
  <c r="J24" i="6"/>
  <c r="V26" i="6"/>
  <c r="V29" i="6"/>
  <c r="R22" i="7"/>
  <c r="J24" i="7"/>
  <c r="F27" i="8"/>
  <c r="F31" i="8"/>
  <c r="F34" i="8"/>
  <c r="F28" i="9"/>
  <c r="F32" i="9"/>
  <c r="F55" i="9"/>
  <c r="F60" i="9"/>
  <c r="F64" i="9"/>
  <c r="F72" i="9"/>
  <c r="R73" i="9"/>
  <c r="F76" i="9"/>
  <c r="F80" i="9"/>
  <c r="R15" i="10"/>
  <c r="P18" i="10"/>
  <c r="R25" i="10"/>
  <c r="R29" i="10"/>
  <c r="R33" i="10"/>
  <c r="R36" i="10"/>
  <c r="X13" i="11"/>
  <c r="R22" i="11"/>
  <c r="J24" i="11"/>
  <c r="X13" i="12"/>
  <c r="Z13" i="12" s="1"/>
  <c r="L17" i="12"/>
  <c r="X21" i="12"/>
  <c r="Z21" i="12" s="1"/>
  <c r="L25" i="12"/>
  <c r="X29" i="12"/>
  <c r="Z29" i="12" s="1"/>
  <c r="L33" i="12"/>
  <c r="X37" i="12"/>
  <c r="Z37" i="12" s="1"/>
  <c r="L41" i="12"/>
  <c r="X45" i="12"/>
  <c r="Z45" i="12" s="1"/>
  <c r="L49" i="12"/>
  <c r="X53" i="12"/>
  <c r="Z53" i="12" s="1"/>
  <c r="L57" i="12"/>
  <c r="N57" i="12" s="1"/>
  <c r="X61" i="12"/>
  <c r="L65" i="12"/>
  <c r="N65" i="12" s="1"/>
  <c r="L69" i="12"/>
  <c r="N69" i="12" s="1"/>
  <c r="L70" i="12"/>
  <c r="N70" i="12" s="1"/>
  <c r="L73" i="12"/>
  <c r="N73" i="12" s="1"/>
  <c r="L77" i="12"/>
  <c r="L78" i="12"/>
  <c r="L81" i="12"/>
  <c r="N81" i="12" s="1"/>
  <c r="L85" i="12"/>
  <c r="L86" i="12"/>
  <c r="Z147" i="12"/>
  <c r="T228" i="12"/>
  <c r="Z230" i="12"/>
  <c r="X230" i="12"/>
  <c r="Z16" i="14"/>
  <c r="X16" i="14"/>
  <c r="L14" i="15"/>
  <c r="D12" i="15"/>
  <c r="Z148" i="15"/>
  <c r="N150" i="15"/>
  <c r="Z167" i="15"/>
  <c r="L198" i="15"/>
  <c r="N198" i="15" s="1"/>
  <c r="J34" i="16"/>
  <c r="J31" i="16"/>
  <c r="J27" i="16"/>
  <c r="J18" i="16"/>
  <c r="J24" i="16"/>
  <c r="J33" i="16"/>
  <c r="J20" i="16"/>
  <c r="J29" i="16"/>
  <c r="J15" i="16"/>
  <c r="H18" i="16"/>
  <c r="N12" i="16"/>
  <c r="J36" i="16"/>
  <c r="J25" i="16"/>
  <c r="N15" i="17"/>
  <c r="L15" i="17"/>
  <c r="F25" i="17"/>
  <c r="L76" i="18"/>
  <c r="N76" i="18" s="1"/>
  <c r="N152" i="18"/>
  <c r="J95" i="21"/>
  <c r="J91" i="21"/>
  <c r="J83" i="21"/>
  <c r="J79" i="21"/>
  <c r="J75" i="21"/>
  <c r="J90" i="21"/>
  <c r="J74" i="21"/>
  <c r="J68" i="21"/>
  <c r="J87" i="21"/>
  <c r="J81" i="21"/>
  <c r="J65" i="21"/>
  <c r="J78" i="21"/>
  <c r="J73" i="21"/>
  <c r="J63" i="21"/>
  <c r="J57" i="21"/>
  <c r="J49" i="21"/>
  <c r="J43" i="21"/>
  <c r="J37" i="21"/>
  <c r="J69" i="21"/>
  <c r="J60" i="21"/>
  <c r="J54" i="21"/>
  <c r="J48" i="21"/>
  <c r="J36" i="21"/>
  <c r="J82" i="21"/>
  <c r="J80" i="21"/>
  <c r="J51" i="21"/>
  <c r="J47" i="21"/>
  <c r="J35" i="21"/>
  <c r="J25" i="21"/>
  <c r="J99" i="21"/>
  <c r="J89" i="21"/>
  <c r="J84" i="21"/>
  <c r="J67" i="21"/>
  <c r="J59" i="21"/>
  <c r="J53" i="21"/>
  <c r="J45" i="21"/>
  <c r="J41" i="21"/>
  <c r="H30" i="21"/>
  <c r="J88" i="21"/>
  <c r="J85" i="21"/>
  <c r="J50" i="21"/>
  <c r="J44" i="21"/>
  <c r="J40" i="21"/>
  <c r="J32" i="21"/>
  <c r="J28" i="21"/>
  <c r="J86" i="21"/>
  <c r="J71" i="21"/>
  <c r="J66" i="21"/>
  <c r="J61" i="21"/>
  <c r="J55" i="21"/>
  <c r="J39" i="21"/>
  <c r="J33" i="21"/>
  <c r="J27" i="21"/>
  <c r="J93" i="21"/>
  <c r="J38" i="21"/>
  <c r="J52" i="21"/>
  <c r="J76" i="21"/>
  <c r="J26" i="21"/>
  <c r="J70" i="21"/>
  <c r="J62" i="21"/>
  <c r="J58" i="21"/>
  <c r="J92" i="21"/>
  <c r="J77" i="21"/>
  <c r="D18" i="29"/>
  <c r="L15" i="29"/>
  <c r="F16" i="4"/>
  <c r="J21" i="5"/>
  <c r="V27" i="5"/>
  <c r="V31" i="5"/>
  <c r="V34" i="5"/>
  <c r="H16" i="6"/>
  <c r="R15" i="7"/>
  <c r="P18" i="7"/>
  <c r="R25" i="7"/>
  <c r="J27" i="7"/>
  <c r="R29" i="7"/>
  <c r="J31" i="7"/>
  <c r="R33" i="7"/>
  <c r="J34" i="7"/>
  <c r="R36" i="7"/>
  <c r="F16" i="8"/>
  <c r="R14" i="9"/>
  <c r="F21" i="9"/>
  <c r="R25" i="9"/>
  <c r="F29" i="9"/>
  <c r="F33" i="9"/>
  <c r="R37" i="9"/>
  <c r="F41" i="9"/>
  <c r="R42" i="9"/>
  <c r="F44" i="9"/>
  <c r="R45" i="9"/>
  <c r="F49" i="9"/>
  <c r="R50" i="9"/>
  <c r="F52" i="9"/>
  <c r="R53" i="9"/>
  <c r="F61" i="9"/>
  <c r="F65" i="9"/>
  <c r="F69" i="9"/>
  <c r="R70" i="9"/>
  <c r="F77" i="9"/>
  <c r="F81" i="9"/>
  <c r="R82" i="9"/>
  <c r="F84" i="9"/>
  <c r="R85" i="9"/>
  <c r="R90" i="9"/>
  <c r="R97" i="9"/>
  <c r="J16" i="10"/>
  <c r="R18" i="10"/>
  <c r="F22" i="10"/>
  <c r="V22" i="10"/>
  <c r="R15" i="11"/>
  <c r="P18" i="11"/>
  <c r="R25" i="11"/>
  <c r="J27" i="11"/>
  <c r="R29" i="11"/>
  <c r="J31" i="11"/>
  <c r="R33" i="11"/>
  <c r="J34" i="11"/>
  <c r="R36" i="11"/>
  <c r="X67" i="12"/>
  <c r="Z67" i="12" s="1"/>
  <c r="X70" i="12"/>
  <c r="Z70" i="12" s="1"/>
  <c r="X75" i="12"/>
  <c r="Z75" i="12" s="1"/>
  <c r="X78" i="12"/>
  <c r="X83" i="12"/>
  <c r="Z83" i="12" s="1"/>
  <c r="X86" i="12"/>
  <c r="Z135" i="12"/>
  <c r="X136" i="12"/>
  <c r="Z136" i="12" s="1"/>
  <c r="Z208" i="12"/>
  <c r="X208" i="12"/>
  <c r="L25" i="13"/>
  <c r="N14" i="15"/>
  <c r="N18" i="15"/>
  <c r="N22" i="15"/>
  <c r="N26" i="15"/>
  <c r="N30" i="15"/>
  <c r="N34" i="15"/>
  <c r="N50" i="15"/>
  <c r="N54" i="15"/>
  <c r="N62" i="15"/>
  <c r="N70" i="15"/>
  <c r="N74" i="15"/>
  <c r="N78" i="15"/>
  <c r="Z128" i="15"/>
  <c r="X140" i="15"/>
  <c r="Z140" i="15" s="1"/>
  <c r="N158" i="15"/>
  <c r="L158" i="15"/>
  <c r="Z195" i="15"/>
  <c r="N223" i="15"/>
  <c r="V18" i="16"/>
  <c r="J21" i="16"/>
  <c r="F31" i="17"/>
  <c r="Z33" i="17"/>
  <c r="X33" i="17"/>
  <c r="L32" i="18"/>
  <c r="N32" i="18" s="1"/>
  <c r="L48" i="18"/>
  <c r="N48" i="18" s="1"/>
  <c r="N72" i="18"/>
  <c r="L72" i="18"/>
  <c r="Z16" i="21"/>
  <c r="X16" i="21"/>
  <c r="T12" i="21"/>
  <c r="J30" i="21"/>
  <c r="J34" i="21"/>
  <c r="N22" i="22"/>
  <c r="L22" i="22"/>
  <c r="Z12" i="5"/>
  <c r="V16" i="5"/>
  <c r="J16" i="6"/>
  <c r="J20" i="6"/>
  <c r="J26" i="6"/>
  <c r="J16" i="7"/>
  <c r="F22" i="9"/>
  <c r="F30" i="9"/>
  <c r="F34" i="9"/>
  <c r="F58" i="9"/>
  <c r="F62" i="9"/>
  <c r="R63" i="9"/>
  <c r="F66" i="9"/>
  <c r="F73" i="9"/>
  <c r="R74" i="9"/>
  <c r="R79" i="9"/>
  <c r="R86" i="9"/>
  <c r="L12" i="10"/>
  <c r="F15" i="10"/>
  <c r="V15" i="10"/>
  <c r="D18" i="10"/>
  <c r="T18" i="10"/>
  <c r="F25" i="10"/>
  <c r="V25" i="10"/>
  <c r="F29" i="10"/>
  <c r="V29" i="10"/>
  <c r="F33" i="10"/>
  <c r="V33" i="10"/>
  <c r="J16" i="11"/>
  <c r="Z66" i="12"/>
  <c r="Z74" i="12"/>
  <c r="Z82" i="12"/>
  <c r="X155" i="12"/>
  <c r="Z155" i="12" s="1"/>
  <c r="L162" i="12"/>
  <c r="N162" i="12" s="1"/>
  <c r="Z168" i="12"/>
  <c r="X168" i="12"/>
  <c r="L232" i="12"/>
  <c r="N232" i="12" s="1"/>
  <c r="N24" i="14"/>
  <c r="L24" i="14"/>
  <c r="L206" i="15"/>
  <c r="N206" i="15" s="1"/>
  <c r="V24" i="16"/>
  <c r="V29" i="16"/>
  <c r="T18" i="16"/>
  <c r="V27" i="16"/>
  <c r="V21" i="16"/>
  <c r="Z12" i="16"/>
  <c r="V36" i="16"/>
  <c r="V25" i="16"/>
  <c r="V16" i="16"/>
  <c r="X12" i="16"/>
  <c r="V20" i="16"/>
  <c r="V33" i="16"/>
  <c r="V22" i="16"/>
  <c r="V15" i="16"/>
  <c r="L20" i="16"/>
  <c r="N24" i="18"/>
  <c r="L24" i="18"/>
  <c r="L40" i="18"/>
  <c r="N40" i="18" s="1"/>
  <c r="L92" i="18"/>
  <c r="N92" i="18" s="1"/>
  <c r="D12" i="21"/>
  <c r="L13" i="21"/>
  <c r="R15" i="13"/>
  <c r="P18" i="13"/>
  <c r="R25" i="13"/>
  <c r="R29" i="13"/>
  <c r="R33" i="13"/>
  <c r="R36" i="13"/>
  <c r="Z12" i="14"/>
  <c r="V16" i="14"/>
  <c r="V20" i="14"/>
  <c r="X13" i="15"/>
  <c r="Z13" i="15" s="1"/>
  <c r="L12" i="16"/>
  <c r="F15" i="16"/>
  <c r="F18" i="16"/>
  <c r="F29" i="16"/>
  <c r="V20" i="17"/>
  <c r="V16" i="17"/>
  <c r="Z12" i="17"/>
  <c r="V21" i="17"/>
  <c r="J20" i="17"/>
  <c r="V22" i="17"/>
  <c r="X20" i="18"/>
  <c r="Z20" i="18" s="1"/>
  <c r="X36" i="18"/>
  <c r="Z36" i="18" s="1"/>
  <c r="X52" i="18"/>
  <c r="Z52" i="18" s="1"/>
  <c r="Z56" i="18"/>
  <c r="X56" i="18"/>
  <c r="X60" i="18"/>
  <c r="Z60" i="18" s="1"/>
  <c r="X64" i="18"/>
  <c r="Z64" i="18" s="1"/>
  <c r="X68" i="18"/>
  <c r="Z68" i="18" s="1"/>
  <c r="N96" i="18"/>
  <c r="L96" i="18"/>
  <c r="Z219" i="18"/>
  <c r="L242" i="18"/>
  <c r="N246" i="18"/>
  <c r="V20" i="20"/>
  <c r="V16" i="20"/>
  <c r="Z12" i="20"/>
  <c r="V34" i="20"/>
  <c r="V31" i="20"/>
  <c r="V27" i="20"/>
  <c r="X12" i="20"/>
  <c r="V21" i="20"/>
  <c r="V18" i="20"/>
  <c r="V36" i="20"/>
  <c r="V33" i="20"/>
  <c r="V29" i="20"/>
  <c r="V25" i="20"/>
  <c r="T18" i="20"/>
  <c r="V15" i="20"/>
  <c r="J16" i="20"/>
  <c r="V22" i="20"/>
  <c r="V24" i="20"/>
  <c r="Z20" i="21"/>
  <c r="X20" i="21"/>
  <c r="Z65" i="21"/>
  <c r="N89" i="34"/>
  <c r="L89" i="34"/>
  <c r="J16" i="13"/>
  <c r="R18" i="13"/>
  <c r="J20" i="13"/>
  <c r="F22" i="13"/>
  <c r="J31" i="14"/>
  <c r="R33" i="14"/>
  <c r="J34" i="14"/>
  <c r="R36" i="14"/>
  <c r="P218" i="15"/>
  <c r="X218" i="15" s="1"/>
  <c r="Z218" i="15" s="1"/>
  <c r="F22" i="16"/>
  <c r="F31" i="16"/>
  <c r="L33" i="16"/>
  <c r="X12" i="17"/>
  <c r="V15" i="17"/>
  <c r="L22" i="17"/>
  <c r="Z24" i="18"/>
  <c r="Z29" i="18"/>
  <c r="N33" i="18"/>
  <c r="Z45" i="18"/>
  <c r="Z72" i="18"/>
  <c r="X72" i="18"/>
  <c r="Z76" i="18"/>
  <c r="X76" i="18"/>
  <c r="X80" i="18"/>
  <c r="Z80" i="18" s="1"/>
  <c r="X84" i="18"/>
  <c r="Z84" i="18" s="1"/>
  <c r="Z88" i="18"/>
  <c r="X88" i="18"/>
  <c r="Z92" i="18"/>
  <c r="X92" i="18"/>
  <c r="N153" i="18"/>
  <c r="L153" i="18"/>
  <c r="L177" i="18"/>
  <c r="N177" i="18" s="1"/>
  <c r="Z249" i="18"/>
  <c r="X13" i="21"/>
  <c r="P12" i="21"/>
  <c r="L12" i="13"/>
  <c r="F15" i="13"/>
  <c r="V15" i="13"/>
  <c r="D18" i="13"/>
  <c r="T18" i="13"/>
  <c r="R21" i="13"/>
  <c r="F25" i="13"/>
  <c r="V25" i="13"/>
  <c r="F29" i="13"/>
  <c r="V29" i="13"/>
  <c r="F33" i="13"/>
  <c r="V33" i="13"/>
  <c r="F36" i="13"/>
  <c r="V36" i="13"/>
  <c r="J16" i="14"/>
  <c r="R18" i="14"/>
  <c r="J20" i="14"/>
  <c r="F22" i="14"/>
  <c r="V22" i="14"/>
  <c r="R36" i="16"/>
  <c r="R33" i="16"/>
  <c r="R29" i="16"/>
  <c r="R25" i="16"/>
  <c r="R20" i="16"/>
  <c r="R16" i="16"/>
  <c r="F20" i="16"/>
  <c r="X21" i="16"/>
  <c r="F33" i="16"/>
  <c r="X15" i="17"/>
  <c r="V24" i="17"/>
  <c r="X34" i="17"/>
  <c r="N16" i="18"/>
  <c r="X17" i="18"/>
  <c r="Z17" i="18" s="1"/>
  <c r="L21" i="18"/>
  <c r="N21" i="18" s="1"/>
  <c r="X24" i="18"/>
  <c r="L28" i="18"/>
  <c r="N28" i="18" s="1"/>
  <c r="X33" i="18"/>
  <c r="Z33" i="18" s="1"/>
  <c r="L37" i="18"/>
  <c r="N37" i="18" s="1"/>
  <c r="X40" i="18"/>
  <c r="Z40" i="18" s="1"/>
  <c r="L44" i="18"/>
  <c r="X49" i="18"/>
  <c r="Z49" i="18" s="1"/>
  <c r="L53" i="18"/>
  <c r="N53" i="18" s="1"/>
  <c r="Z96" i="18"/>
  <c r="X96" i="18"/>
  <c r="X152" i="18"/>
  <c r="Z152" i="18" s="1"/>
  <c r="N172" i="18"/>
  <c r="N233" i="18"/>
  <c r="L233" i="18"/>
  <c r="Z235" i="18"/>
  <c r="N243" i="18"/>
  <c r="H242" i="18"/>
  <c r="L243" i="18"/>
  <c r="L245" i="18"/>
  <c r="Z248" i="18"/>
  <c r="L24" i="19"/>
  <c r="Z25" i="20"/>
  <c r="X25" i="20"/>
  <c r="N33" i="21"/>
  <c r="L33" i="21"/>
  <c r="N20" i="22"/>
  <c r="L20" i="22"/>
  <c r="X24" i="28"/>
  <c r="Z24" i="28" s="1"/>
  <c r="T12" i="28"/>
  <c r="L28" i="28"/>
  <c r="N28" i="28" s="1"/>
  <c r="H12" i="28"/>
  <c r="R27" i="13"/>
  <c r="R31" i="13"/>
  <c r="R34" i="13"/>
  <c r="F34" i="16"/>
  <c r="J34" i="17"/>
  <c r="J31" i="17"/>
  <c r="J27" i="17"/>
  <c r="J24" i="17"/>
  <c r="J36" i="17"/>
  <c r="J33" i="17"/>
  <c r="J29" i="17"/>
  <c r="J25" i="17"/>
  <c r="H18" i="17"/>
  <c r="J15" i="17"/>
  <c r="J22" i="17"/>
  <c r="Z29" i="17"/>
  <c r="X29" i="17"/>
  <c r="D12" i="18"/>
  <c r="L13" i="18"/>
  <c r="X28" i="18"/>
  <c r="Z28" i="18" s="1"/>
  <c r="X44" i="18"/>
  <c r="Z44" i="18" s="1"/>
  <c r="N73" i="18"/>
  <c r="N77" i="18"/>
  <c r="N81" i="18"/>
  <c r="N89" i="18"/>
  <c r="Z191" i="18"/>
  <c r="Z15" i="20"/>
  <c r="X15" i="20"/>
  <c r="Z29" i="20"/>
  <c r="X29" i="20"/>
  <c r="Z59" i="21"/>
  <c r="X59" i="21"/>
  <c r="N61" i="21"/>
  <c r="L61" i="21"/>
  <c r="X13" i="25"/>
  <c r="Z13" i="25" s="1"/>
  <c r="P12" i="25"/>
  <c r="R16" i="13"/>
  <c r="R20" i="13"/>
  <c r="J15" i="14"/>
  <c r="H18" i="14"/>
  <c r="V21" i="14"/>
  <c r="J25" i="14"/>
  <c r="R27" i="14"/>
  <c r="J29" i="14"/>
  <c r="R31" i="14"/>
  <c r="J33" i="14"/>
  <c r="F16" i="16"/>
  <c r="R18" i="16"/>
  <c r="F21" i="16"/>
  <c r="L25" i="16"/>
  <c r="Z25" i="17"/>
  <c r="X25" i="17"/>
  <c r="V29" i="17"/>
  <c r="N13" i="18"/>
  <c r="Z16" i="18"/>
  <c r="N20" i="18"/>
  <c r="Z21" i="18"/>
  <c r="Z32" i="18"/>
  <c r="N36" i="18"/>
  <c r="Z37" i="18"/>
  <c r="Z48" i="18"/>
  <c r="Z53" i="18"/>
  <c r="Z57" i="18"/>
  <c r="Z61" i="18"/>
  <c r="Z65" i="18"/>
  <c r="Z69" i="18"/>
  <c r="L152" i="18"/>
  <c r="L185" i="18"/>
  <c r="N201" i="18"/>
  <c r="L201" i="18"/>
  <c r="X203" i="18"/>
  <c r="L205" i="18"/>
  <c r="Z245" i="18"/>
  <c r="X245" i="18"/>
  <c r="T242" i="18"/>
  <c r="Z13" i="19"/>
  <c r="X13" i="19"/>
  <c r="N16" i="21"/>
  <c r="L16" i="21"/>
  <c r="N25" i="21"/>
  <c r="X81" i="21"/>
  <c r="N115" i="25"/>
  <c r="H114" i="25"/>
  <c r="L115" i="25"/>
  <c r="V20" i="33"/>
  <c r="V16" i="33"/>
  <c r="Z12" i="33"/>
  <c r="V34" i="33"/>
  <c r="V31" i="33"/>
  <c r="V27" i="33"/>
  <c r="X12" i="33"/>
  <c r="V21" i="33"/>
  <c r="V18" i="33"/>
  <c r="V36" i="33"/>
  <c r="V33" i="33"/>
  <c r="V29" i="33"/>
  <c r="V25" i="33"/>
  <c r="T18" i="33"/>
  <c r="V15" i="33"/>
  <c r="V24" i="33"/>
  <c r="V22" i="33"/>
  <c r="F25" i="16"/>
  <c r="F36" i="16"/>
  <c r="X13" i="17"/>
  <c r="X13" i="18"/>
  <c r="Z13" i="18" s="1"/>
  <c r="P12" i="18"/>
  <c r="X25" i="18"/>
  <c r="Z25" i="18" s="1"/>
  <c r="L29" i="18"/>
  <c r="N29" i="18" s="1"/>
  <c r="X41" i="18"/>
  <c r="Z41" i="18" s="1"/>
  <c r="L45" i="18"/>
  <c r="L56" i="18"/>
  <c r="N56" i="18" s="1"/>
  <c r="N60" i="18"/>
  <c r="L60" i="18"/>
  <c r="N64" i="18"/>
  <c r="L64" i="18"/>
  <c r="N68" i="18"/>
  <c r="L68" i="18"/>
  <c r="X179" i="18"/>
  <c r="Z179" i="18" s="1"/>
  <c r="X187" i="18"/>
  <c r="Z187" i="18" s="1"/>
  <c r="L189" i="18"/>
  <c r="N189" i="18" s="1"/>
  <c r="Z203" i="18"/>
  <c r="N205" i="18"/>
  <c r="X239" i="18"/>
  <c r="Z239" i="18" s="1"/>
  <c r="J34" i="20"/>
  <c r="J31" i="20"/>
  <c r="J27" i="20"/>
  <c r="J24" i="20"/>
  <c r="J21" i="20"/>
  <c r="J36" i="20"/>
  <c r="J33" i="20"/>
  <c r="J29" i="20"/>
  <c r="J25" i="20"/>
  <c r="H18" i="20"/>
  <c r="J15" i="20"/>
  <c r="J22" i="20"/>
  <c r="N12" i="20"/>
  <c r="L12" i="20"/>
  <c r="Z33" i="20"/>
  <c r="X33" i="20"/>
  <c r="N20" i="21"/>
  <c r="L20" i="21"/>
  <c r="X43" i="21"/>
  <c r="Z43" i="21" s="1"/>
  <c r="Z81" i="21"/>
  <c r="N12" i="19"/>
  <c r="J22" i="19"/>
  <c r="F15" i="20"/>
  <c r="D18" i="20"/>
  <c r="F25" i="20"/>
  <c r="F29" i="20"/>
  <c r="F33" i="20"/>
  <c r="F36" i="20"/>
  <c r="X67" i="21"/>
  <c r="Z67" i="21" s="1"/>
  <c r="F22" i="22"/>
  <c r="F34" i="22"/>
  <c r="F31" i="22"/>
  <c r="F27" i="22"/>
  <c r="F24" i="22"/>
  <c r="R24" i="22"/>
  <c r="R31" i="22"/>
  <c r="R34" i="22"/>
  <c r="J34" i="23"/>
  <c r="J31" i="23"/>
  <c r="J27" i="23"/>
  <c r="J24" i="23"/>
  <c r="J18" i="23"/>
  <c r="J36" i="23"/>
  <c r="J33" i="23"/>
  <c r="J29" i="23"/>
  <c r="J25" i="23"/>
  <c r="H18" i="23"/>
  <c r="J15" i="23"/>
  <c r="Z15" i="24"/>
  <c r="X15" i="24"/>
  <c r="T18" i="24"/>
  <c r="Z33" i="24"/>
  <c r="X33" i="24"/>
  <c r="N37" i="25"/>
  <c r="X87" i="25"/>
  <c r="Z87" i="25" s="1"/>
  <c r="L89" i="25"/>
  <c r="N89" i="25" s="1"/>
  <c r="Z16" i="26"/>
  <c r="X16" i="26"/>
  <c r="P12" i="28"/>
  <c r="X13" i="28"/>
  <c r="N17" i="28"/>
  <c r="X44" i="28"/>
  <c r="Z44" i="28" s="1"/>
  <c r="L52" i="28"/>
  <c r="N52" i="28" s="1"/>
  <c r="Z53" i="28"/>
  <c r="N97" i="28"/>
  <c r="L97" i="28"/>
  <c r="Z129" i="28"/>
  <c r="F36" i="30"/>
  <c r="F33" i="30"/>
  <c r="F29" i="30"/>
  <c r="F25" i="30"/>
  <c r="D18" i="30"/>
  <c r="F15" i="30"/>
  <c r="L12" i="30"/>
  <c r="F20" i="30"/>
  <c r="F16" i="30"/>
  <c r="F34" i="30"/>
  <c r="F31" i="30"/>
  <c r="F27" i="30"/>
  <c r="F24" i="30"/>
  <c r="F22" i="30"/>
  <c r="F21" i="30"/>
  <c r="F18" i="30"/>
  <c r="L16" i="31"/>
  <c r="D12" i="31"/>
  <c r="X17" i="31"/>
  <c r="Z17" i="31" s="1"/>
  <c r="P12" i="31"/>
  <c r="N16" i="40"/>
  <c r="L16" i="40"/>
  <c r="J15" i="19"/>
  <c r="H18" i="19"/>
  <c r="J25" i="19"/>
  <c r="R27" i="19"/>
  <c r="J29" i="19"/>
  <c r="R31" i="19"/>
  <c r="J33" i="19"/>
  <c r="R34" i="19"/>
  <c r="J36" i="19"/>
  <c r="F18" i="20"/>
  <c r="X63" i="21"/>
  <c r="Z63" i="21" s="1"/>
  <c r="N67" i="21"/>
  <c r="P18" i="22"/>
  <c r="N21" i="25"/>
  <c r="Z28" i="25"/>
  <c r="X28" i="25"/>
  <c r="N32" i="25"/>
  <c r="L32" i="25"/>
  <c r="Z33" i="25"/>
  <c r="X117" i="25"/>
  <c r="Z117" i="25" s="1"/>
  <c r="T114" i="25"/>
  <c r="X114" i="25" s="1"/>
  <c r="N21" i="27"/>
  <c r="L21" i="27"/>
  <c r="Z13" i="28"/>
  <c r="X28" i="28"/>
  <c r="Z28" i="28" s="1"/>
  <c r="N32" i="28"/>
  <c r="L32" i="28"/>
  <c r="Z37" i="28"/>
  <c r="N41" i="28"/>
  <c r="X48" i="28"/>
  <c r="Z48" i="28" s="1"/>
  <c r="N127" i="28"/>
  <c r="L127" i="28"/>
  <c r="Z34" i="29"/>
  <c r="X34" i="29"/>
  <c r="Z52" i="34"/>
  <c r="X52" i="34"/>
  <c r="R27" i="17"/>
  <c r="R31" i="17"/>
  <c r="R34" i="17"/>
  <c r="R16" i="19"/>
  <c r="J18" i="19"/>
  <c r="R20" i="19"/>
  <c r="F21" i="20"/>
  <c r="R27" i="20"/>
  <c r="R31" i="20"/>
  <c r="X71" i="21"/>
  <c r="Z71" i="21" s="1"/>
  <c r="Z74" i="21"/>
  <c r="L81" i="21"/>
  <c r="N88" i="21"/>
  <c r="N92" i="21"/>
  <c r="L12" i="22"/>
  <c r="N12" i="23"/>
  <c r="V20" i="24"/>
  <c r="V16" i="24"/>
  <c r="Z12" i="24"/>
  <c r="V34" i="24"/>
  <c r="V31" i="24"/>
  <c r="V27" i="24"/>
  <c r="X12" i="24"/>
  <c r="V21" i="24"/>
  <c r="V18" i="24"/>
  <c r="V22" i="24"/>
  <c r="L16" i="25"/>
  <c r="N16" i="25" s="1"/>
  <c r="Z17" i="25"/>
  <c r="N109" i="25"/>
  <c r="L109" i="25"/>
  <c r="X115" i="25"/>
  <c r="Z115" i="25" s="1"/>
  <c r="J36" i="27"/>
  <c r="J33" i="27"/>
  <c r="J29" i="27"/>
  <c r="J25" i="27"/>
  <c r="H18" i="27"/>
  <c r="J15" i="27"/>
  <c r="J22" i="27"/>
  <c r="N12" i="27"/>
  <c r="L12" i="27"/>
  <c r="J34" i="27"/>
  <c r="J31" i="27"/>
  <c r="J27" i="27"/>
  <c r="J24" i="27"/>
  <c r="J21" i="27"/>
  <c r="N36" i="28"/>
  <c r="L36" i="28"/>
  <c r="X52" i="28"/>
  <c r="Z52" i="28" s="1"/>
  <c r="L87" i="28"/>
  <c r="N87" i="28" s="1"/>
  <c r="J84" i="31"/>
  <c r="J76" i="31"/>
  <c r="J70" i="31"/>
  <c r="J64" i="31"/>
  <c r="J52" i="31"/>
  <c r="J40" i="31"/>
  <c r="J28" i="31"/>
  <c r="J75" i="31"/>
  <c r="J67" i="31"/>
  <c r="J63" i="31"/>
  <c r="J57" i="31"/>
  <c r="J49" i="31"/>
  <c r="J39" i="31"/>
  <c r="J88" i="31"/>
  <c r="J82" i="31"/>
  <c r="J78" i="31"/>
  <c r="J74" i="31"/>
  <c r="J80" i="31"/>
  <c r="J72" i="31"/>
  <c r="J66" i="31"/>
  <c r="J62" i="31"/>
  <c r="J56" i="31"/>
  <c r="J48" i="31"/>
  <c r="J36" i="31"/>
  <c r="J83" i="31"/>
  <c r="J77" i="31"/>
  <c r="J71" i="31"/>
  <c r="J59" i="31"/>
  <c r="J53" i="31"/>
  <c r="J47" i="31"/>
  <c r="J43" i="31"/>
  <c r="H32" i="31"/>
  <c r="J68" i="31"/>
  <c r="J58" i="31"/>
  <c r="J50" i="31"/>
  <c r="J46" i="31"/>
  <c r="J42" i="31"/>
  <c r="J34" i="31"/>
  <c r="J30" i="31"/>
  <c r="J65" i="31"/>
  <c r="J61" i="31"/>
  <c r="J55" i="31"/>
  <c r="J44" i="31"/>
  <c r="J54" i="31"/>
  <c r="J29" i="31"/>
  <c r="J73" i="31"/>
  <c r="J45" i="31"/>
  <c r="J37" i="31"/>
  <c r="J51" i="31"/>
  <c r="J41" i="31"/>
  <c r="J38" i="31"/>
  <c r="J79" i="31"/>
  <c r="J60" i="31"/>
  <c r="J35" i="31"/>
  <c r="J27" i="31"/>
  <c r="X35" i="31"/>
  <c r="Z35" i="31"/>
  <c r="L49" i="31"/>
  <c r="N49" i="31"/>
  <c r="Z48" i="34"/>
  <c r="Z29" i="24"/>
  <c r="X29" i="24"/>
  <c r="X32" i="25"/>
  <c r="Z32" i="25" s="1"/>
  <c r="L36" i="25"/>
  <c r="N36" i="25" s="1"/>
  <c r="X103" i="25"/>
  <c r="Z103" i="25" s="1"/>
  <c r="Z34" i="27"/>
  <c r="X34" i="27"/>
  <c r="L16" i="28"/>
  <c r="N16" i="28" s="1"/>
  <c r="Z32" i="28"/>
  <c r="X32" i="28"/>
  <c r="L57" i="28"/>
  <c r="N57" i="28" s="1"/>
  <c r="X44" i="34"/>
  <c r="Z44" i="34" s="1"/>
  <c r="J24" i="19"/>
  <c r="F27" i="20"/>
  <c r="F31" i="20"/>
  <c r="F34" i="20"/>
  <c r="R18" i="22"/>
  <c r="R36" i="22"/>
  <c r="R33" i="22"/>
  <c r="R29" i="22"/>
  <c r="R25" i="22"/>
  <c r="X12" i="22"/>
  <c r="R20" i="22"/>
  <c r="R16" i="22"/>
  <c r="N33" i="22"/>
  <c r="L33" i="22"/>
  <c r="Z13" i="23"/>
  <c r="X13" i="23"/>
  <c r="N22" i="23"/>
  <c r="L22" i="23"/>
  <c r="X16" i="25"/>
  <c r="Z16" i="25" s="1"/>
  <c r="N20" i="25"/>
  <c r="L20" i="25"/>
  <c r="Z25" i="25"/>
  <c r="N29" i="25"/>
  <c r="N40" i="25"/>
  <c r="Z111" i="25"/>
  <c r="N13" i="26"/>
  <c r="L13" i="26"/>
  <c r="V21" i="27"/>
  <c r="V18" i="27"/>
  <c r="V36" i="27"/>
  <c r="V33" i="27"/>
  <c r="V29" i="27"/>
  <c r="V25" i="27"/>
  <c r="T18" i="27"/>
  <c r="V15" i="27"/>
  <c r="V20" i="27"/>
  <c r="V16" i="27"/>
  <c r="Z12" i="27"/>
  <c r="V34" i="27"/>
  <c r="V31" i="27"/>
  <c r="V27" i="27"/>
  <c r="X12" i="27"/>
  <c r="L20" i="28"/>
  <c r="N20" i="28" s="1"/>
  <c r="Z36" i="28"/>
  <c r="X36" i="28"/>
  <c r="N40" i="28"/>
  <c r="L40" i="28"/>
  <c r="N49" i="28"/>
  <c r="Z25" i="30"/>
  <c r="X25" i="30"/>
  <c r="X36" i="34"/>
  <c r="Z36" i="34" s="1"/>
  <c r="R15" i="19"/>
  <c r="P18" i="19"/>
  <c r="R25" i="19"/>
  <c r="J27" i="19"/>
  <c r="R29" i="19"/>
  <c r="J31" i="19"/>
  <c r="R33" i="19"/>
  <c r="J34" i="19"/>
  <c r="F16" i="20"/>
  <c r="L65" i="21"/>
  <c r="N65" i="21" s="1"/>
  <c r="R15" i="22"/>
  <c r="D18" i="22"/>
  <c r="X21" i="22"/>
  <c r="F25" i="22"/>
  <c r="N29" i="22"/>
  <c r="L29" i="22"/>
  <c r="L15" i="23"/>
  <c r="X21" i="23"/>
  <c r="J22" i="23"/>
  <c r="V36" i="24"/>
  <c r="D12" i="25"/>
  <c r="L13" i="25"/>
  <c r="N24" i="25"/>
  <c r="L24" i="25"/>
  <c r="X36" i="25"/>
  <c r="Z36" i="25" s="1"/>
  <c r="Z62" i="25"/>
  <c r="N72" i="25"/>
  <c r="N24" i="26"/>
  <c r="L24" i="26"/>
  <c r="V24" i="27"/>
  <c r="X25" i="27"/>
  <c r="Z16" i="28"/>
  <c r="X16" i="28"/>
  <c r="N24" i="28"/>
  <c r="L24" i="28"/>
  <c r="Z45" i="28"/>
  <c r="X87" i="28"/>
  <c r="Z87" i="28" s="1"/>
  <c r="Z120" i="28"/>
  <c r="N161" i="28"/>
  <c r="Z161" i="28"/>
  <c r="J22" i="29"/>
  <c r="N12" i="29"/>
  <c r="J34" i="29"/>
  <c r="J31" i="29"/>
  <c r="J27" i="29"/>
  <c r="J21" i="29"/>
  <c r="J15" i="29"/>
  <c r="J25" i="29"/>
  <c r="J36" i="29"/>
  <c r="J18" i="29"/>
  <c r="J33" i="29"/>
  <c r="H18" i="29"/>
  <c r="J16" i="29"/>
  <c r="L12" i="29"/>
  <c r="X33" i="30"/>
  <c r="Z33" i="30"/>
  <c r="J69" i="31"/>
  <c r="X28" i="34"/>
  <c r="Z28" i="34" s="1"/>
  <c r="T12" i="34"/>
  <c r="J16" i="19"/>
  <c r="N76" i="21"/>
  <c r="R21" i="22"/>
  <c r="Z25" i="24"/>
  <c r="X25" i="24"/>
  <c r="X34" i="24"/>
  <c r="N13" i="25"/>
  <c r="X20" i="25"/>
  <c r="Z20" i="25" s="1"/>
  <c r="Z13" i="26"/>
  <c r="X13" i="26"/>
  <c r="Z20" i="26"/>
  <c r="X20" i="26"/>
  <c r="L15" i="27"/>
  <c r="V22" i="27"/>
  <c r="L13" i="28"/>
  <c r="N13" i="28" s="1"/>
  <c r="D12" i="28"/>
  <c r="X20" i="28"/>
  <c r="Z20" i="28" s="1"/>
  <c r="Z40" i="28"/>
  <c r="X40" i="28"/>
  <c r="L44" i="28"/>
  <c r="N44" i="28" s="1"/>
  <c r="L113" i="28"/>
  <c r="Z24" i="35"/>
  <c r="X24" i="35"/>
  <c r="X106" i="28"/>
  <c r="Z106" i="28" s="1"/>
  <c r="L108" i="28"/>
  <c r="N108" i="28" s="1"/>
  <c r="Z162" i="28"/>
  <c r="Z24" i="30"/>
  <c r="X24" i="30"/>
  <c r="R36" i="30"/>
  <c r="N16" i="31"/>
  <c r="Z25" i="33"/>
  <c r="X25" i="33"/>
  <c r="D12" i="34"/>
  <c r="L13" i="34"/>
  <c r="N13" i="34" s="1"/>
  <c r="Z56" i="34"/>
  <c r="N145" i="34"/>
  <c r="H164" i="34"/>
  <c r="N165" i="34"/>
  <c r="D113" i="36"/>
  <c r="L114" i="36"/>
  <c r="J18" i="22"/>
  <c r="V24" i="22"/>
  <c r="F21" i="23"/>
  <c r="V21" i="23"/>
  <c r="R27" i="23"/>
  <c r="R31" i="23"/>
  <c r="R34" i="23"/>
  <c r="F18" i="24"/>
  <c r="P18" i="26"/>
  <c r="R22" i="27"/>
  <c r="Z145" i="28"/>
  <c r="Z152" i="28"/>
  <c r="R24" i="29"/>
  <c r="R36" i="29"/>
  <c r="R33" i="29"/>
  <c r="R29" i="29"/>
  <c r="R25" i="29"/>
  <c r="P18" i="29"/>
  <c r="R15" i="29"/>
  <c r="X12" i="29"/>
  <c r="L22" i="29"/>
  <c r="R27" i="29"/>
  <c r="J20" i="30"/>
  <c r="X23" i="31"/>
  <c r="N34" i="31"/>
  <c r="Z66" i="31"/>
  <c r="X66" i="31"/>
  <c r="Z70" i="31"/>
  <c r="N17" i="34"/>
  <c r="N21" i="34"/>
  <c r="Z155" i="34"/>
  <c r="Z159" i="34"/>
  <c r="X159" i="34"/>
  <c r="N161" i="34"/>
  <c r="L161" i="34"/>
  <c r="Z40" i="36"/>
  <c r="N14" i="39"/>
  <c r="H12" i="39"/>
  <c r="J21" i="22"/>
  <c r="V27" i="22"/>
  <c r="V31" i="22"/>
  <c r="V34" i="22"/>
  <c r="R16" i="23"/>
  <c r="R20" i="23"/>
  <c r="F21" i="24"/>
  <c r="R27" i="24"/>
  <c r="R31" i="24"/>
  <c r="R34" i="24"/>
  <c r="J16" i="26"/>
  <c r="R18" i="26"/>
  <c r="J20" i="26"/>
  <c r="F22" i="26"/>
  <c r="V22" i="26"/>
  <c r="R15" i="27"/>
  <c r="P18" i="27"/>
  <c r="R25" i="27"/>
  <c r="R29" i="27"/>
  <c r="R33" i="27"/>
  <c r="R36" i="27"/>
  <c r="L115" i="28"/>
  <c r="N122" i="28"/>
  <c r="L124" i="28"/>
  <c r="N124" i="28" s="1"/>
  <c r="V18" i="29"/>
  <c r="V34" i="29"/>
  <c r="V31" i="29"/>
  <c r="V27" i="29"/>
  <c r="V21" i="29"/>
  <c r="V25" i="29"/>
  <c r="X29" i="29"/>
  <c r="J15" i="30"/>
  <c r="H18" i="30"/>
  <c r="L25" i="30"/>
  <c r="J27" i="30"/>
  <c r="R33" i="30"/>
  <c r="R34" i="30"/>
  <c r="N14" i="31"/>
  <c r="N15" i="31"/>
  <c r="Z16" i="31"/>
  <c r="N20" i="31"/>
  <c r="Z55" i="31"/>
  <c r="X62" i="31"/>
  <c r="Z62" i="31" s="1"/>
  <c r="L68" i="31"/>
  <c r="N68" i="31" s="1"/>
  <c r="Z83" i="31"/>
  <c r="X20" i="32"/>
  <c r="L24" i="32"/>
  <c r="X13" i="34"/>
  <c r="P12" i="34"/>
  <c r="N29" i="34"/>
  <c r="N37" i="34"/>
  <c r="N49" i="34"/>
  <c r="N53" i="34"/>
  <c r="Z55" i="34"/>
  <c r="Z59" i="34"/>
  <c r="Z99" i="34"/>
  <c r="Z115" i="34"/>
  <c r="X115" i="34"/>
  <c r="N117" i="34"/>
  <c r="L117" i="34"/>
  <c r="X119" i="34"/>
  <c r="Z119" i="34" s="1"/>
  <c r="N34" i="41"/>
  <c r="L34" i="41"/>
  <c r="N22" i="32"/>
  <c r="L22" i="32"/>
  <c r="Z15" i="33"/>
  <c r="X15" i="33"/>
  <c r="Z29" i="33"/>
  <c r="X29" i="33"/>
  <c r="Z13" i="34"/>
  <c r="Z104" i="36"/>
  <c r="X104" i="36"/>
  <c r="R22" i="37"/>
  <c r="X12" i="37"/>
  <c r="R20" i="37"/>
  <c r="R16" i="37"/>
  <c r="R24" i="37"/>
  <c r="R21" i="37"/>
  <c r="R18" i="37"/>
  <c r="R36" i="37"/>
  <c r="R33" i="37"/>
  <c r="R29" i="37"/>
  <c r="R25" i="37"/>
  <c r="P18" i="37"/>
  <c r="R15" i="37"/>
  <c r="R34" i="37"/>
  <c r="R31" i="37"/>
  <c r="R27" i="37"/>
  <c r="F27" i="24"/>
  <c r="F31" i="24"/>
  <c r="F34" i="24"/>
  <c r="V18" i="26"/>
  <c r="R21" i="27"/>
  <c r="J24" i="30"/>
  <c r="J21" i="30"/>
  <c r="J18" i="30"/>
  <c r="R15" i="30"/>
  <c r="R18" i="30"/>
  <c r="J25" i="30"/>
  <c r="R29" i="30"/>
  <c r="N19" i="31"/>
  <c r="Z20" i="31"/>
  <c r="N24" i="31"/>
  <c r="Z34" i="31"/>
  <c r="L16" i="34"/>
  <c r="N16" i="34" s="1"/>
  <c r="N20" i="34"/>
  <c r="L24" i="34"/>
  <c r="N24" i="34" s="1"/>
  <c r="Z29" i="34"/>
  <c r="Z33" i="34"/>
  <c r="Z37" i="34"/>
  <c r="Z41" i="34"/>
  <c r="Z45" i="34"/>
  <c r="Z49" i="34"/>
  <c r="Z53" i="34"/>
  <c r="X89" i="34"/>
  <c r="Z89" i="34" s="1"/>
  <c r="N167" i="34"/>
  <c r="J18" i="35"/>
  <c r="J22" i="35"/>
  <c r="N12" i="35"/>
  <c r="H18" i="35"/>
  <c r="J15" i="35"/>
  <c r="J34" i="35"/>
  <c r="J31" i="35"/>
  <c r="J29" i="35"/>
  <c r="J27" i="35"/>
  <c r="J25" i="35"/>
  <c r="J36" i="35"/>
  <c r="J33" i="35"/>
  <c r="J21" i="35"/>
  <c r="J16" i="35"/>
  <c r="J24" i="35"/>
  <c r="X21" i="36"/>
  <c r="Z21" i="36"/>
  <c r="X48" i="36"/>
  <c r="Z48" i="36" s="1"/>
  <c r="N82" i="36"/>
  <c r="L82" i="36"/>
  <c r="N33" i="38"/>
  <c r="L33" i="38"/>
  <c r="N13" i="42"/>
  <c r="X14" i="42"/>
  <c r="Z14" i="42" s="1"/>
  <c r="T12" i="42"/>
  <c r="J16" i="22"/>
  <c r="R15" i="23"/>
  <c r="P18" i="23"/>
  <c r="R25" i="23"/>
  <c r="R29" i="23"/>
  <c r="R33" i="23"/>
  <c r="F16" i="24"/>
  <c r="J15" i="26"/>
  <c r="H18" i="26"/>
  <c r="V21" i="26"/>
  <c r="J25" i="26"/>
  <c r="R27" i="26"/>
  <c r="J29" i="26"/>
  <c r="R31" i="26"/>
  <c r="J33" i="26"/>
  <c r="R24" i="27"/>
  <c r="X122" i="28"/>
  <c r="Z122" i="28" s="1"/>
  <c r="X138" i="28"/>
  <c r="Z138" i="28" s="1"/>
  <c r="X162" i="28"/>
  <c r="L13" i="29"/>
  <c r="X24" i="29"/>
  <c r="V36" i="29"/>
  <c r="N12" i="30"/>
  <c r="X15" i="31"/>
  <c r="Z15" i="31" s="1"/>
  <c r="L19" i="31"/>
  <c r="L23" i="31"/>
  <c r="X24" i="31"/>
  <c r="N44" i="31"/>
  <c r="N55" i="31"/>
  <c r="Z77" i="31"/>
  <c r="J34" i="33"/>
  <c r="J31" i="33"/>
  <c r="J27" i="33"/>
  <c r="J24" i="33"/>
  <c r="J21" i="33"/>
  <c r="J36" i="33"/>
  <c r="J33" i="33"/>
  <c r="J29" i="33"/>
  <c r="J25" i="33"/>
  <c r="H18" i="33"/>
  <c r="J15" i="33"/>
  <c r="J22" i="33"/>
  <c r="N12" i="33"/>
  <c r="H12" i="34"/>
  <c r="X16" i="34"/>
  <c r="N19" i="34"/>
  <c r="X24" i="34"/>
  <c r="N32" i="34"/>
  <c r="L32" i="34"/>
  <c r="N36" i="34"/>
  <c r="L40" i="34"/>
  <c r="N40" i="34" s="1"/>
  <c r="N44" i="34"/>
  <c r="L48" i="34"/>
  <c r="N48" i="34" s="1"/>
  <c r="Z106" i="34"/>
  <c r="R115" i="39"/>
  <c r="R112" i="39"/>
  <c r="R96" i="39"/>
  <c r="R88" i="39"/>
  <c r="R85" i="39"/>
  <c r="R64" i="39"/>
  <c r="R52" i="39"/>
  <c r="R40" i="39"/>
  <c r="X12" i="39"/>
  <c r="R121" i="39"/>
  <c r="R108" i="39"/>
  <c r="R103" i="39"/>
  <c r="R95" i="39"/>
  <c r="R92" i="39"/>
  <c r="R80" i="39"/>
  <c r="R75" i="39"/>
  <c r="R72" i="39"/>
  <c r="R60" i="39"/>
  <c r="R55" i="39"/>
  <c r="R51" i="39"/>
  <c r="R39" i="39"/>
  <c r="R28" i="39"/>
  <c r="R111" i="39"/>
  <c r="R102" i="39"/>
  <c r="R87" i="39"/>
  <c r="R66" i="39"/>
  <c r="R63" i="39"/>
  <c r="R50" i="39"/>
  <c r="R38" i="39"/>
  <c r="R100" i="39"/>
  <c r="R84" i="39"/>
  <c r="R68" i="39"/>
  <c r="R65" i="39"/>
  <c r="R48" i="39"/>
  <c r="R44" i="39"/>
  <c r="R107" i="39"/>
  <c r="R104" i="39"/>
  <c r="R99" i="39"/>
  <c r="R91" i="39"/>
  <c r="R83" i="39"/>
  <c r="R79" i="39"/>
  <c r="R76" i="39"/>
  <c r="R71" i="39"/>
  <c r="R59" i="39"/>
  <c r="R56" i="39"/>
  <c r="R47" i="39"/>
  <c r="R43" i="39"/>
  <c r="R36" i="39"/>
  <c r="R31" i="39"/>
  <c r="R117" i="39"/>
  <c r="R110" i="39"/>
  <c r="R98" i="39"/>
  <c r="R90" i="39"/>
  <c r="R86" i="39"/>
  <c r="R82" i="39"/>
  <c r="R67" i="39"/>
  <c r="R62" i="39"/>
  <c r="R42" i="39"/>
  <c r="R30" i="39"/>
  <c r="R109" i="39"/>
  <c r="R106" i="39"/>
  <c r="R97" i="39"/>
  <c r="R93" i="39"/>
  <c r="R89" i="39"/>
  <c r="R81" i="39"/>
  <c r="R78" i="39"/>
  <c r="R73" i="39"/>
  <c r="R70" i="39"/>
  <c r="R61" i="39"/>
  <c r="R58" i="39"/>
  <c r="R53" i="39"/>
  <c r="R46" i="39"/>
  <c r="R41" i="39"/>
  <c r="R29" i="39"/>
  <c r="R101" i="39"/>
  <c r="R57" i="39"/>
  <c r="R69" i="39"/>
  <c r="R54" i="39"/>
  <c r="R45" i="39"/>
  <c r="P33" i="39"/>
  <c r="R33" i="39" s="1"/>
  <c r="R105" i="39"/>
  <c r="R35" i="39"/>
  <c r="R94" i="39"/>
  <c r="R49" i="39"/>
  <c r="R74" i="39"/>
  <c r="R37" i="39"/>
  <c r="Z18" i="39"/>
  <c r="T12" i="39"/>
  <c r="R27" i="27"/>
  <c r="R31" i="27"/>
  <c r="L135" i="28"/>
  <c r="R21" i="30"/>
  <c r="R22" i="30"/>
  <c r="X12" i="30"/>
  <c r="R20" i="30"/>
  <c r="R16" i="30"/>
  <c r="X22" i="30"/>
  <c r="R25" i="30"/>
  <c r="L33" i="30"/>
  <c r="T12" i="31"/>
  <c r="X19" i="31"/>
  <c r="Z19" i="31" s="1"/>
  <c r="N22" i="31"/>
  <c r="Z24" i="31"/>
  <c r="L60" i="31"/>
  <c r="Z13" i="32"/>
  <c r="X13" i="32"/>
  <c r="Z33" i="33"/>
  <c r="X33" i="33"/>
  <c r="Z16" i="34"/>
  <c r="X20" i="34"/>
  <c r="Z20" i="34" s="1"/>
  <c r="Z24" i="34"/>
  <c r="X32" i="34"/>
  <c r="Z32" i="34" s="1"/>
  <c r="X40" i="34"/>
  <c r="Z40" i="34" s="1"/>
  <c r="N43" i="34"/>
  <c r="X48" i="34"/>
  <c r="N51" i="34"/>
  <c r="N56" i="34"/>
  <c r="L56" i="34"/>
  <c r="N129" i="34"/>
  <c r="L129" i="34"/>
  <c r="X131" i="34"/>
  <c r="Z131" i="34" s="1"/>
  <c r="L133" i="34"/>
  <c r="L137" i="34"/>
  <c r="L110" i="36"/>
  <c r="N110" i="36" s="1"/>
  <c r="V24" i="30"/>
  <c r="N12" i="32"/>
  <c r="J22" i="32"/>
  <c r="R24" i="32"/>
  <c r="L12" i="33"/>
  <c r="F15" i="33"/>
  <c r="D18" i="33"/>
  <c r="F25" i="33"/>
  <c r="F29" i="33"/>
  <c r="F33" i="33"/>
  <c r="F36" i="33"/>
  <c r="P164" i="34"/>
  <c r="X167" i="34"/>
  <c r="Z167" i="34" s="1"/>
  <c r="R20" i="35"/>
  <c r="R16" i="35"/>
  <c r="R24" i="35"/>
  <c r="R21" i="35"/>
  <c r="R25" i="35"/>
  <c r="R29" i="35"/>
  <c r="L15" i="36"/>
  <c r="Z29" i="36"/>
  <c r="Z30" i="36"/>
  <c r="F38" i="36"/>
  <c r="F42" i="36"/>
  <c r="L48" i="36"/>
  <c r="Z50" i="36"/>
  <c r="Z102" i="36"/>
  <c r="Z17" i="39"/>
  <c r="X26" i="39"/>
  <c r="N67" i="39"/>
  <c r="L67" i="39"/>
  <c r="L117" i="39"/>
  <c r="N117" i="39" s="1"/>
  <c r="P12" i="42"/>
  <c r="F53" i="42"/>
  <c r="Z13" i="46"/>
  <c r="X13" i="46"/>
  <c r="D82" i="31"/>
  <c r="L82" i="31" s="1"/>
  <c r="N82" i="31" s="1"/>
  <c r="T82" i="31"/>
  <c r="J15" i="32"/>
  <c r="H18" i="32"/>
  <c r="J25" i="32"/>
  <c r="R27" i="32"/>
  <c r="J29" i="32"/>
  <c r="R31" i="32"/>
  <c r="J33" i="32"/>
  <c r="R34" i="32"/>
  <c r="J36" i="32"/>
  <c r="F18" i="33"/>
  <c r="L165" i="34"/>
  <c r="L167" i="34"/>
  <c r="P31" i="35"/>
  <c r="H12" i="36"/>
  <c r="N48" i="36"/>
  <c r="F67" i="36"/>
  <c r="F73" i="36"/>
  <c r="Z21" i="38"/>
  <c r="X21" i="38"/>
  <c r="Z26" i="39"/>
  <c r="N35" i="39"/>
  <c r="X65" i="39"/>
  <c r="Z65" i="39" s="1"/>
  <c r="Z22" i="40"/>
  <c r="X22" i="40"/>
  <c r="F20" i="42"/>
  <c r="F45" i="42"/>
  <c r="Z12" i="30"/>
  <c r="V16" i="30"/>
  <c r="V20" i="30"/>
  <c r="R16" i="32"/>
  <c r="J18" i="32"/>
  <c r="R20" i="32"/>
  <c r="F21" i="33"/>
  <c r="R27" i="33"/>
  <c r="R31" i="33"/>
  <c r="R34" i="33"/>
  <c r="T164" i="34"/>
  <c r="X12" i="35"/>
  <c r="R18" i="35"/>
  <c r="F22" i="35"/>
  <c r="N14" i="36"/>
  <c r="N15" i="36"/>
  <c r="N20" i="36"/>
  <c r="N52" i="36"/>
  <c r="Z54" i="36"/>
  <c r="F56" i="36"/>
  <c r="F72" i="36"/>
  <c r="N106" i="36"/>
  <c r="L106" i="36"/>
  <c r="L14" i="39"/>
  <c r="Z21" i="39"/>
  <c r="X35" i="39"/>
  <c r="Z67" i="39"/>
  <c r="N115" i="39"/>
  <c r="Z117" i="39"/>
  <c r="Z17" i="42"/>
  <c r="F57" i="42"/>
  <c r="Z59" i="42"/>
  <c r="F61" i="42"/>
  <c r="P12" i="48"/>
  <c r="X13" i="48"/>
  <c r="Z13" i="48" s="1"/>
  <c r="X33" i="51"/>
  <c r="Z33" i="51" s="1"/>
  <c r="L34" i="35"/>
  <c r="N34" i="35"/>
  <c r="F116" i="36"/>
  <c r="F111" i="36"/>
  <c r="F107" i="36"/>
  <c r="F102" i="36"/>
  <c r="F95" i="36"/>
  <c r="F91" i="36"/>
  <c r="F87" i="36"/>
  <c r="F83" i="36"/>
  <c r="F79" i="36"/>
  <c r="F54" i="36"/>
  <c r="F51" i="36"/>
  <c r="F43" i="36"/>
  <c r="F39" i="36"/>
  <c r="F31" i="36"/>
  <c r="F120" i="36"/>
  <c r="F94" i="36"/>
  <c r="F90" i="36"/>
  <c r="F114" i="36"/>
  <c r="F104" i="36"/>
  <c r="F101" i="36"/>
  <c r="F93" i="36"/>
  <c r="F85" i="36"/>
  <c r="F53" i="36"/>
  <c r="F48" i="36"/>
  <c r="F41" i="36"/>
  <c r="F37" i="36"/>
  <c r="D27" i="36"/>
  <c r="F25" i="36"/>
  <c r="F110" i="36"/>
  <c r="F106" i="36"/>
  <c r="F103" i="36"/>
  <c r="F99" i="36"/>
  <c r="F82" i="36"/>
  <c r="F55" i="36"/>
  <c r="F50" i="36"/>
  <c r="F47" i="36"/>
  <c r="F35" i="36"/>
  <c r="F30" i="36"/>
  <c r="F29" i="36"/>
  <c r="F115" i="36"/>
  <c r="F98" i="36"/>
  <c r="F89" i="36"/>
  <c r="F77" i="36"/>
  <c r="F74" i="36"/>
  <c r="F69" i="36"/>
  <c r="F66" i="36"/>
  <c r="F61" i="36"/>
  <c r="F58" i="36"/>
  <c r="F109" i="36"/>
  <c r="F105" i="36"/>
  <c r="F97" i="36"/>
  <c r="F92" i="36"/>
  <c r="F84" i="36"/>
  <c r="F81" i="36"/>
  <c r="F52" i="36"/>
  <c r="F49" i="36"/>
  <c r="F45" i="36"/>
  <c r="F40" i="36"/>
  <c r="F33" i="36"/>
  <c r="F113" i="36"/>
  <c r="F108" i="36"/>
  <c r="F96" i="36"/>
  <c r="F88" i="36"/>
  <c r="F80" i="36"/>
  <c r="F76" i="36"/>
  <c r="F71" i="36"/>
  <c r="F68" i="36"/>
  <c r="F63" i="36"/>
  <c r="F60" i="36"/>
  <c r="F44" i="36"/>
  <c r="F32" i="36"/>
  <c r="F23" i="36"/>
  <c r="L12" i="36"/>
  <c r="Z15" i="36"/>
  <c r="N29" i="36"/>
  <c r="F59" i="36"/>
  <c r="F65" i="36"/>
  <c r="N114" i="36"/>
  <c r="Z116" i="36"/>
  <c r="N29" i="38"/>
  <c r="L29" i="38"/>
  <c r="D12" i="39"/>
  <c r="Z27" i="42"/>
  <c r="F29" i="42"/>
  <c r="H12" i="51"/>
  <c r="N13" i="51"/>
  <c r="L13" i="51"/>
  <c r="V15" i="30"/>
  <c r="T18" i="30"/>
  <c r="V25" i="30"/>
  <c r="V29" i="30"/>
  <c r="V33" i="30"/>
  <c r="R15" i="32"/>
  <c r="P18" i="32"/>
  <c r="R25" i="32"/>
  <c r="J27" i="32"/>
  <c r="R29" i="32"/>
  <c r="J31" i="32"/>
  <c r="R33" i="32"/>
  <c r="J34" i="32"/>
  <c r="F16" i="33"/>
  <c r="X165" i="34"/>
  <c r="Z165" i="34" s="1"/>
  <c r="L16" i="35"/>
  <c r="X22" i="35"/>
  <c r="P12" i="36"/>
  <c r="T12" i="36"/>
  <c r="Z14" i="36"/>
  <c r="N18" i="36"/>
  <c r="N30" i="36"/>
  <c r="L40" i="36"/>
  <c r="N40" i="36" s="1"/>
  <c r="F46" i="36"/>
  <c r="N50" i="36"/>
  <c r="P113" i="36"/>
  <c r="X113" i="36" s="1"/>
  <c r="N25" i="38"/>
  <c r="L25" i="38"/>
  <c r="Z35" i="39"/>
  <c r="N111" i="39"/>
  <c r="Z115" i="39"/>
  <c r="F18" i="40"/>
  <c r="F36" i="40"/>
  <c r="F33" i="40"/>
  <c r="F29" i="40"/>
  <c r="F25" i="40"/>
  <c r="D18" i="40"/>
  <c r="F15" i="40"/>
  <c r="L12" i="40"/>
  <c r="F22" i="40"/>
  <c r="F20" i="40"/>
  <c r="F16" i="40"/>
  <c r="F34" i="40"/>
  <c r="F31" i="40"/>
  <c r="F27" i="40"/>
  <c r="F24" i="40"/>
  <c r="F21" i="40"/>
  <c r="N18" i="42"/>
  <c r="H12" i="42"/>
  <c r="L18" i="42"/>
  <c r="Z37" i="42"/>
  <c r="T66" i="48"/>
  <c r="J16" i="32"/>
  <c r="F24" i="35"/>
  <c r="F18" i="35"/>
  <c r="F36" i="35"/>
  <c r="F33" i="35"/>
  <c r="F29" i="35"/>
  <c r="F25" i="35"/>
  <c r="D18" i="35"/>
  <c r="F15" i="35"/>
  <c r="L12" i="35"/>
  <c r="F16" i="35"/>
  <c r="F24" i="36"/>
  <c r="F36" i="36"/>
  <c r="F64" i="36"/>
  <c r="F70" i="36"/>
  <c r="F75" i="36"/>
  <c r="F86" i="36"/>
  <c r="N92" i="36"/>
  <c r="T113" i="36"/>
  <c r="X114" i="36"/>
  <c r="Z114" i="36" s="1"/>
  <c r="Z24" i="37"/>
  <c r="X24" i="37"/>
  <c r="N15" i="38"/>
  <c r="L15" i="38"/>
  <c r="X18" i="39"/>
  <c r="N20" i="40"/>
  <c r="L20" i="40"/>
  <c r="F104" i="42"/>
  <c r="F91" i="42"/>
  <c r="F74" i="42"/>
  <c r="F100" i="42"/>
  <c r="F89" i="42"/>
  <c r="F105" i="42"/>
  <c r="F96" i="42"/>
  <c r="F88" i="42"/>
  <c r="F83" i="42"/>
  <c r="F80" i="42"/>
  <c r="F72" i="42"/>
  <c r="F68" i="42"/>
  <c r="F63" i="42"/>
  <c r="F60" i="42"/>
  <c r="F55" i="42"/>
  <c r="F52" i="42"/>
  <c r="F99" i="42"/>
  <c r="F87" i="42"/>
  <c r="F103" i="42"/>
  <c r="F98" i="42"/>
  <c r="F93" i="42"/>
  <c r="F86" i="42"/>
  <c r="F82" i="42"/>
  <c r="F78" i="42"/>
  <c r="F70" i="42"/>
  <c r="F65" i="42"/>
  <c r="F62" i="42"/>
  <c r="F106" i="42"/>
  <c r="F101" i="42"/>
  <c r="F85" i="42"/>
  <c r="F77" i="42"/>
  <c r="F110" i="42"/>
  <c r="F73" i="42"/>
  <c r="F54" i="42"/>
  <c r="F50" i="42"/>
  <c r="F32" i="42"/>
  <c r="F27" i="42"/>
  <c r="F26" i="42"/>
  <c r="L12" i="42"/>
  <c r="F92" i="42"/>
  <c r="F64" i="42"/>
  <c r="F58" i="42"/>
  <c r="F49" i="42"/>
  <c r="F46" i="42"/>
  <c r="F43" i="42"/>
  <c r="F31" i="42"/>
  <c r="F81" i="42"/>
  <c r="F76" i="42"/>
  <c r="F75" i="42"/>
  <c r="F67" i="42"/>
  <c r="F66" i="42"/>
  <c r="F42" i="42"/>
  <c r="F37" i="42"/>
  <c r="F30" i="42"/>
  <c r="F84" i="42"/>
  <c r="F56" i="42"/>
  <c r="F51" i="42"/>
  <c r="F48" i="42"/>
  <c r="F40" i="42"/>
  <c r="F36" i="42"/>
  <c r="F28" i="42"/>
  <c r="F95" i="42"/>
  <c r="F90" i="42"/>
  <c r="F71" i="42"/>
  <c r="F47" i="42"/>
  <c r="F39" i="42"/>
  <c r="F35" i="42"/>
  <c r="F97" i="42"/>
  <c r="F38" i="42"/>
  <c r="F34" i="42"/>
  <c r="D24" i="42"/>
  <c r="F22" i="42"/>
  <c r="F79" i="42"/>
  <c r="F59" i="42"/>
  <c r="F44" i="42"/>
  <c r="F33" i="42"/>
  <c r="F21" i="42"/>
  <c r="V15" i="35"/>
  <c r="T18" i="35"/>
  <c r="V25" i="35"/>
  <c r="V29" i="35"/>
  <c r="V33" i="35"/>
  <c r="V36" i="35"/>
  <c r="Z13" i="37"/>
  <c r="J27" i="37"/>
  <c r="J31" i="37"/>
  <c r="J34" i="37"/>
  <c r="Z12" i="38"/>
  <c r="F16" i="38"/>
  <c r="V16" i="38"/>
  <c r="F20" i="38"/>
  <c r="V20" i="38"/>
  <c r="R22" i="38"/>
  <c r="J24" i="38"/>
  <c r="X13" i="39"/>
  <c r="N16" i="39"/>
  <c r="Z20" i="39"/>
  <c r="N24" i="39"/>
  <c r="Z116" i="39"/>
  <c r="N13" i="40"/>
  <c r="J15" i="40"/>
  <c r="H18" i="40"/>
  <c r="V21" i="40"/>
  <c r="J25" i="40"/>
  <c r="R27" i="40"/>
  <c r="J29" i="40"/>
  <c r="R31" i="40"/>
  <c r="J33" i="40"/>
  <c r="R34" i="40"/>
  <c r="J36" i="40"/>
  <c r="N12" i="41"/>
  <c r="F18" i="41"/>
  <c r="V18" i="41"/>
  <c r="J22" i="41"/>
  <c r="R24" i="41"/>
  <c r="L13" i="42"/>
  <c r="Z16" i="42"/>
  <c r="X50" i="42"/>
  <c r="Z50" i="42" s="1"/>
  <c r="X34" i="44"/>
  <c r="X34" i="47"/>
  <c r="N19" i="48"/>
  <c r="N39" i="48"/>
  <c r="N63" i="48"/>
  <c r="L25" i="49"/>
  <c r="L22" i="50"/>
  <c r="D12" i="51"/>
  <c r="L14" i="51"/>
  <c r="Z20" i="51"/>
  <c r="N22" i="51"/>
  <c r="V18" i="35"/>
  <c r="H113" i="36"/>
  <c r="J16" i="37"/>
  <c r="J20" i="37"/>
  <c r="F22" i="37"/>
  <c r="V22" i="37"/>
  <c r="R15" i="38"/>
  <c r="P18" i="38"/>
  <c r="R25" i="38"/>
  <c r="J27" i="38"/>
  <c r="R29" i="38"/>
  <c r="J31" i="38"/>
  <c r="R33" i="38"/>
  <c r="J34" i="38"/>
  <c r="R36" i="38"/>
  <c r="P114" i="39"/>
  <c r="X114" i="39" s="1"/>
  <c r="Z114" i="39" s="1"/>
  <c r="V24" i="40"/>
  <c r="J15" i="41"/>
  <c r="H18" i="41"/>
  <c r="V21" i="41"/>
  <c r="J25" i="41"/>
  <c r="R27" i="41"/>
  <c r="J29" i="41"/>
  <c r="R31" i="41"/>
  <c r="J33" i="41"/>
  <c r="R34" i="41"/>
  <c r="J36" i="41"/>
  <c r="L24" i="43"/>
  <c r="V21" i="44"/>
  <c r="V18" i="44"/>
  <c r="V36" i="44"/>
  <c r="V33" i="44"/>
  <c r="V29" i="44"/>
  <c r="V25" i="44"/>
  <c r="T18" i="44"/>
  <c r="V15" i="44"/>
  <c r="V22" i="44"/>
  <c r="V20" i="44"/>
  <c r="V16" i="44"/>
  <c r="Z12" i="44"/>
  <c r="V34" i="44"/>
  <c r="V31" i="44"/>
  <c r="V27" i="44"/>
  <c r="X16" i="46"/>
  <c r="L24" i="46"/>
  <c r="X19" i="48"/>
  <c r="L53" i="48"/>
  <c r="V54" i="48"/>
  <c r="Z63" i="48"/>
  <c r="N14" i="51"/>
  <c r="T12" i="51"/>
  <c r="X12" i="51" s="1"/>
  <c r="R40" i="51"/>
  <c r="J16" i="38"/>
  <c r="J20" i="38"/>
  <c r="V22" i="38"/>
  <c r="L15" i="41"/>
  <c r="J18" i="41"/>
  <c r="V24" i="41"/>
  <c r="L48" i="42"/>
  <c r="N48" i="42" s="1"/>
  <c r="Z57" i="42"/>
  <c r="L104" i="42"/>
  <c r="D103" i="42"/>
  <c r="P103" i="42"/>
  <c r="X106" i="42"/>
  <c r="Z25" i="45"/>
  <c r="Z19" i="48"/>
  <c r="V22" i="48"/>
  <c r="N29" i="51"/>
  <c r="L29" i="51"/>
  <c r="Z54" i="51"/>
  <c r="V18" i="37"/>
  <c r="J22" i="37"/>
  <c r="L12" i="38"/>
  <c r="F15" i="38"/>
  <c r="V15" i="38"/>
  <c r="D18" i="38"/>
  <c r="T18" i="38"/>
  <c r="R21" i="38"/>
  <c r="F25" i="38"/>
  <c r="V25" i="38"/>
  <c r="F29" i="38"/>
  <c r="V29" i="38"/>
  <c r="F33" i="38"/>
  <c r="V33" i="38"/>
  <c r="F36" i="38"/>
  <c r="V36" i="38"/>
  <c r="Z12" i="40"/>
  <c r="V16" i="40"/>
  <c r="V20" i="40"/>
  <c r="J24" i="40"/>
  <c r="X12" i="41"/>
  <c r="J21" i="41"/>
  <c r="F27" i="41"/>
  <c r="V27" i="41"/>
  <c r="F31" i="41"/>
  <c r="V31" i="41"/>
  <c r="V34" i="41"/>
  <c r="X74" i="42"/>
  <c r="N104" i="42"/>
  <c r="H103" i="42"/>
  <c r="Z106" i="42"/>
  <c r="P12" i="45"/>
  <c r="X13" i="45"/>
  <c r="Z13" i="45" s="1"/>
  <c r="L16" i="45"/>
  <c r="N16" i="45" s="1"/>
  <c r="Z19" i="45"/>
  <c r="V50" i="45"/>
  <c r="X93" i="45"/>
  <c r="X20" i="46"/>
  <c r="L37" i="48"/>
  <c r="V38" i="48"/>
  <c r="L15" i="49"/>
  <c r="N21" i="51"/>
  <c r="L21" i="51"/>
  <c r="Z26" i="51"/>
  <c r="X54" i="51"/>
  <c r="J15" i="38"/>
  <c r="H18" i="38"/>
  <c r="V21" i="38"/>
  <c r="J25" i="38"/>
  <c r="R27" i="38"/>
  <c r="J29" i="38"/>
  <c r="R31" i="38"/>
  <c r="J33" i="38"/>
  <c r="J36" i="38"/>
  <c r="H114" i="39"/>
  <c r="J16" i="40"/>
  <c r="R15" i="41"/>
  <c r="P18" i="41"/>
  <c r="R25" i="41"/>
  <c r="J27" i="41"/>
  <c r="R29" i="41"/>
  <c r="J31" i="41"/>
  <c r="R33" i="41"/>
  <c r="J34" i="41"/>
  <c r="N61" i="42"/>
  <c r="L63" i="42"/>
  <c r="N63" i="42" s="1"/>
  <c r="L74" i="42"/>
  <c r="N100" i="42"/>
  <c r="Z104" i="42"/>
  <c r="T103" i="42"/>
  <c r="R20" i="43"/>
  <c r="R16" i="43"/>
  <c r="R34" i="43"/>
  <c r="R31" i="43"/>
  <c r="R27" i="43"/>
  <c r="R24" i="43"/>
  <c r="R21" i="43"/>
  <c r="R18" i="43"/>
  <c r="R36" i="43"/>
  <c r="R33" i="43"/>
  <c r="R29" i="43"/>
  <c r="R25" i="43"/>
  <c r="P18" i="43"/>
  <c r="R15" i="43"/>
  <c r="R22" i="43"/>
  <c r="V24" i="44"/>
  <c r="D12" i="45"/>
  <c r="Z75" i="45"/>
  <c r="L21" i="47"/>
  <c r="D66" i="48"/>
  <c r="V34" i="48"/>
  <c r="X21" i="49"/>
  <c r="N16" i="51"/>
  <c r="Z25" i="51"/>
  <c r="X25" i="51"/>
  <c r="V24" i="38"/>
  <c r="J16" i="41"/>
  <c r="J20" i="41"/>
  <c r="N81" i="42"/>
  <c r="L21" i="44"/>
  <c r="V85" i="45"/>
  <c r="V81" i="45"/>
  <c r="V61" i="45"/>
  <c r="V53" i="45"/>
  <c r="V45" i="45"/>
  <c r="V41" i="45"/>
  <c r="V29" i="45"/>
  <c r="V25" i="45"/>
  <c r="V84" i="45"/>
  <c r="V80" i="45"/>
  <c r="V72" i="45"/>
  <c r="V60" i="45"/>
  <c r="V52" i="45"/>
  <c r="V44" i="45"/>
  <c r="V40" i="45"/>
  <c r="V28" i="45"/>
  <c r="T23" i="45"/>
  <c r="V97" i="45"/>
  <c r="V91" i="45"/>
  <c r="V87" i="45"/>
  <c r="V79" i="45"/>
  <c r="V71" i="45"/>
  <c r="V67" i="45"/>
  <c r="V63" i="45"/>
  <c r="V55" i="45"/>
  <c r="V47" i="45"/>
  <c r="V39" i="45"/>
  <c r="V35" i="45"/>
  <c r="V27" i="45"/>
  <c r="V90" i="45"/>
  <c r="V86" i="45"/>
  <c r="V78" i="45"/>
  <c r="V74" i="45"/>
  <c r="V70" i="45"/>
  <c r="V66" i="45"/>
  <c r="V62" i="45"/>
  <c r="V54" i="45"/>
  <c r="V46" i="45"/>
  <c r="V38" i="45"/>
  <c r="V34" i="45"/>
  <c r="V26" i="45"/>
  <c r="V89" i="45"/>
  <c r="V77" i="45"/>
  <c r="V73" i="45"/>
  <c r="V69" i="45"/>
  <c r="V65" i="45"/>
  <c r="V57" i="45"/>
  <c r="V49" i="45"/>
  <c r="V37" i="45"/>
  <c r="V33" i="45"/>
  <c r="V21" i="45"/>
  <c r="V88" i="45"/>
  <c r="V76" i="45"/>
  <c r="V68" i="45"/>
  <c r="V64" i="45"/>
  <c r="V56" i="45"/>
  <c r="V48" i="45"/>
  <c r="V36" i="45"/>
  <c r="V32" i="45"/>
  <c r="V20" i="45"/>
  <c r="V93" i="45"/>
  <c r="V83" i="45"/>
  <c r="V75" i="45"/>
  <c r="V59" i="45"/>
  <c r="V51" i="45"/>
  <c r="V43" i="45"/>
  <c r="V31" i="45"/>
  <c r="V19" i="45"/>
  <c r="N15" i="45"/>
  <c r="V58" i="45"/>
  <c r="V21" i="47"/>
  <c r="V18" i="47"/>
  <c r="V36" i="47"/>
  <c r="V33" i="47"/>
  <c r="V29" i="47"/>
  <c r="V25" i="47"/>
  <c r="T18" i="47"/>
  <c r="V15" i="47"/>
  <c r="V22" i="47"/>
  <c r="V20" i="47"/>
  <c r="V16" i="47"/>
  <c r="Z12" i="47"/>
  <c r="V34" i="47"/>
  <c r="V31" i="47"/>
  <c r="V27" i="47"/>
  <c r="X12" i="47"/>
  <c r="N55" i="48"/>
  <c r="L29" i="49"/>
  <c r="N13" i="50"/>
  <c r="L13" i="50"/>
  <c r="R101" i="51"/>
  <c r="R94" i="51"/>
  <c r="R99" i="51"/>
  <c r="R96" i="51"/>
  <c r="R93" i="51"/>
  <c r="R100" i="51"/>
  <c r="R91" i="51"/>
  <c r="R87" i="51"/>
  <c r="R84" i="51"/>
  <c r="R79" i="51"/>
  <c r="R59" i="51"/>
  <c r="R47" i="51"/>
  <c r="R39" i="51"/>
  <c r="R90" i="51"/>
  <c r="R78" i="51"/>
  <c r="R75" i="51"/>
  <c r="R70" i="51"/>
  <c r="R58" i="51"/>
  <c r="R46" i="51"/>
  <c r="R38" i="51"/>
  <c r="R105" i="51"/>
  <c r="R89" i="51"/>
  <c r="R86" i="51"/>
  <c r="R81" i="51"/>
  <c r="R69" i="51"/>
  <c r="R57" i="51"/>
  <c r="R52" i="51"/>
  <c r="R45" i="51"/>
  <c r="R37" i="51"/>
  <c r="R98" i="51"/>
  <c r="R77" i="51"/>
  <c r="R72" i="51"/>
  <c r="R68" i="51"/>
  <c r="R64" i="51"/>
  <c r="R56" i="51"/>
  <c r="R54" i="51"/>
  <c r="P52" i="51"/>
  <c r="R44" i="51"/>
  <c r="R95" i="51"/>
  <c r="R88" i="51"/>
  <c r="R83" i="51"/>
  <c r="R80" i="51"/>
  <c r="R67" i="51"/>
  <c r="R63" i="51"/>
  <c r="R43" i="51"/>
  <c r="R36" i="51"/>
  <c r="R74" i="51"/>
  <c r="R71" i="51"/>
  <c r="R66" i="51"/>
  <c r="R62" i="51"/>
  <c r="R55" i="51"/>
  <c r="R50" i="51"/>
  <c r="R42" i="51"/>
  <c r="R85" i="51"/>
  <c r="R82" i="51"/>
  <c r="R61" i="51"/>
  <c r="R49" i="51"/>
  <c r="R41" i="51"/>
  <c r="R92" i="51"/>
  <c r="X17" i="51"/>
  <c r="Z17" i="51" s="1"/>
  <c r="N54" i="51"/>
  <c r="R60" i="51"/>
  <c r="R65" i="51"/>
  <c r="Z82" i="51"/>
  <c r="X12" i="38"/>
  <c r="V27" i="38"/>
  <c r="V31" i="38"/>
  <c r="V15" i="41"/>
  <c r="T18" i="41"/>
  <c r="V25" i="41"/>
  <c r="V29" i="41"/>
  <c r="V33" i="41"/>
  <c r="L76" i="42"/>
  <c r="N76" i="42" s="1"/>
  <c r="N25" i="45"/>
  <c r="V42" i="45"/>
  <c r="V63" i="48"/>
  <c r="V57" i="48"/>
  <c r="V53" i="48"/>
  <c r="V49" i="48"/>
  <c r="V37" i="48"/>
  <c r="V33" i="48"/>
  <c r="V29" i="48"/>
  <c r="V21" i="48"/>
  <c r="V56" i="48"/>
  <c r="V48" i="48"/>
  <c r="V40" i="48"/>
  <c r="V32" i="48"/>
  <c r="V28" i="48"/>
  <c r="V20" i="48"/>
  <c r="V59" i="48"/>
  <c r="V55" i="48"/>
  <c r="V43" i="48"/>
  <c r="V39" i="48"/>
  <c r="V31" i="48"/>
  <c r="V27" i="48"/>
  <c r="V15" i="48"/>
  <c r="V64" i="48"/>
  <c r="V58" i="48"/>
  <c r="V42" i="48"/>
  <c r="V30" i="48"/>
  <c r="V26" i="48"/>
  <c r="V61" i="48"/>
  <c r="V45" i="48"/>
  <c r="V41" i="48"/>
  <c r="V25" i="48"/>
  <c r="V60" i="48"/>
  <c r="V52" i="48"/>
  <c r="V44" i="48"/>
  <c r="V36" i="48"/>
  <c r="V24" i="48"/>
  <c r="V51" i="48"/>
  <c r="V47" i="48"/>
  <c r="V35" i="48"/>
  <c r="V23" i="48"/>
  <c r="V19" i="48"/>
  <c r="V17" i="48"/>
  <c r="F19" i="48"/>
  <c r="L19" i="48"/>
  <c r="V46" i="48"/>
  <c r="V68" i="48"/>
  <c r="R48" i="51"/>
  <c r="Z65" i="51"/>
  <c r="R73" i="51"/>
  <c r="N101" i="51"/>
  <c r="X20" i="52"/>
  <c r="L24" i="52"/>
  <c r="J21" i="53"/>
  <c r="J36" i="53"/>
  <c r="J33" i="53"/>
  <c r="J29" i="53"/>
  <c r="J25" i="53"/>
  <c r="H18" i="53"/>
  <c r="J15" i="53"/>
  <c r="J22" i="53"/>
  <c r="N12" i="53"/>
  <c r="J24" i="53"/>
  <c r="L16" i="53"/>
  <c r="J18" i="53"/>
  <c r="X22" i="53"/>
  <c r="J31" i="53"/>
  <c r="T22" i="54"/>
  <c r="D30" i="55"/>
  <c r="T62" i="57"/>
  <c r="Z16" i="57"/>
  <c r="R47" i="57"/>
  <c r="Z12" i="43"/>
  <c r="V16" i="43"/>
  <c r="V20" i="43"/>
  <c r="J24" i="43"/>
  <c r="X12" i="44"/>
  <c r="N15" i="44"/>
  <c r="F27" i="44"/>
  <c r="F31" i="44"/>
  <c r="F34" i="44"/>
  <c r="F16" i="46"/>
  <c r="F20" i="46"/>
  <c r="R22" i="46"/>
  <c r="J24" i="46"/>
  <c r="J21" i="47"/>
  <c r="F27" i="47"/>
  <c r="F31" i="47"/>
  <c r="F34" i="47"/>
  <c r="F17" i="48"/>
  <c r="F28" i="48"/>
  <c r="F32" i="48"/>
  <c r="F40" i="48"/>
  <c r="F56" i="48"/>
  <c r="J15" i="49"/>
  <c r="H18" i="49"/>
  <c r="F21" i="49"/>
  <c r="V21" i="49"/>
  <c r="J25" i="49"/>
  <c r="R27" i="49"/>
  <c r="J29" i="49"/>
  <c r="R31" i="49"/>
  <c r="J33" i="49"/>
  <c r="R34" i="49"/>
  <c r="J36" i="49"/>
  <c r="F18" i="50"/>
  <c r="R24" i="50"/>
  <c r="Z33" i="53"/>
  <c r="X33" i="53"/>
  <c r="H16" i="55"/>
  <c r="N28" i="56"/>
  <c r="Z47" i="57"/>
  <c r="R115" i="66"/>
  <c r="R112" i="66"/>
  <c r="R109" i="66"/>
  <c r="R89" i="66"/>
  <c r="R84" i="66"/>
  <c r="R76" i="66"/>
  <c r="R64" i="66"/>
  <c r="R52" i="66"/>
  <c r="R44" i="66"/>
  <c r="X12" i="66"/>
  <c r="R121" i="66"/>
  <c r="R99" i="66"/>
  <c r="R95" i="66"/>
  <c r="R92" i="66"/>
  <c r="R83" i="66"/>
  <c r="R80" i="66"/>
  <c r="R75" i="66"/>
  <c r="R71" i="66"/>
  <c r="R63" i="66"/>
  <c r="R61" i="66"/>
  <c r="P59" i="66"/>
  <c r="R51" i="66"/>
  <c r="R43" i="66"/>
  <c r="R111" i="66"/>
  <c r="R102" i="66"/>
  <c r="R98" i="66"/>
  <c r="R86" i="66"/>
  <c r="R74" i="66"/>
  <c r="R70" i="66"/>
  <c r="R50" i="66"/>
  <c r="R42" i="66"/>
  <c r="R116" i="66"/>
  <c r="R105" i="66"/>
  <c r="R101" i="66"/>
  <c r="R97" i="66"/>
  <c r="R94" i="66"/>
  <c r="R82" i="66"/>
  <c r="R73" i="66"/>
  <c r="R69" i="66"/>
  <c r="R62" i="66"/>
  <c r="R57" i="66"/>
  <c r="R49" i="66"/>
  <c r="R41" i="66"/>
  <c r="R108" i="66"/>
  <c r="R104" i="66"/>
  <c r="R88" i="66"/>
  <c r="R85" i="66"/>
  <c r="R68" i="66"/>
  <c r="R56" i="66"/>
  <c r="R48" i="66"/>
  <c r="R114" i="66"/>
  <c r="R107" i="66"/>
  <c r="R100" i="66"/>
  <c r="R96" i="66"/>
  <c r="R91" i="66"/>
  <c r="R79" i="66"/>
  <c r="R72" i="66"/>
  <c r="R67" i="66"/>
  <c r="R55" i="66"/>
  <c r="R47" i="66"/>
  <c r="R40" i="66"/>
  <c r="R117" i="66"/>
  <c r="R110" i="66"/>
  <c r="R103" i="66"/>
  <c r="R90" i="66"/>
  <c r="R87" i="66"/>
  <c r="R78" i="66"/>
  <c r="R66" i="66"/>
  <c r="R54" i="66"/>
  <c r="R46" i="66"/>
  <c r="R106" i="66"/>
  <c r="R93" i="66"/>
  <c r="R81" i="66"/>
  <c r="R77" i="66"/>
  <c r="R65" i="66"/>
  <c r="R53" i="66"/>
  <c r="R45" i="66"/>
  <c r="J27" i="43"/>
  <c r="J31" i="43"/>
  <c r="J34" i="43"/>
  <c r="F16" i="44"/>
  <c r="F20" i="44"/>
  <c r="R22" i="44"/>
  <c r="R15" i="46"/>
  <c r="P18" i="46"/>
  <c r="R25" i="46"/>
  <c r="J27" i="46"/>
  <c r="R29" i="46"/>
  <c r="J31" i="46"/>
  <c r="R33" i="46"/>
  <c r="J34" i="46"/>
  <c r="R36" i="46"/>
  <c r="F16" i="47"/>
  <c r="F20" i="47"/>
  <c r="J24" i="47"/>
  <c r="F21" i="48"/>
  <c r="F29" i="48"/>
  <c r="F33" i="48"/>
  <c r="F44" i="48"/>
  <c r="F49" i="48"/>
  <c r="F57" i="48"/>
  <c r="F60" i="48"/>
  <c r="R16" i="49"/>
  <c r="J18" i="49"/>
  <c r="R20" i="49"/>
  <c r="F24" i="49"/>
  <c r="V24" i="49"/>
  <c r="H18" i="50"/>
  <c r="F21" i="50"/>
  <c r="V21" i="50"/>
  <c r="R27" i="50"/>
  <c r="R31" i="50"/>
  <c r="R34" i="50"/>
  <c r="J36" i="50"/>
  <c r="H98" i="51"/>
  <c r="N22" i="52"/>
  <c r="L22" i="52"/>
  <c r="V34" i="53"/>
  <c r="V31" i="53"/>
  <c r="V27" i="53"/>
  <c r="X12" i="53"/>
  <c r="V21" i="53"/>
  <c r="V18" i="53"/>
  <c r="V36" i="53"/>
  <c r="V33" i="53"/>
  <c r="V29" i="53"/>
  <c r="V25" i="53"/>
  <c r="T18" i="53"/>
  <c r="V15" i="53"/>
  <c r="V20" i="53"/>
  <c r="V16" i="53"/>
  <c r="Z12" i="53"/>
  <c r="J16" i="53"/>
  <c r="V22" i="53"/>
  <c r="R56" i="57"/>
  <c r="R53" i="57"/>
  <c r="R49" i="57"/>
  <c r="R40" i="57"/>
  <c r="R20" i="57"/>
  <c r="R18" i="57"/>
  <c r="P16" i="57"/>
  <c r="R39" i="57"/>
  <c r="R36" i="57"/>
  <c r="R31" i="57"/>
  <c r="R27" i="57"/>
  <c r="R55" i="57"/>
  <c r="R46" i="57"/>
  <c r="R42" i="57"/>
  <c r="R30" i="57"/>
  <c r="R26" i="57"/>
  <c r="R19" i="57"/>
  <c r="R69" i="57"/>
  <c r="R62" i="57"/>
  <c r="R45" i="57"/>
  <c r="R38" i="57"/>
  <c r="R33" i="57"/>
  <c r="R29" i="57"/>
  <c r="R25" i="57"/>
  <c r="R14" i="57"/>
  <c r="R66" i="57"/>
  <c r="R64" i="57"/>
  <c r="R60" i="57"/>
  <c r="R58" i="57"/>
  <c r="R57" i="57"/>
  <c r="R52" i="57"/>
  <c r="R48" i="57"/>
  <c r="R44" i="57"/>
  <c r="R41" i="57"/>
  <c r="R24" i="57"/>
  <c r="X12" i="57"/>
  <c r="R51" i="57"/>
  <c r="R35" i="57"/>
  <c r="R32" i="57"/>
  <c r="R28" i="57"/>
  <c r="R23" i="57"/>
  <c r="R37" i="57"/>
  <c r="R34" i="57"/>
  <c r="R21" i="57"/>
  <c r="R16" i="57"/>
  <c r="N36" i="57"/>
  <c r="Z41" i="57"/>
  <c r="N43" i="57"/>
  <c r="R50" i="57"/>
  <c r="J16" i="43"/>
  <c r="J20" i="43"/>
  <c r="R29" i="44"/>
  <c r="R33" i="44"/>
  <c r="R36" i="44"/>
  <c r="J16" i="46"/>
  <c r="R18" i="46"/>
  <c r="J20" i="46"/>
  <c r="F22" i="46"/>
  <c r="R25" i="47"/>
  <c r="J27" i="47"/>
  <c r="R29" i="47"/>
  <c r="J31" i="47"/>
  <c r="R33" i="47"/>
  <c r="J34" i="47"/>
  <c r="R36" i="47"/>
  <c r="F22" i="48"/>
  <c r="F34" i="48"/>
  <c r="F38" i="48"/>
  <c r="F41" i="48"/>
  <c r="F50" i="48"/>
  <c r="F54" i="48"/>
  <c r="X60" i="48"/>
  <c r="F68" i="48"/>
  <c r="X12" i="49"/>
  <c r="J21" i="49"/>
  <c r="X24" i="49"/>
  <c r="F27" i="49"/>
  <c r="V27" i="49"/>
  <c r="F31" i="49"/>
  <c r="V31" i="49"/>
  <c r="F34" i="49"/>
  <c r="V34" i="49"/>
  <c r="L15" i="50"/>
  <c r="R16" i="50"/>
  <c r="R20" i="50"/>
  <c r="X21" i="50"/>
  <c r="F24" i="50"/>
  <c r="V24" i="50"/>
  <c r="L25" i="50"/>
  <c r="L29" i="50"/>
  <c r="L33" i="50"/>
  <c r="X65" i="51"/>
  <c r="X73" i="51"/>
  <c r="Z73" i="51" s="1"/>
  <c r="L75" i="51"/>
  <c r="X100" i="51"/>
  <c r="X101" i="51"/>
  <c r="Z101" i="51" s="1"/>
  <c r="J24" i="52"/>
  <c r="J18" i="52"/>
  <c r="J36" i="52"/>
  <c r="J33" i="52"/>
  <c r="J29" i="52"/>
  <c r="J25" i="52"/>
  <c r="H18" i="52"/>
  <c r="J15" i="52"/>
  <c r="J22" i="52"/>
  <c r="N12" i="52"/>
  <c r="J34" i="52"/>
  <c r="J31" i="52"/>
  <c r="J27" i="52"/>
  <c r="X16" i="52"/>
  <c r="X25" i="52"/>
  <c r="V24" i="53"/>
  <c r="Z25" i="53"/>
  <c r="X25" i="53"/>
  <c r="Z18" i="55"/>
  <c r="X19" i="55"/>
  <c r="Z19" i="55" s="1"/>
  <c r="D71" i="56"/>
  <c r="N18" i="57"/>
  <c r="R22" i="57"/>
  <c r="L12" i="43"/>
  <c r="F15" i="43"/>
  <c r="V15" i="43"/>
  <c r="D18" i="43"/>
  <c r="T18" i="43"/>
  <c r="F25" i="43"/>
  <c r="V25" i="43"/>
  <c r="F29" i="43"/>
  <c r="V29" i="43"/>
  <c r="F33" i="43"/>
  <c r="V33" i="43"/>
  <c r="F36" i="43"/>
  <c r="V36" i="43"/>
  <c r="J16" i="44"/>
  <c r="R18" i="44"/>
  <c r="J20" i="44"/>
  <c r="F22" i="44"/>
  <c r="H12" i="45"/>
  <c r="L12" i="46"/>
  <c r="F15" i="46"/>
  <c r="V15" i="46"/>
  <c r="D18" i="46"/>
  <c r="T18" i="46"/>
  <c r="R21" i="46"/>
  <c r="F25" i="46"/>
  <c r="V25" i="46"/>
  <c r="F29" i="46"/>
  <c r="V29" i="46"/>
  <c r="F33" i="46"/>
  <c r="V33" i="46"/>
  <c r="F36" i="46"/>
  <c r="V36" i="46"/>
  <c r="J16" i="47"/>
  <c r="J20" i="47"/>
  <c r="F22" i="47"/>
  <c r="H12" i="48"/>
  <c r="F23" i="48"/>
  <c r="F30" i="48"/>
  <c r="F35" i="48"/>
  <c r="F47" i="48"/>
  <c r="F51" i="48"/>
  <c r="F58" i="48"/>
  <c r="F64" i="48"/>
  <c r="Z12" i="49"/>
  <c r="F16" i="49"/>
  <c r="V16" i="49"/>
  <c r="F20" i="49"/>
  <c r="V20" i="49"/>
  <c r="R22" i="49"/>
  <c r="J24" i="49"/>
  <c r="X12" i="50"/>
  <c r="F27" i="50"/>
  <c r="V27" i="50"/>
  <c r="F31" i="50"/>
  <c r="V31" i="50"/>
  <c r="F34" i="50"/>
  <c r="V34" i="50"/>
  <c r="X82" i="51"/>
  <c r="L84" i="51"/>
  <c r="Z95" i="51"/>
  <c r="X95" i="51"/>
  <c r="Z99" i="51"/>
  <c r="J34" i="53"/>
  <c r="R29" i="54"/>
  <c r="R26" i="54"/>
  <c r="R20" i="54"/>
  <c r="R16" i="54"/>
  <c r="P16" i="54"/>
  <c r="R24" i="54"/>
  <c r="X12" i="54"/>
  <c r="N28" i="54"/>
  <c r="X29" i="54"/>
  <c r="Z29" i="54" s="1"/>
  <c r="J37" i="55"/>
  <c r="J30" i="55"/>
  <c r="J20" i="55"/>
  <c r="J16" i="55"/>
  <c r="J25" i="55"/>
  <c r="J22" i="55"/>
  <c r="J18" i="55"/>
  <c r="J19" i="55"/>
  <c r="J34" i="55"/>
  <c r="J28" i="55"/>
  <c r="J24" i="55"/>
  <c r="J14" i="55"/>
  <c r="N12" i="55"/>
  <c r="J21" i="55"/>
  <c r="L12" i="55"/>
  <c r="J23" i="55"/>
  <c r="P16" i="55"/>
  <c r="X14" i="55"/>
  <c r="X18" i="57"/>
  <c r="Z18" i="57" s="1"/>
  <c r="R43" i="57"/>
  <c r="N12" i="43"/>
  <c r="J22" i="43"/>
  <c r="L12" i="44"/>
  <c r="F15" i="44"/>
  <c r="D18" i="44"/>
  <c r="F25" i="44"/>
  <c r="F29" i="44"/>
  <c r="F33" i="44"/>
  <c r="F36" i="44"/>
  <c r="R24" i="46"/>
  <c r="F25" i="47"/>
  <c r="F29" i="47"/>
  <c r="F33" i="47"/>
  <c r="F36" i="47"/>
  <c r="F24" i="48"/>
  <c r="F36" i="48"/>
  <c r="F39" i="48"/>
  <c r="F52" i="48"/>
  <c r="F55" i="48"/>
  <c r="R15" i="49"/>
  <c r="P18" i="49"/>
  <c r="R25" i="49"/>
  <c r="J27" i="49"/>
  <c r="R29" i="49"/>
  <c r="J31" i="49"/>
  <c r="R33" i="49"/>
  <c r="J34" i="49"/>
  <c r="R36" i="49"/>
  <c r="F16" i="50"/>
  <c r="V16" i="50"/>
  <c r="F20" i="50"/>
  <c r="V20" i="50"/>
  <c r="R22" i="50"/>
  <c r="X13" i="52"/>
  <c r="Z13" i="52"/>
  <c r="N20" i="53"/>
  <c r="L20" i="53"/>
  <c r="L21" i="53"/>
  <c r="J27" i="53"/>
  <c r="X20" i="54"/>
  <c r="J32" i="55"/>
  <c r="T71" i="56"/>
  <c r="X20" i="62"/>
  <c r="Z20" i="62" s="1"/>
  <c r="Z55" i="64"/>
  <c r="X55" i="64"/>
  <c r="R27" i="46"/>
  <c r="R31" i="46"/>
  <c r="R34" i="46"/>
  <c r="J16" i="49"/>
  <c r="Z15" i="53"/>
  <c r="X15" i="53"/>
  <c r="Z29" i="53"/>
  <c r="X29" i="53"/>
  <c r="D22" i="54"/>
  <c r="L21" i="55"/>
  <c r="N21" i="55" s="1"/>
  <c r="Z33" i="56"/>
  <c r="N35" i="56"/>
  <c r="Z57" i="56"/>
  <c r="Z60" i="56"/>
  <c r="D62" i="57"/>
  <c r="J25" i="44"/>
  <c r="R27" i="44"/>
  <c r="J29" i="44"/>
  <c r="R31" i="44"/>
  <c r="J33" i="44"/>
  <c r="R16" i="46"/>
  <c r="J15" i="47"/>
  <c r="H18" i="47"/>
  <c r="J25" i="47"/>
  <c r="R27" i="47"/>
  <c r="J29" i="47"/>
  <c r="R31" i="47"/>
  <c r="J33" i="47"/>
  <c r="F26" i="48"/>
  <c r="F37" i="48"/>
  <c r="F42" i="48"/>
  <c r="F53" i="48"/>
  <c r="L12" i="49"/>
  <c r="F15" i="49"/>
  <c r="V15" i="49"/>
  <c r="D18" i="49"/>
  <c r="T18" i="49"/>
  <c r="F25" i="49"/>
  <c r="V25" i="49"/>
  <c r="F29" i="49"/>
  <c r="V29" i="49"/>
  <c r="F33" i="49"/>
  <c r="V33" i="49"/>
  <c r="J16" i="50"/>
  <c r="D18" i="52"/>
  <c r="J21" i="52"/>
  <c r="F34" i="53"/>
  <c r="F31" i="53"/>
  <c r="F27" i="53"/>
  <c r="F21" i="53"/>
  <c r="F18" i="53"/>
  <c r="F36" i="53"/>
  <c r="F33" i="53"/>
  <c r="F29" i="53"/>
  <c r="F25" i="53"/>
  <c r="D18" i="53"/>
  <c r="F15" i="53"/>
  <c r="L12" i="53"/>
  <c r="F20" i="53"/>
  <c r="F16" i="53"/>
  <c r="X34" i="53"/>
  <c r="R28" i="54"/>
  <c r="N18" i="55"/>
  <c r="L18" i="56"/>
  <c r="N18" i="56" s="1"/>
  <c r="X41" i="56"/>
  <c r="Z41" i="56" s="1"/>
  <c r="L43" i="56"/>
  <c r="N43" i="56" s="1"/>
  <c r="X34" i="57"/>
  <c r="N14" i="58"/>
  <c r="L14" i="58"/>
  <c r="L99" i="51"/>
  <c r="N99" i="51" s="1"/>
  <c r="R15" i="52"/>
  <c r="P18" i="52"/>
  <c r="R25" i="52"/>
  <c r="R29" i="52"/>
  <c r="R33" i="52"/>
  <c r="R36" i="52"/>
  <c r="R22" i="53"/>
  <c r="H16" i="54"/>
  <c r="L16" i="55"/>
  <c r="R19" i="55"/>
  <c r="F21" i="55"/>
  <c r="V21" i="55"/>
  <c r="R22" i="55"/>
  <c r="F26" i="55"/>
  <c r="F32" i="55"/>
  <c r="X12" i="56"/>
  <c r="H16" i="56"/>
  <c r="F20" i="56"/>
  <c r="V23" i="56"/>
  <c r="R24" i="56"/>
  <c r="J27" i="56"/>
  <c r="J31" i="56"/>
  <c r="F32" i="56"/>
  <c r="R33" i="56"/>
  <c r="F35" i="56"/>
  <c r="V35" i="56"/>
  <c r="R36" i="56"/>
  <c r="J37" i="56"/>
  <c r="F40" i="56"/>
  <c r="R41" i="56"/>
  <c r="F43" i="56"/>
  <c r="V43" i="56"/>
  <c r="R44" i="56"/>
  <c r="J45" i="56"/>
  <c r="F48" i="56"/>
  <c r="F52" i="56"/>
  <c r="F56" i="56"/>
  <c r="R57" i="56"/>
  <c r="J59" i="56"/>
  <c r="V63" i="56"/>
  <c r="F67" i="56"/>
  <c r="V67" i="56"/>
  <c r="V69" i="56"/>
  <c r="F74" i="56"/>
  <c r="V74" i="56"/>
  <c r="N12" i="57"/>
  <c r="J14" i="57"/>
  <c r="V20" i="57"/>
  <c r="J24" i="57"/>
  <c r="V36" i="57"/>
  <c r="J38" i="57"/>
  <c r="V40" i="57"/>
  <c r="J44" i="57"/>
  <c r="F45" i="57"/>
  <c r="J48" i="57"/>
  <c r="J52" i="57"/>
  <c r="F58" i="57"/>
  <c r="J60" i="57"/>
  <c r="F64" i="57"/>
  <c r="J66" i="57"/>
  <c r="F14" i="58"/>
  <c r="D16" i="58"/>
  <c r="V19" i="58"/>
  <c r="V22" i="58"/>
  <c r="V25" i="58"/>
  <c r="V51" i="58"/>
  <c r="Z64" i="58"/>
  <c r="T56" i="59"/>
  <c r="L33" i="59"/>
  <c r="N33" i="59" s="1"/>
  <c r="V40" i="60"/>
  <c r="V36" i="60"/>
  <c r="V32" i="60"/>
  <c r="V20" i="60"/>
  <c r="V54" i="60"/>
  <c r="V49" i="60"/>
  <c r="V47" i="60"/>
  <c r="V43" i="60"/>
  <c r="V39" i="60"/>
  <c r="V35" i="60"/>
  <c r="V27" i="60"/>
  <c r="V19" i="60"/>
  <c r="V42" i="60"/>
  <c r="V38" i="60"/>
  <c r="V34" i="60"/>
  <c r="V26" i="60"/>
  <c r="V14" i="60"/>
  <c r="V29" i="60"/>
  <c r="V25" i="60"/>
  <c r="V28" i="60"/>
  <c r="V24" i="60"/>
  <c r="Z12" i="60"/>
  <c r="V51" i="60"/>
  <c r="V45" i="60"/>
  <c r="V31" i="60"/>
  <c r="V23" i="60"/>
  <c r="X12" i="60"/>
  <c r="V41" i="60"/>
  <c r="V37" i="60"/>
  <c r="V33" i="60"/>
  <c r="V21" i="60"/>
  <c r="T16" i="60"/>
  <c r="N19" i="60"/>
  <c r="T46" i="61"/>
  <c r="F95" i="62"/>
  <c r="F91" i="62"/>
  <c r="F88" i="62"/>
  <c r="F84" i="62"/>
  <c r="F76" i="62"/>
  <c r="F72" i="62"/>
  <c r="F68" i="62"/>
  <c r="F63" i="62"/>
  <c r="F60" i="62"/>
  <c r="F55" i="62"/>
  <c r="F52" i="62"/>
  <c r="F48" i="62"/>
  <c r="F28" i="62"/>
  <c r="D18" i="62"/>
  <c r="F16" i="62"/>
  <c r="F83" i="62"/>
  <c r="F79" i="62"/>
  <c r="F75" i="62"/>
  <c r="F71" i="62"/>
  <c r="F51" i="62"/>
  <c r="F42" i="62"/>
  <c r="F39" i="62"/>
  <c r="F27" i="62"/>
  <c r="F15" i="62"/>
  <c r="F108" i="62"/>
  <c r="F101" i="62"/>
  <c r="F94" i="62"/>
  <c r="F90" i="62"/>
  <c r="F82" i="62"/>
  <c r="F70" i="62"/>
  <c r="F65" i="62"/>
  <c r="F62" i="62"/>
  <c r="F57" i="62"/>
  <c r="F54" i="62"/>
  <c r="F45" i="62"/>
  <c r="F38" i="62"/>
  <c r="F26" i="62"/>
  <c r="F21" i="62"/>
  <c r="F20" i="62"/>
  <c r="F98" i="62"/>
  <c r="F93" i="62"/>
  <c r="F81" i="62"/>
  <c r="F41" i="62"/>
  <c r="F37" i="62"/>
  <c r="F32" i="62"/>
  <c r="F25" i="62"/>
  <c r="F96" i="62"/>
  <c r="F92" i="62"/>
  <c r="F87" i="62"/>
  <c r="F67" i="62"/>
  <c r="F64" i="62"/>
  <c r="F59" i="62"/>
  <c r="F56" i="62"/>
  <c r="F47" i="62"/>
  <c r="F44" i="62"/>
  <c r="F36" i="62"/>
  <c r="F24" i="62"/>
  <c r="L12" i="62"/>
  <c r="F78" i="62"/>
  <c r="F74" i="62"/>
  <c r="F50" i="62"/>
  <c r="F43" i="62"/>
  <c r="F35" i="62"/>
  <c r="F31" i="62"/>
  <c r="F23" i="62"/>
  <c r="F14" i="62"/>
  <c r="F103" i="62"/>
  <c r="F85" i="62"/>
  <c r="F80" i="62"/>
  <c r="F77" i="62"/>
  <c r="F73" i="62"/>
  <c r="F49" i="62"/>
  <c r="F40" i="62"/>
  <c r="F33" i="62"/>
  <c r="F29" i="62"/>
  <c r="F18" i="62"/>
  <c r="F34" i="62"/>
  <c r="F86" i="62"/>
  <c r="F89" i="62"/>
  <c r="L24" i="64"/>
  <c r="N57" i="64"/>
  <c r="L57" i="64"/>
  <c r="L16" i="56"/>
  <c r="R19" i="56"/>
  <c r="F22" i="56"/>
  <c r="R26" i="56"/>
  <c r="R30" i="56"/>
  <c r="F33" i="56"/>
  <c r="R34" i="56"/>
  <c r="F38" i="56"/>
  <c r="R39" i="56"/>
  <c r="F41" i="56"/>
  <c r="R42" i="56"/>
  <c r="F46" i="56"/>
  <c r="R47" i="56"/>
  <c r="F50" i="56"/>
  <c r="R51" i="56"/>
  <c r="F54" i="56"/>
  <c r="R55" i="56"/>
  <c r="F57" i="56"/>
  <c r="R58" i="56"/>
  <c r="R65" i="56"/>
  <c r="R71" i="56"/>
  <c r="V66" i="57"/>
  <c r="V60" i="57"/>
  <c r="V69" i="57"/>
  <c r="V64" i="57"/>
  <c r="V62" i="57"/>
  <c r="V58" i="57"/>
  <c r="V16" i="57"/>
  <c r="J18" i="57"/>
  <c r="V18" i="57"/>
  <c r="V22" i="57"/>
  <c r="J26" i="57"/>
  <c r="J30" i="57"/>
  <c r="V34" i="57"/>
  <c r="J36" i="57"/>
  <c r="J42" i="57"/>
  <c r="J46" i="57"/>
  <c r="V50" i="57"/>
  <c r="V54" i="57"/>
  <c r="F73" i="58"/>
  <c r="F67" i="58"/>
  <c r="F49" i="58"/>
  <c r="F71" i="58"/>
  <c r="F65" i="58"/>
  <c r="F60" i="58"/>
  <c r="F52" i="58"/>
  <c r="F45" i="58"/>
  <c r="F40" i="58"/>
  <c r="F37" i="58"/>
  <c r="F33" i="58"/>
  <c r="F29" i="58"/>
  <c r="F21" i="58"/>
  <c r="F55" i="58"/>
  <c r="F48" i="58"/>
  <c r="F32" i="58"/>
  <c r="F28" i="58"/>
  <c r="F20" i="58"/>
  <c r="F62" i="58"/>
  <c r="F59" i="58"/>
  <c r="F51" i="58"/>
  <c r="F47" i="58"/>
  <c r="F42" i="58"/>
  <c r="F39" i="58"/>
  <c r="F31" i="58"/>
  <c r="F76" i="58"/>
  <c r="F69" i="58"/>
  <c r="F58" i="58"/>
  <c r="F54" i="58"/>
  <c r="F50" i="58"/>
  <c r="F26" i="58"/>
  <c r="F64" i="58"/>
  <c r="F61" i="58"/>
  <c r="F57" i="58"/>
  <c r="F53" i="58"/>
  <c r="F44" i="58"/>
  <c r="F41" i="58"/>
  <c r="F36" i="58"/>
  <c r="F25" i="58"/>
  <c r="F63" i="58"/>
  <c r="F46" i="58"/>
  <c r="F43" i="58"/>
  <c r="F38" i="58"/>
  <c r="F35" i="58"/>
  <c r="F30" i="58"/>
  <c r="F23" i="58"/>
  <c r="F19" i="58"/>
  <c r="F24" i="58"/>
  <c r="F34" i="58"/>
  <c r="N44" i="58"/>
  <c r="V47" i="58"/>
  <c r="F56" i="58"/>
  <c r="V59" i="58"/>
  <c r="N29" i="59"/>
  <c r="T18" i="62"/>
  <c r="Z14" i="62"/>
  <c r="H12" i="64"/>
  <c r="Z41" i="64"/>
  <c r="X14" i="65"/>
  <c r="P12" i="65"/>
  <c r="F18" i="52"/>
  <c r="V18" i="52"/>
  <c r="R24" i="52"/>
  <c r="R21" i="53"/>
  <c r="F14" i="54"/>
  <c r="F18" i="54"/>
  <c r="F22" i="54"/>
  <c r="V22" i="54"/>
  <c r="V24" i="54"/>
  <c r="F28" i="54"/>
  <c r="V28" i="54"/>
  <c r="F31" i="54"/>
  <c r="V31" i="54"/>
  <c r="R16" i="55"/>
  <c r="R30" i="55"/>
  <c r="R37" i="55"/>
  <c r="F14" i="56"/>
  <c r="J22" i="56"/>
  <c r="F23" i="56"/>
  <c r="V26" i="56"/>
  <c r="R27" i="56"/>
  <c r="J28" i="56"/>
  <c r="V30" i="56"/>
  <c r="R31" i="56"/>
  <c r="V34" i="56"/>
  <c r="J38" i="56"/>
  <c r="V42" i="56"/>
  <c r="J46" i="56"/>
  <c r="J50" i="56"/>
  <c r="J54" i="56"/>
  <c r="V58" i="56"/>
  <c r="R59" i="56"/>
  <c r="J60" i="56"/>
  <c r="F63" i="56"/>
  <c r="F69" i="56"/>
  <c r="H16" i="57"/>
  <c r="L16" i="57" s="1"/>
  <c r="V23" i="57"/>
  <c r="J27" i="57"/>
  <c r="J31" i="57"/>
  <c r="V35" i="57"/>
  <c r="J39" i="57"/>
  <c r="F40" i="57"/>
  <c r="F43" i="57"/>
  <c r="V43" i="57"/>
  <c r="F47" i="57"/>
  <c r="V47" i="57"/>
  <c r="J49" i="57"/>
  <c r="V51" i="57"/>
  <c r="J53" i="57"/>
  <c r="J71" i="58"/>
  <c r="J65" i="58"/>
  <c r="J55" i="58"/>
  <c r="J45" i="58"/>
  <c r="J37" i="58"/>
  <c r="J62" i="58"/>
  <c r="J48" i="58"/>
  <c r="J42" i="58"/>
  <c r="J32" i="58"/>
  <c r="J28" i="58"/>
  <c r="J20" i="58"/>
  <c r="J16" i="58"/>
  <c r="J76" i="58"/>
  <c r="J69" i="58"/>
  <c r="J59" i="58"/>
  <c r="J51" i="58"/>
  <c r="J47" i="58"/>
  <c r="J39" i="58"/>
  <c r="J31" i="58"/>
  <c r="J27" i="58"/>
  <c r="H16" i="58"/>
  <c r="J64" i="58"/>
  <c r="J58" i="58"/>
  <c r="J54" i="58"/>
  <c r="J50" i="58"/>
  <c r="J44" i="58"/>
  <c r="J36" i="58"/>
  <c r="J61" i="58"/>
  <c r="J57" i="58"/>
  <c r="J53" i="58"/>
  <c r="J41" i="58"/>
  <c r="J25" i="58"/>
  <c r="J19" i="58"/>
  <c r="J56" i="58"/>
  <c r="J46" i="58"/>
  <c r="J38" i="58"/>
  <c r="J30" i="58"/>
  <c r="J24" i="58"/>
  <c r="J14" i="58"/>
  <c r="N12" i="58"/>
  <c r="J60" i="58"/>
  <c r="J52" i="58"/>
  <c r="J40" i="58"/>
  <c r="J34" i="58"/>
  <c r="J22" i="58"/>
  <c r="P69" i="58"/>
  <c r="X18" i="58"/>
  <c r="Z18" i="58" s="1"/>
  <c r="J23" i="58"/>
  <c r="V31" i="58"/>
  <c r="N40" i="58"/>
  <c r="J43" i="58"/>
  <c r="X44" i="58"/>
  <c r="X19" i="59"/>
  <c r="Z33" i="59"/>
  <c r="V16" i="60"/>
  <c r="Z18" i="60"/>
  <c r="V22" i="60"/>
  <c r="N18" i="61"/>
  <c r="H101" i="62"/>
  <c r="N18" i="62"/>
  <c r="F22" i="62"/>
  <c r="N80" i="62"/>
  <c r="F105" i="62"/>
  <c r="Z15" i="64"/>
  <c r="Z19" i="64"/>
  <c r="F21" i="52"/>
  <c r="R27" i="52"/>
  <c r="R31" i="52"/>
  <c r="R34" i="52"/>
  <c r="L12" i="54"/>
  <c r="X14" i="54"/>
  <c r="X18" i="54"/>
  <c r="X28" i="54"/>
  <c r="Z28" i="54" s="1"/>
  <c r="L14" i="55"/>
  <c r="R23" i="55"/>
  <c r="R26" i="55"/>
  <c r="L28" i="55"/>
  <c r="T30" i="55"/>
  <c r="R32" i="55"/>
  <c r="L12" i="56"/>
  <c r="X14" i="56"/>
  <c r="P16" i="56"/>
  <c r="F18" i="56"/>
  <c r="R18" i="56"/>
  <c r="F19" i="56"/>
  <c r="R20" i="56"/>
  <c r="F24" i="56"/>
  <c r="V27" i="56"/>
  <c r="L28" i="56"/>
  <c r="V31" i="56"/>
  <c r="R32" i="56"/>
  <c r="J33" i="56"/>
  <c r="F36" i="56"/>
  <c r="R37" i="56"/>
  <c r="F39" i="56"/>
  <c r="V39" i="56"/>
  <c r="R40" i="56"/>
  <c r="J41" i="56"/>
  <c r="F44" i="56"/>
  <c r="R45" i="56"/>
  <c r="F47" i="56"/>
  <c r="V47" i="56"/>
  <c r="R48" i="56"/>
  <c r="F51" i="56"/>
  <c r="V51" i="56"/>
  <c r="R52" i="56"/>
  <c r="F55" i="56"/>
  <c r="V55" i="56"/>
  <c r="R56" i="56"/>
  <c r="J57" i="56"/>
  <c r="V59" i="56"/>
  <c r="L60" i="56"/>
  <c r="N60" i="56" s="1"/>
  <c r="J63" i="56"/>
  <c r="F65" i="56"/>
  <c r="V65" i="56"/>
  <c r="J69" i="56"/>
  <c r="F71" i="56"/>
  <c r="V71" i="56"/>
  <c r="Z12" i="57"/>
  <c r="J16" i="57"/>
  <c r="J20" i="57"/>
  <c r="V24" i="57"/>
  <c r="V28" i="57"/>
  <c r="V32" i="57"/>
  <c r="J34" i="57"/>
  <c r="J40" i="57"/>
  <c r="X43" i="57"/>
  <c r="Z43" i="57" s="1"/>
  <c r="V44" i="57"/>
  <c r="X47" i="57"/>
  <c r="V48" i="57"/>
  <c r="L49" i="57"/>
  <c r="N49" i="57" s="1"/>
  <c r="V52" i="57"/>
  <c r="L53" i="57"/>
  <c r="N53" i="57" s="1"/>
  <c r="J56" i="57"/>
  <c r="L12" i="58"/>
  <c r="T16" i="58"/>
  <c r="X16" i="58" s="1"/>
  <c r="V27" i="58"/>
  <c r="Z44" i="58"/>
  <c r="N18" i="59"/>
  <c r="Z19" i="59"/>
  <c r="R16" i="52"/>
  <c r="R20" i="52"/>
  <c r="F24" i="52"/>
  <c r="R27" i="53"/>
  <c r="R31" i="53"/>
  <c r="N12" i="54"/>
  <c r="J14" i="54"/>
  <c r="J18" i="54"/>
  <c r="J22" i="54"/>
  <c r="J28" i="54"/>
  <c r="J31" i="54"/>
  <c r="F16" i="55"/>
  <c r="V16" i="55"/>
  <c r="V18" i="55"/>
  <c r="V26" i="55"/>
  <c r="F30" i="55"/>
  <c r="V30" i="55"/>
  <c r="V32" i="55"/>
  <c r="N12" i="56"/>
  <c r="J14" i="56"/>
  <c r="R16" i="56"/>
  <c r="V20" i="56"/>
  <c r="R21" i="56"/>
  <c r="J24" i="56"/>
  <c r="F25" i="56"/>
  <c r="F29" i="56"/>
  <c r="V32" i="56"/>
  <c r="J36" i="56"/>
  <c r="V40" i="56"/>
  <c r="J44" i="56"/>
  <c r="V48" i="56"/>
  <c r="R49" i="56"/>
  <c r="V52" i="56"/>
  <c r="R53" i="56"/>
  <c r="V56" i="56"/>
  <c r="F61" i="56"/>
  <c r="R62" i="56"/>
  <c r="F66" i="57"/>
  <c r="F60" i="57"/>
  <c r="F69" i="57"/>
  <c r="F62" i="57"/>
  <c r="J21" i="57"/>
  <c r="F22" i="57"/>
  <c r="V25" i="57"/>
  <c r="V29" i="57"/>
  <c r="V33" i="57"/>
  <c r="J37" i="57"/>
  <c r="F41" i="57"/>
  <c r="V41" i="57"/>
  <c r="J43" i="57"/>
  <c r="V45" i="57"/>
  <c r="F50" i="57"/>
  <c r="F54" i="57"/>
  <c r="F57" i="57"/>
  <c r="V57" i="57"/>
  <c r="R58" i="58"/>
  <c r="R54" i="58"/>
  <c r="R50" i="58"/>
  <c r="R61" i="58"/>
  <c r="R57" i="58"/>
  <c r="R53" i="58"/>
  <c r="R46" i="58"/>
  <c r="R41" i="58"/>
  <c r="R38" i="58"/>
  <c r="R30" i="58"/>
  <c r="R25" i="58"/>
  <c r="R14" i="58"/>
  <c r="R73" i="58"/>
  <c r="R67" i="58"/>
  <c r="R56" i="58"/>
  <c r="R49" i="58"/>
  <c r="R24" i="58"/>
  <c r="X12" i="58"/>
  <c r="R63" i="58"/>
  <c r="R60" i="58"/>
  <c r="R52" i="58"/>
  <c r="R43" i="58"/>
  <c r="R40" i="58"/>
  <c r="R35" i="58"/>
  <c r="R55" i="58"/>
  <c r="R34" i="58"/>
  <c r="R22" i="58"/>
  <c r="R71" i="58"/>
  <c r="R65" i="58"/>
  <c r="R62" i="58"/>
  <c r="R45" i="58"/>
  <c r="R42" i="58"/>
  <c r="R37" i="58"/>
  <c r="R33" i="58"/>
  <c r="R29" i="58"/>
  <c r="R21" i="58"/>
  <c r="R16" i="58"/>
  <c r="R64" i="58"/>
  <c r="R59" i="58"/>
  <c r="R51" i="58"/>
  <c r="R47" i="58"/>
  <c r="R44" i="58"/>
  <c r="R39" i="58"/>
  <c r="R36" i="58"/>
  <c r="R31" i="58"/>
  <c r="R27" i="58"/>
  <c r="R18" i="58"/>
  <c r="R20" i="58"/>
  <c r="J29" i="58"/>
  <c r="J33" i="58"/>
  <c r="Z46" i="58"/>
  <c r="J49" i="58"/>
  <c r="Z62" i="58"/>
  <c r="D56" i="59"/>
  <c r="X18" i="59"/>
  <c r="V18" i="60"/>
  <c r="N28" i="61"/>
  <c r="L44" i="61"/>
  <c r="Z50" i="62"/>
  <c r="F58" i="62"/>
  <c r="X13" i="64"/>
  <c r="Z13" i="64" s="1"/>
  <c r="P12" i="64"/>
  <c r="L16" i="64"/>
  <c r="N27" i="64"/>
  <c r="L68" i="64"/>
  <c r="R22" i="56"/>
  <c r="F26" i="56"/>
  <c r="F30" i="56"/>
  <c r="F34" i="56"/>
  <c r="R35" i="56"/>
  <c r="F37" i="56"/>
  <c r="R38" i="56"/>
  <c r="F42" i="56"/>
  <c r="R43" i="56"/>
  <c r="F45" i="56"/>
  <c r="R46" i="56"/>
  <c r="R50" i="56"/>
  <c r="R54" i="56"/>
  <c r="F58" i="56"/>
  <c r="R67" i="56"/>
  <c r="R74" i="56"/>
  <c r="J64" i="57"/>
  <c r="J58" i="57"/>
  <c r="J22" i="57"/>
  <c r="V26" i="57"/>
  <c r="J28" i="57"/>
  <c r="V30" i="57"/>
  <c r="J32" i="57"/>
  <c r="V38" i="57"/>
  <c r="V42" i="57"/>
  <c r="V46" i="57"/>
  <c r="J50" i="57"/>
  <c r="J54" i="57"/>
  <c r="V73" i="58"/>
  <c r="V67" i="58"/>
  <c r="V61" i="58"/>
  <c r="V57" i="58"/>
  <c r="V53" i="58"/>
  <c r="V49" i="58"/>
  <c r="V41" i="58"/>
  <c r="V60" i="58"/>
  <c r="V56" i="58"/>
  <c r="V52" i="58"/>
  <c r="V40" i="58"/>
  <c r="V24" i="58"/>
  <c r="Z12" i="58"/>
  <c r="V63" i="58"/>
  <c r="V55" i="58"/>
  <c r="V43" i="58"/>
  <c r="V35" i="58"/>
  <c r="V23" i="58"/>
  <c r="V62" i="58"/>
  <c r="V42" i="58"/>
  <c r="V34" i="58"/>
  <c r="V76" i="58"/>
  <c r="V71" i="58"/>
  <c r="V69" i="58"/>
  <c r="V65" i="58"/>
  <c r="V45" i="58"/>
  <c r="V37" i="58"/>
  <c r="V33" i="58"/>
  <c r="V29" i="58"/>
  <c r="V21" i="58"/>
  <c r="V64" i="58"/>
  <c r="V48" i="58"/>
  <c r="V44" i="58"/>
  <c r="V36" i="58"/>
  <c r="V32" i="58"/>
  <c r="V28" i="58"/>
  <c r="V20" i="58"/>
  <c r="V58" i="58"/>
  <c r="V54" i="58"/>
  <c r="V50" i="58"/>
  <c r="V46" i="58"/>
  <c r="V38" i="58"/>
  <c r="V30" i="58"/>
  <c r="V26" i="58"/>
  <c r="V14" i="58"/>
  <c r="L18" i="58"/>
  <c r="N18" i="58" s="1"/>
  <c r="F22" i="58"/>
  <c r="V39" i="58"/>
  <c r="Z18" i="59"/>
  <c r="H51" i="60"/>
  <c r="D50" i="61"/>
  <c r="Z18" i="61"/>
  <c r="T98" i="51"/>
  <c r="F16" i="52"/>
  <c r="F16" i="54"/>
  <c r="V16" i="54"/>
  <c r="F20" i="54"/>
  <c r="V20" i="54"/>
  <c r="F26" i="54"/>
  <c r="V26" i="54"/>
  <c r="R14" i="55"/>
  <c r="R28" i="55"/>
  <c r="F16" i="56"/>
  <c r="V16" i="56"/>
  <c r="J18" i="56"/>
  <c r="V18" i="56"/>
  <c r="V22" i="56"/>
  <c r="R23" i="56"/>
  <c r="J26" i="56"/>
  <c r="F27" i="56"/>
  <c r="R28" i="56"/>
  <c r="J30" i="56"/>
  <c r="F31" i="56"/>
  <c r="J34" i="56"/>
  <c r="V38" i="56"/>
  <c r="J42" i="56"/>
  <c r="V46" i="56"/>
  <c r="V50" i="56"/>
  <c r="V54" i="56"/>
  <c r="F59" i="56"/>
  <c r="R60" i="56"/>
  <c r="R63" i="56"/>
  <c r="L12" i="57"/>
  <c r="V19" i="57"/>
  <c r="J23" i="57"/>
  <c r="V27" i="57"/>
  <c r="V31" i="57"/>
  <c r="J35" i="57"/>
  <c r="V39" i="57"/>
  <c r="J41" i="57"/>
  <c r="J51" i="57"/>
  <c r="F52" i="57"/>
  <c r="F55" i="57"/>
  <c r="V55" i="57"/>
  <c r="J57" i="57"/>
  <c r="X14" i="58"/>
  <c r="V18" i="58"/>
  <c r="X30" i="58"/>
  <c r="Z30" i="58" s="1"/>
  <c r="R48" i="58"/>
  <c r="N60" i="58"/>
  <c r="J63" i="58"/>
  <c r="X64" i="58"/>
  <c r="J67" i="58"/>
  <c r="J48" i="59"/>
  <c r="J40" i="59"/>
  <c r="J32" i="59"/>
  <c r="J28" i="59"/>
  <c r="J20" i="59"/>
  <c r="J16" i="59"/>
  <c r="J47" i="59"/>
  <c r="J37" i="59"/>
  <c r="J31" i="59"/>
  <c r="J27" i="59"/>
  <c r="H16" i="59"/>
  <c r="J60" i="59"/>
  <c r="J54" i="59"/>
  <c r="J50" i="59"/>
  <c r="J44" i="59"/>
  <c r="J34" i="59"/>
  <c r="J30" i="59"/>
  <c r="J26" i="59"/>
  <c r="J18" i="59"/>
  <c r="J39" i="59"/>
  <c r="J25" i="59"/>
  <c r="J19" i="59"/>
  <c r="J58" i="59"/>
  <c r="J52" i="59"/>
  <c r="J46" i="59"/>
  <c r="J36" i="59"/>
  <c r="J24" i="59"/>
  <c r="J14" i="59"/>
  <c r="N12" i="59"/>
  <c r="J49" i="59"/>
  <c r="J43" i="59"/>
  <c r="J33" i="59"/>
  <c r="J29" i="59"/>
  <c r="J23" i="59"/>
  <c r="L12" i="59"/>
  <c r="J51" i="59"/>
  <c r="J45" i="59"/>
  <c r="J41" i="59"/>
  <c r="J35" i="59"/>
  <c r="J21" i="59"/>
  <c r="J22" i="59"/>
  <c r="X39" i="59"/>
  <c r="Z39" i="59" s="1"/>
  <c r="Z49" i="59"/>
  <c r="H46" i="61"/>
  <c r="N16" i="61"/>
  <c r="Z28" i="61"/>
  <c r="L20" i="62"/>
  <c r="N20" i="62" s="1"/>
  <c r="Z47" i="62"/>
  <c r="X74" i="62"/>
  <c r="Z74" i="62" s="1"/>
  <c r="F99" i="62"/>
  <c r="T12" i="64"/>
  <c r="D12" i="64"/>
  <c r="Z27" i="64"/>
  <c r="N41" i="64"/>
  <c r="L16" i="59"/>
  <c r="R19" i="59"/>
  <c r="F22" i="59"/>
  <c r="V25" i="59"/>
  <c r="R26" i="59"/>
  <c r="F29" i="59"/>
  <c r="V29" i="59"/>
  <c r="R30" i="59"/>
  <c r="F33" i="59"/>
  <c r="V33" i="59"/>
  <c r="R34" i="59"/>
  <c r="F38" i="59"/>
  <c r="R39" i="59"/>
  <c r="F42" i="59"/>
  <c r="F49" i="59"/>
  <c r="V49" i="59"/>
  <c r="R50" i="59"/>
  <c r="D16" i="60"/>
  <c r="J19" i="60"/>
  <c r="R22" i="60"/>
  <c r="J25" i="60"/>
  <c r="F26" i="60"/>
  <c r="J29" i="60"/>
  <c r="R45" i="60"/>
  <c r="J47" i="60"/>
  <c r="R51" i="60"/>
  <c r="J54" i="60"/>
  <c r="F16" i="61"/>
  <c r="V16" i="61"/>
  <c r="J18" i="61"/>
  <c r="V18" i="61"/>
  <c r="V22" i="61"/>
  <c r="R23" i="61"/>
  <c r="J26" i="61"/>
  <c r="F27" i="61"/>
  <c r="R28" i="61"/>
  <c r="J30" i="61"/>
  <c r="F31" i="61"/>
  <c r="J34" i="61"/>
  <c r="V38" i="61"/>
  <c r="J42" i="61"/>
  <c r="F44" i="61"/>
  <c r="V44" i="61"/>
  <c r="J48" i="61"/>
  <c r="F50" i="61"/>
  <c r="V50" i="61"/>
  <c r="Z12" i="62"/>
  <c r="R14" i="62"/>
  <c r="J16" i="62"/>
  <c r="V18" i="62"/>
  <c r="J20" i="62"/>
  <c r="V20" i="62"/>
  <c r="V24" i="62"/>
  <c r="R25" i="62"/>
  <c r="J28" i="62"/>
  <c r="V36" i="62"/>
  <c r="R37" i="62"/>
  <c r="V40" i="62"/>
  <c r="R41" i="62"/>
  <c r="J42" i="62"/>
  <c r="V44" i="62"/>
  <c r="J48" i="62"/>
  <c r="R50" i="62"/>
  <c r="J52" i="62"/>
  <c r="V56" i="62"/>
  <c r="J60" i="62"/>
  <c r="V64" i="62"/>
  <c r="J68" i="62"/>
  <c r="J72" i="62"/>
  <c r="R74" i="62"/>
  <c r="J76" i="62"/>
  <c r="R78" i="62"/>
  <c r="V80" i="62"/>
  <c r="R81" i="62"/>
  <c r="J84" i="62"/>
  <c r="J88" i="62"/>
  <c r="V92" i="62"/>
  <c r="R93" i="62"/>
  <c r="V96" i="62"/>
  <c r="Z64" i="64"/>
  <c r="Z76" i="64"/>
  <c r="N18" i="66"/>
  <c r="L61" i="66"/>
  <c r="N61" i="66" s="1"/>
  <c r="Z62" i="66"/>
  <c r="N72" i="66"/>
  <c r="N23" i="67"/>
  <c r="P16" i="59"/>
  <c r="R18" i="59"/>
  <c r="V19" i="59"/>
  <c r="R20" i="59"/>
  <c r="F24" i="59"/>
  <c r="V27" i="59"/>
  <c r="R28" i="59"/>
  <c r="V31" i="59"/>
  <c r="R32" i="59"/>
  <c r="F36" i="59"/>
  <c r="R37" i="59"/>
  <c r="F39" i="59"/>
  <c r="V39" i="59"/>
  <c r="R40" i="59"/>
  <c r="V47" i="59"/>
  <c r="R48" i="59"/>
  <c r="F52" i="59"/>
  <c r="F58" i="59"/>
  <c r="F20" i="60"/>
  <c r="J27" i="60"/>
  <c r="J35" i="60"/>
  <c r="F36" i="60"/>
  <c r="J39" i="60"/>
  <c r="F40" i="60"/>
  <c r="J43" i="60"/>
  <c r="F45" i="60"/>
  <c r="J49" i="60"/>
  <c r="F51" i="60"/>
  <c r="R14" i="61"/>
  <c r="J16" i="61"/>
  <c r="Z16" i="61"/>
  <c r="J20" i="61"/>
  <c r="R25" i="61"/>
  <c r="R29" i="61"/>
  <c r="J32" i="61"/>
  <c r="J40" i="61"/>
  <c r="J44" i="61"/>
  <c r="R46" i="61"/>
  <c r="J50" i="61"/>
  <c r="R53" i="61"/>
  <c r="J18" i="62"/>
  <c r="J22" i="62"/>
  <c r="J30" i="62"/>
  <c r="J34" i="62"/>
  <c r="J40" i="62"/>
  <c r="J46" i="62"/>
  <c r="J58" i="62"/>
  <c r="V62" i="62"/>
  <c r="J66" i="62"/>
  <c r="V70" i="62"/>
  <c r="R71" i="62"/>
  <c r="V74" i="62"/>
  <c r="R75" i="62"/>
  <c r="V78" i="62"/>
  <c r="R79" i="62"/>
  <c r="J80" i="62"/>
  <c r="V82" i="62"/>
  <c r="R83" i="62"/>
  <c r="J86" i="62"/>
  <c r="V90" i="62"/>
  <c r="V94" i="62"/>
  <c r="R98" i="62"/>
  <c r="N18" i="65"/>
  <c r="L18" i="65"/>
  <c r="N46" i="65"/>
  <c r="Z13" i="66"/>
  <c r="N16" i="66"/>
  <c r="Z31" i="66"/>
  <c r="X61" i="66"/>
  <c r="N80" i="66"/>
  <c r="Z23" i="67"/>
  <c r="Z41" i="67"/>
  <c r="R16" i="59"/>
  <c r="V20" i="59"/>
  <c r="R21" i="59"/>
  <c r="F25" i="59"/>
  <c r="V28" i="59"/>
  <c r="V32" i="59"/>
  <c r="V40" i="59"/>
  <c r="R41" i="59"/>
  <c r="F44" i="59"/>
  <c r="V44" i="59"/>
  <c r="R45" i="59"/>
  <c r="V48" i="59"/>
  <c r="F54" i="59"/>
  <c r="V54" i="59"/>
  <c r="F60" i="59"/>
  <c r="V60" i="59"/>
  <c r="R14" i="60"/>
  <c r="J16" i="60"/>
  <c r="N18" i="60"/>
  <c r="J20" i="60"/>
  <c r="F21" i="60"/>
  <c r="R25" i="60"/>
  <c r="F28" i="60"/>
  <c r="R29" i="60"/>
  <c r="J30" i="60"/>
  <c r="F33" i="60"/>
  <c r="R34" i="60"/>
  <c r="J36" i="60"/>
  <c r="F37" i="60"/>
  <c r="R38" i="60"/>
  <c r="J40" i="60"/>
  <c r="F41" i="60"/>
  <c r="R42" i="60"/>
  <c r="L16" i="61"/>
  <c r="R19" i="61"/>
  <c r="J21" i="61"/>
  <c r="F22" i="61"/>
  <c r="V25" i="61"/>
  <c r="R26" i="61"/>
  <c r="V29" i="61"/>
  <c r="R30" i="61"/>
  <c r="F33" i="61"/>
  <c r="V33" i="61"/>
  <c r="R34" i="61"/>
  <c r="J35" i="61"/>
  <c r="F38" i="61"/>
  <c r="R39" i="61"/>
  <c r="F41" i="61"/>
  <c r="V41" i="61"/>
  <c r="R42" i="61"/>
  <c r="R48" i="61"/>
  <c r="J23" i="62"/>
  <c r="V27" i="62"/>
  <c r="R28" i="62"/>
  <c r="J31" i="62"/>
  <c r="J35" i="62"/>
  <c r="V39" i="62"/>
  <c r="J43" i="62"/>
  <c r="R45" i="62"/>
  <c r="V47" i="62"/>
  <c r="R48" i="62"/>
  <c r="V51" i="62"/>
  <c r="R52" i="62"/>
  <c r="J53" i="62"/>
  <c r="R57" i="62"/>
  <c r="V59" i="62"/>
  <c r="R60" i="62"/>
  <c r="J61" i="62"/>
  <c r="R65" i="62"/>
  <c r="V67" i="62"/>
  <c r="R68" i="62"/>
  <c r="J69" i="62"/>
  <c r="V71" i="62"/>
  <c r="R72" i="62"/>
  <c r="V75" i="62"/>
  <c r="R76" i="62"/>
  <c r="V79" i="62"/>
  <c r="V83" i="62"/>
  <c r="R84" i="62"/>
  <c r="V87" i="62"/>
  <c r="R88" i="62"/>
  <c r="J89" i="62"/>
  <c r="J99" i="62"/>
  <c r="R101" i="62"/>
  <c r="J105" i="62"/>
  <c r="R108" i="62"/>
  <c r="J52" i="65"/>
  <c r="J42" i="65"/>
  <c r="J34" i="65"/>
  <c r="J28" i="65"/>
  <c r="J66" i="65"/>
  <c r="J59" i="65"/>
  <c r="J45" i="65"/>
  <c r="J39" i="65"/>
  <c r="J31" i="65"/>
  <c r="J54" i="65"/>
  <c r="J48" i="65"/>
  <c r="J44" i="65"/>
  <c r="J36" i="65"/>
  <c r="J18" i="65"/>
  <c r="J50" i="65"/>
  <c r="J38" i="65"/>
  <c r="J30" i="65"/>
  <c r="J26" i="65"/>
  <c r="J22" i="65"/>
  <c r="J63" i="65"/>
  <c r="J57" i="65"/>
  <c r="J53" i="65"/>
  <c r="J43" i="65"/>
  <c r="J35" i="65"/>
  <c r="J29" i="65"/>
  <c r="H22" i="65"/>
  <c r="J46" i="65"/>
  <c r="J40" i="65"/>
  <c r="J32" i="65"/>
  <c r="J24" i="65"/>
  <c r="J20" i="65"/>
  <c r="N12" i="65"/>
  <c r="J61" i="65"/>
  <c r="J55" i="65"/>
  <c r="J49" i="65"/>
  <c r="J37" i="65"/>
  <c r="J25" i="65"/>
  <c r="J19" i="65"/>
  <c r="Z61" i="66"/>
  <c r="R22" i="59"/>
  <c r="R35" i="59"/>
  <c r="V37" i="59"/>
  <c r="R38" i="59"/>
  <c r="V41" i="59"/>
  <c r="R42" i="59"/>
  <c r="V45" i="59"/>
  <c r="F50" i="59"/>
  <c r="R51" i="59"/>
  <c r="F22" i="60"/>
  <c r="J37" i="60"/>
  <c r="J41" i="60"/>
  <c r="J45" i="60"/>
  <c r="R47" i="60"/>
  <c r="J51" i="60"/>
  <c r="R54" i="60"/>
  <c r="J22" i="61"/>
  <c r="R27" i="61"/>
  <c r="J28" i="61"/>
  <c r="R31" i="61"/>
  <c r="J38" i="61"/>
  <c r="F53" i="61"/>
  <c r="V53" i="61"/>
  <c r="J24" i="62"/>
  <c r="V28" i="62"/>
  <c r="R29" i="62"/>
  <c r="V32" i="62"/>
  <c r="R33" i="62"/>
  <c r="J36" i="62"/>
  <c r="R42" i="62"/>
  <c r="J44" i="62"/>
  <c r="X47" i="62"/>
  <c r="V48" i="62"/>
  <c r="R49" i="62"/>
  <c r="J50" i="62"/>
  <c r="V52" i="62"/>
  <c r="L53" i="62"/>
  <c r="J56" i="62"/>
  <c r="X59" i="62"/>
  <c r="Z59" i="62" s="1"/>
  <c r="V60" i="62"/>
  <c r="L61" i="62"/>
  <c r="J64" i="62"/>
  <c r="X67" i="62"/>
  <c r="Z67" i="62" s="1"/>
  <c r="V68" i="62"/>
  <c r="L69" i="62"/>
  <c r="N69" i="62" s="1"/>
  <c r="V72" i="62"/>
  <c r="R73" i="62"/>
  <c r="J74" i="62"/>
  <c r="V76" i="62"/>
  <c r="R77" i="62"/>
  <c r="J78" i="62"/>
  <c r="V84" i="62"/>
  <c r="R85" i="62"/>
  <c r="X87" i="62"/>
  <c r="Z87" i="62" s="1"/>
  <c r="V88" i="62"/>
  <c r="L89" i="62"/>
  <c r="J92" i="62"/>
  <c r="J96" i="62"/>
  <c r="V98" i="62"/>
  <c r="R103" i="62"/>
  <c r="Z68" i="64"/>
  <c r="Z83" i="64"/>
  <c r="J33" i="65"/>
  <c r="N36" i="66"/>
  <c r="V16" i="59"/>
  <c r="V18" i="59"/>
  <c r="V22" i="59"/>
  <c r="R23" i="59"/>
  <c r="F27" i="59"/>
  <c r="F31" i="59"/>
  <c r="V38" i="59"/>
  <c r="V42" i="59"/>
  <c r="R43" i="59"/>
  <c r="F47" i="59"/>
  <c r="R56" i="59"/>
  <c r="R63" i="59"/>
  <c r="F14" i="60"/>
  <c r="J22" i="60"/>
  <c r="F23" i="60"/>
  <c r="R27" i="60"/>
  <c r="J28" i="60"/>
  <c r="F31" i="60"/>
  <c r="R32" i="60"/>
  <c r="F34" i="60"/>
  <c r="R35" i="60"/>
  <c r="F38" i="60"/>
  <c r="R39" i="60"/>
  <c r="F42" i="60"/>
  <c r="R43" i="60"/>
  <c r="R49" i="60"/>
  <c r="L12" i="61"/>
  <c r="P16" i="61"/>
  <c r="F18" i="61"/>
  <c r="R18" i="61"/>
  <c r="F19" i="61"/>
  <c r="V19" i="61"/>
  <c r="R20" i="61"/>
  <c r="J23" i="61"/>
  <c r="F24" i="61"/>
  <c r="V27" i="61"/>
  <c r="V31" i="61"/>
  <c r="R32" i="61"/>
  <c r="J33" i="61"/>
  <c r="F36" i="61"/>
  <c r="R37" i="61"/>
  <c r="F39" i="61"/>
  <c r="V39" i="61"/>
  <c r="R40" i="61"/>
  <c r="J41" i="61"/>
  <c r="P18" i="62"/>
  <c r="R20" i="62"/>
  <c r="V21" i="62"/>
  <c r="R22" i="62"/>
  <c r="J25" i="62"/>
  <c r="V29" i="62"/>
  <c r="R30" i="62"/>
  <c r="V33" i="62"/>
  <c r="R34" i="62"/>
  <c r="J37" i="62"/>
  <c r="J41" i="62"/>
  <c r="V45" i="62"/>
  <c r="R46" i="62"/>
  <c r="J47" i="62"/>
  <c r="V49" i="62"/>
  <c r="R55" i="62"/>
  <c r="V57" i="62"/>
  <c r="R58" i="62"/>
  <c r="J59" i="62"/>
  <c r="R63" i="62"/>
  <c r="V65" i="62"/>
  <c r="R66" i="62"/>
  <c r="J67" i="62"/>
  <c r="V73" i="62"/>
  <c r="V77" i="62"/>
  <c r="J81" i="62"/>
  <c r="V85" i="62"/>
  <c r="R86" i="62"/>
  <c r="J87" i="62"/>
  <c r="R91" i="62"/>
  <c r="J93" i="62"/>
  <c r="R95" i="62"/>
  <c r="V101" i="62"/>
  <c r="V103" i="62"/>
  <c r="V108" i="62"/>
  <c r="Z86" i="64"/>
  <c r="X86" i="64"/>
  <c r="Z13" i="65"/>
  <c r="X13" i="65"/>
  <c r="T12" i="65"/>
  <c r="N37" i="65"/>
  <c r="J41" i="65"/>
  <c r="J51" i="65"/>
  <c r="Z29" i="66"/>
  <c r="N32" i="66"/>
  <c r="X12" i="59"/>
  <c r="F20" i="59"/>
  <c r="V23" i="59"/>
  <c r="R24" i="59"/>
  <c r="F28" i="59"/>
  <c r="R29" i="59"/>
  <c r="F32" i="59"/>
  <c r="R33" i="59"/>
  <c r="F35" i="59"/>
  <c r="V35" i="59"/>
  <c r="R36" i="59"/>
  <c r="F40" i="59"/>
  <c r="V43" i="59"/>
  <c r="F48" i="59"/>
  <c r="R49" i="59"/>
  <c r="F51" i="59"/>
  <c r="V51" i="59"/>
  <c r="R52" i="59"/>
  <c r="R58" i="59"/>
  <c r="L12" i="60"/>
  <c r="P16" i="60"/>
  <c r="F18" i="60"/>
  <c r="R18" i="60"/>
  <c r="F19" i="60"/>
  <c r="R20" i="60"/>
  <c r="J23" i="60"/>
  <c r="F24" i="60"/>
  <c r="R36" i="60"/>
  <c r="F47" i="60"/>
  <c r="F54" i="60"/>
  <c r="N12" i="61"/>
  <c r="J14" i="61"/>
  <c r="R16" i="61"/>
  <c r="V20" i="61"/>
  <c r="R21" i="61"/>
  <c r="J24" i="61"/>
  <c r="F25" i="61"/>
  <c r="V32" i="61"/>
  <c r="J36" i="61"/>
  <c r="R44" i="61"/>
  <c r="J46" i="61"/>
  <c r="R50" i="61"/>
  <c r="J53" i="61"/>
  <c r="R18" i="62"/>
  <c r="V22" i="62"/>
  <c r="R23" i="62"/>
  <c r="J26" i="62"/>
  <c r="V30" i="62"/>
  <c r="R31" i="62"/>
  <c r="J32" i="62"/>
  <c r="V34" i="62"/>
  <c r="R35" i="62"/>
  <c r="J38" i="62"/>
  <c r="R40" i="62"/>
  <c r="V42" i="62"/>
  <c r="R43" i="62"/>
  <c r="V46" i="62"/>
  <c r="J54" i="62"/>
  <c r="V58" i="62"/>
  <c r="J62" i="62"/>
  <c r="V66" i="62"/>
  <c r="J70" i="62"/>
  <c r="R80" i="62"/>
  <c r="J82" i="62"/>
  <c r="V86" i="62"/>
  <c r="J90" i="62"/>
  <c r="J94" i="62"/>
  <c r="J98" i="62"/>
  <c r="X42" i="64"/>
  <c r="Z42" i="64" s="1"/>
  <c r="L62" i="64"/>
  <c r="X68" i="64"/>
  <c r="N24" i="65"/>
  <c r="J27" i="65"/>
  <c r="J47" i="65"/>
  <c r="X52" i="65"/>
  <c r="Z52" i="65" s="1"/>
  <c r="N54" i="65"/>
  <c r="L54" i="65"/>
  <c r="N35" i="66"/>
  <c r="Z36" i="66"/>
  <c r="N94" i="66"/>
  <c r="Z37" i="67"/>
  <c r="R25" i="59"/>
  <c r="V52" i="59"/>
  <c r="F56" i="59"/>
  <c r="V56" i="59"/>
  <c r="V58" i="59"/>
  <c r="R22" i="61"/>
  <c r="J25" i="61"/>
  <c r="J29" i="61"/>
  <c r="R35" i="61"/>
  <c r="J21" i="62"/>
  <c r="J27" i="62"/>
  <c r="V35" i="62"/>
  <c r="R36" i="62"/>
  <c r="J39" i="62"/>
  <c r="V43" i="62"/>
  <c r="R44" i="62"/>
  <c r="J45" i="62"/>
  <c r="J51" i="62"/>
  <c r="R53" i="62"/>
  <c r="V55" i="62"/>
  <c r="R56" i="62"/>
  <c r="J57" i="62"/>
  <c r="R61" i="62"/>
  <c r="V63" i="62"/>
  <c r="R64" i="62"/>
  <c r="J65" i="62"/>
  <c r="R69" i="62"/>
  <c r="J71" i="62"/>
  <c r="J75" i="62"/>
  <c r="J79" i="62"/>
  <c r="J83" i="62"/>
  <c r="R89" i="62"/>
  <c r="V91" i="62"/>
  <c r="R92" i="62"/>
  <c r="R96" i="62"/>
  <c r="R99" i="62"/>
  <c r="J101" i="62"/>
  <c r="L71" i="64"/>
  <c r="N71" i="64"/>
  <c r="X24" i="65"/>
  <c r="Z24" i="65" s="1"/>
  <c r="Z28" i="65"/>
  <c r="X28" i="65"/>
  <c r="L12" i="65"/>
  <c r="F20" i="65"/>
  <c r="D22" i="65"/>
  <c r="N31" i="65"/>
  <c r="F32" i="65"/>
  <c r="F35" i="65"/>
  <c r="F40" i="65"/>
  <c r="F43" i="65"/>
  <c r="F57" i="65"/>
  <c r="Z12" i="66"/>
  <c r="X13" i="66"/>
  <c r="V44" i="66"/>
  <c r="V52" i="66"/>
  <c r="T59" i="66"/>
  <c r="V64" i="66"/>
  <c r="V76" i="66"/>
  <c r="V80" i="66"/>
  <c r="Z82" i="66"/>
  <c r="V84" i="66"/>
  <c r="V92" i="66"/>
  <c r="Z94" i="66"/>
  <c r="N96" i="66"/>
  <c r="N100" i="66"/>
  <c r="V112" i="66"/>
  <c r="Z116" i="66"/>
  <c r="P12" i="67"/>
  <c r="L14" i="67"/>
  <c r="J21" i="67"/>
  <c r="J25" i="67"/>
  <c r="J35" i="67"/>
  <c r="J43" i="67"/>
  <c r="J46" i="67"/>
  <c r="R147" i="69"/>
  <c r="R140" i="69"/>
  <c r="R137" i="69"/>
  <c r="R132" i="69"/>
  <c r="R125" i="69"/>
  <c r="R116" i="69"/>
  <c r="R104" i="69"/>
  <c r="R100" i="69"/>
  <c r="R88" i="69"/>
  <c r="R86" i="69"/>
  <c r="P84" i="69"/>
  <c r="R84" i="69" s="1"/>
  <c r="R76" i="69"/>
  <c r="R68" i="69"/>
  <c r="R60" i="69"/>
  <c r="X12" i="69"/>
  <c r="R128" i="69"/>
  <c r="R119" i="69"/>
  <c r="R112" i="69"/>
  <c r="R107" i="69"/>
  <c r="R99" i="69"/>
  <c r="R95" i="69"/>
  <c r="R75" i="69"/>
  <c r="R67" i="69"/>
  <c r="R59" i="69"/>
  <c r="R145" i="69"/>
  <c r="R142" i="69"/>
  <c r="R139" i="69"/>
  <c r="R131" i="69"/>
  <c r="R118" i="69"/>
  <c r="R115" i="69"/>
  <c r="R106" i="69"/>
  <c r="R103" i="69"/>
  <c r="R98" i="69"/>
  <c r="R94" i="69"/>
  <c r="R87" i="69"/>
  <c r="R82" i="69"/>
  <c r="R74" i="69"/>
  <c r="R66" i="69"/>
  <c r="R58" i="69"/>
  <c r="R151" i="69"/>
  <c r="R121" i="69"/>
  <c r="R109" i="69"/>
  <c r="R97" i="69"/>
  <c r="R93" i="69"/>
  <c r="R81" i="69"/>
  <c r="R73" i="69"/>
  <c r="R65" i="69"/>
  <c r="R141" i="69"/>
  <c r="R136" i="69"/>
  <c r="R124" i="69"/>
  <c r="R117" i="69"/>
  <c r="R105" i="69"/>
  <c r="R92" i="69"/>
  <c r="R80" i="69"/>
  <c r="R72" i="69"/>
  <c r="R64" i="69"/>
  <c r="R57" i="69"/>
  <c r="R146" i="69"/>
  <c r="R135" i="69"/>
  <c r="R127" i="69"/>
  <c r="R123" i="69"/>
  <c r="R120" i="69"/>
  <c r="R111" i="69"/>
  <c r="R108" i="69"/>
  <c r="R96" i="69"/>
  <c r="R91" i="69"/>
  <c r="R79" i="69"/>
  <c r="R71" i="69"/>
  <c r="R63" i="69"/>
  <c r="R138" i="69"/>
  <c r="R134" i="69"/>
  <c r="R130" i="69"/>
  <c r="R126" i="69"/>
  <c r="R114" i="69"/>
  <c r="R102" i="69"/>
  <c r="R90" i="69"/>
  <c r="R78" i="69"/>
  <c r="R70" i="69"/>
  <c r="R62" i="69"/>
  <c r="R144" i="69"/>
  <c r="R133" i="69"/>
  <c r="R129" i="69"/>
  <c r="R122" i="69"/>
  <c r="R113" i="69"/>
  <c r="R110" i="69"/>
  <c r="R101" i="69"/>
  <c r="R89" i="69"/>
  <c r="R77" i="69"/>
  <c r="R69" i="69"/>
  <c r="R61" i="69"/>
  <c r="Z42" i="69"/>
  <c r="L13" i="65"/>
  <c r="F22" i="65"/>
  <c r="F29" i="65"/>
  <c r="F53" i="65"/>
  <c r="D12" i="66"/>
  <c r="V45" i="66"/>
  <c r="V53" i="66"/>
  <c r="V59" i="66"/>
  <c r="V61" i="66"/>
  <c r="V65" i="66"/>
  <c r="V77" i="66"/>
  <c r="V81" i="66"/>
  <c r="V89" i="66"/>
  <c r="V93" i="66"/>
  <c r="V109" i="66"/>
  <c r="V115" i="66"/>
  <c r="L116" i="66"/>
  <c r="T12" i="67"/>
  <c r="J26" i="67"/>
  <c r="J38" i="67"/>
  <c r="L15" i="69"/>
  <c r="D12" i="69"/>
  <c r="N22" i="69"/>
  <c r="Z23" i="69"/>
  <c r="N47" i="69"/>
  <c r="Z86" i="69"/>
  <c r="Z96" i="69"/>
  <c r="N14" i="70"/>
  <c r="Z25" i="70"/>
  <c r="Z32" i="70"/>
  <c r="N13" i="65"/>
  <c r="F26" i="65"/>
  <c r="F30" i="65"/>
  <c r="F33" i="65"/>
  <c r="F38" i="65"/>
  <c r="F41" i="65"/>
  <c r="F50" i="65"/>
  <c r="H12" i="66"/>
  <c r="V46" i="66"/>
  <c r="V54" i="66"/>
  <c r="V66" i="66"/>
  <c r="V78" i="66"/>
  <c r="V90" i="66"/>
  <c r="V106" i="66"/>
  <c r="V110" i="66"/>
  <c r="J27" i="67"/>
  <c r="J33" i="67"/>
  <c r="J41" i="67"/>
  <c r="N15" i="69"/>
  <c r="Z141" i="69"/>
  <c r="F18" i="65"/>
  <c r="F27" i="65"/>
  <c r="F47" i="65"/>
  <c r="F51" i="65"/>
  <c r="F54" i="65"/>
  <c r="V47" i="66"/>
  <c r="V55" i="66"/>
  <c r="V67" i="66"/>
  <c r="V79" i="66"/>
  <c r="V87" i="66"/>
  <c r="V91" i="66"/>
  <c r="V103" i="66"/>
  <c r="V107" i="66"/>
  <c r="T114" i="66"/>
  <c r="V117" i="66"/>
  <c r="X13" i="67"/>
  <c r="J18" i="67"/>
  <c r="J28" i="67"/>
  <c r="J36" i="67"/>
  <c r="J44" i="67"/>
  <c r="N46" i="69"/>
  <c r="N57" i="69"/>
  <c r="N13" i="70"/>
  <c r="V77" i="70"/>
  <c r="V69" i="70"/>
  <c r="V57" i="70"/>
  <c r="V85" i="70"/>
  <c r="V63" i="70"/>
  <c r="V59" i="70"/>
  <c r="V55" i="70"/>
  <c r="V74" i="70"/>
  <c r="V62" i="70"/>
  <c r="V58" i="70"/>
  <c r="V50" i="70"/>
  <c r="V73" i="70"/>
  <c r="V65" i="70"/>
  <c r="V61" i="70"/>
  <c r="V76" i="70"/>
  <c r="V72" i="70"/>
  <c r="V64" i="70"/>
  <c r="V60" i="70"/>
  <c r="V52" i="70"/>
  <c r="V51" i="70"/>
  <c r="V42" i="70"/>
  <c r="V38" i="70"/>
  <c r="V53" i="70"/>
  <c r="V49" i="70"/>
  <c r="V37" i="70"/>
  <c r="V67" i="70"/>
  <c r="V54" i="70"/>
  <c r="V36" i="70"/>
  <c r="V32" i="70"/>
  <c r="V78" i="70"/>
  <c r="V70" i="70"/>
  <c r="V35" i="70"/>
  <c r="T30" i="70"/>
  <c r="V56" i="70"/>
  <c r="V46" i="70"/>
  <c r="V34" i="70"/>
  <c r="V75" i="70"/>
  <c r="V45" i="70"/>
  <c r="V41" i="70"/>
  <c r="V33" i="70"/>
  <c r="V71" i="70"/>
  <c r="V48" i="70"/>
  <c r="V44" i="70"/>
  <c r="V40" i="70"/>
  <c r="V28" i="70"/>
  <c r="V81" i="70"/>
  <c r="V68" i="70"/>
  <c r="V66" i="70"/>
  <c r="V47" i="70"/>
  <c r="V43" i="70"/>
  <c r="V39" i="70"/>
  <c r="V27" i="70"/>
  <c r="V40" i="66"/>
  <c r="V48" i="66"/>
  <c r="V56" i="66"/>
  <c r="V68" i="66"/>
  <c r="V72" i="66"/>
  <c r="V88" i="66"/>
  <c r="V96" i="66"/>
  <c r="V100" i="66"/>
  <c r="V104" i="66"/>
  <c r="V108" i="66"/>
  <c r="V114" i="66"/>
  <c r="D12" i="67"/>
  <c r="J29" i="67"/>
  <c r="J39" i="67"/>
  <c r="N14" i="69"/>
  <c r="L14" i="69"/>
  <c r="H12" i="69"/>
  <c r="V145" i="69"/>
  <c r="V139" i="69"/>
  <c r="V131" i="69"/>
  <c r="V119" i="69"/>
  <c r="V115" i="69"/>
  <c r="V107" i="69"/>
  <c r="V103" i="69"/>
  <c r="V99" i="69"/>
  <c r="V95" i="69"/>
  <c r="V87" i="69"/>
  <c r="V75" i="69"/>
  <c r="V67" i="69"/>
  <c r="V59" i="69"/>
  <c r="V142" i="69"/>
  <c r="V118" i="69"/>
  <c r="V106" i="69"/>
  <c r="V98" i="69"/>
  <c r="V94" i="69"/>
  <c r="V82" i="69"/>
  <c r="V74" i="69"/>
  <c r="V66" i="69"/>
  <c r="V58" i="69"/>
  <c r="V151" i="69"/>
  <c r="V141" i="69"/>
  <c r="V121" i="69"/>
  <c r="V117" i="69"/>
  <c r="V109" i="69"/>
  <c r="V105" i="69"/>
  <c r="V97" i="69"/>
  <c r="V93" i="69"/>
  <c r="V81" i="69"/>
  <c r="V73" i="69"/>
  <c r="V65" i="69"/>
  <c r="V57" i="69"/>
  <c r="V146" i="69"/>
  <c r="V136" i="69"/>
  <c r="V124" i="69"/>
  <c r="V120" i="69"/>
  <c r="V108" i="69"/>
  <c r="V96" i="69"/>
  <c r="V92" i="69"/>
  <c r="V80" i="69"/>
  <c r="V72" i="69"/>
  <c r="V64" i="69"/>
  <c r="V135" i="69"/>
  <c r="V127" i="69"/>
  <c r="V123" i="69"/>
  <c r="V111" i="69"/>
  <c r="V91" i="69"/>
  <c r="V79" i="69"/>
  <c r="V71" i="69"/>
  <c r="V63" i="69"/>
  <c r="V144" i="69"/>
  <c r="V138" i="69"/>
  <c r="V134" i="69"/>
  <c r="V130" i="69"/>
  <c r="V126" i="69"/>
  <c r="V122" i="69"/>
  <c r="V114" i="69"/>
  <c r="V110" i="69"/>
  <c r="V102" i="69"/>
  <c r="V90" i="69"/>
  <c r="V86" i="69"/>
  <c r="V78" i="69"/>
  <c r="V70" i="69"/>
  <c r="V62" i="69"/>
  <c r="V147" i="69"/>
  <c r="V137" i="69"/>
  <c r="V133" i="69"/>
  <c r="V129" i="69"/>
  <c r="V125" i="69"/>
  <c r="V113" i="69"/>
  <c r="V101" i="69"/>
  <c r="V89" i="69"/>
  <c r="T84" i="69"/>
  <c r="V77" i="69"/>
  <c r="V69" i="69"/>
  <c r="V61" i="69"/>
  <c r="V140" i="69"/>
  <c r="V132" i="69"/>
  <c r="V128" i="69"/>
  <c r="V116" i="69"/>
  <c r="V112" i="69"/>
  <c r="V104" i="69"/>
  <c r="V100" i="69"/>
  <c r="V88" i="69"/>
  <c r="V76" i="69"/>
  <c r="V68" i="69"/>
  <c r="V60" i="69"/>
  <c r="Z12" i="69"/>
  <c r="Z36" i="69"/>
  <c r="F28" i="65"/>
  <c r="F45" i="65"/>
  <c r="F52" i="65"/>
  <c r="V41" i="66"/>
  <c r="V49" i="66"/>
  <c r="V57" i="66"/>
  <c r="V69" i="66"/>
  <c r="X72" i="66"/>
  <c r="Z72" i="66" s="1"/>
  <c r="V73" i="66"/>
  <c r="V85" i="66"/>
  <c r="V97" i="66"/>
  <c r="V101" i="66"/>
  <c r="V105" i="66"/>
  <c r="J54" i="67"/>
  <c r="J48" i="67"/>
  <c r="J57" i="67"/>
  <c r="J50" i="67"/>
  <c r="J24" i="67"/>
  <c r="J30" i="67"/>
  <c r="J34" i="67"/>
  <c r="X37" i="67"/>
  <c r="L39" i="67"/>
  <c r="J42" i="67"/>
  <c r="X45" i="67"/>
  <c r="Z45" i="67" s="1"/>
  <c r="Z26" i="69"/>
  <c r="Z146" i="69"/>
  <c r="N22" i="70"/>
  <c r="F24" i="65"/>
  <c r="F25" i="65"/>
  <c r="F34" i="65"/>
  <c r="F37" i="65"/>
  <c r="F42" i="65"/>
  <c r="F49" i="65"/>
  <c r="V42" i="66"/>
  <c r="V50" i="66"/>
  <c r="V62" i="66"/>
  <c r="V70" i="66"/>
  <c r="V74" i="66"/>
  <c r="V82" i="66"/>
  <c r="V86" i="66"/>
  <c r="V94" i="66"/>
  <c r="V98" i="66"/>
  <c r="V102" i="66"/>
  <c r="V116" i="66"/>
  <c r="J19" i="67"/>
  <c r="J23" i="67"/>
  <c r="J31" i="67"/>
  <c r="J37" i="67"/>
  <c r="J45" i="67"/>
  <c r="N48" i="69"/>
  <c r="N15" i="70"/>
  <c r="Z19" i="70"/>
  <c r="F19" i="65"/>
  <c r="F46" i="65"/>
  <c r="F55" i="65"/>
  <c r="V43" i="66"/>
  <c r="V51" i="66"/>
  <c r="V63" i="66"/>
  <c r="V71" i="66"/>
  <c r="V75" i="66"/>
  <c r="V83" i="66"/>
  <c r="V95" i="66"/>
  <c r="V99" i="66"/>
  <c r="V111" i="66"/>
  <c r="V121" i="66"/>
  <c r="N12" i="67"/>
  <c r="H21" i="67"/>
  <c r="J32" i="67"/>
  <c r="J40" i="67"/>
  <c r="Z28" i="69"/>
  <c r="Z52" i="69"/>
  <c r="N86" i="69"/>
  <c r="N96" i="69"/>
  <c r="R81" i="70"/>
  <c r="R78" i="70"/>
  <c r="R75" i="70"/>
  <c r="R70" i="70"/>
  <c r="R77" i="70"/>
  <c r="R56" i="70"/>
  <c r="R53" i="70"/>
  <c r="R85" i="70"/>
  <c r="R68" i="70"/>
  <c r="R63" i="70"/>
  <c r="R59" i="70"/>
  <c r="R74" i="70"/>
  <c r="R62" i="70"/>
  <c r="R55" i="70"/>
  <c r="R80" i="70"/>
  <c r="R73" i="70"/>
  <c r="R65" i="70"/>
  <c r="R61" i="70"/>
  <c r="R58" i="70"/>
  <c r="R76" i="70"/>
  <c r="R43" i="70"/>
  <c r="R39" i="70"/>
  <c r="R69" i="70"/>
  <c r="R66" i="70"/>
  <c r="R47" i="70"/>
  <c r="R38" i="70"/>
  <c r="R27" i="70"/>
  <c r="R51" i="70"/>
  <c r="R42" i="70"/>
  <c r="R37" i="70"/>
  <c r="R67" i="70"/>
  <c r="R54" i="70"/>
  <c r="R52" i="70"/>
  <c r="R50" i="70"/>
  <c r="R49" i="70"/>
  <c r="R36" i="70"/>
  <c r="R35" i="70"/>
  <c r="R46" i="70"/>
  <c r="R34" i="70"/>
  <c r="R32" i="70"/>
  <c r="P30" i="70"/>
  <c r="R30" i="70" s="1"/>
  <c r="R64" i="70"/>
  <c r="R60" i="70"/>
  <c r="R57" i="70"/>
  <c r="R45" i="70"/>
  <c r="R41" i="70"/>
  <c r="R72" i="70"/>
  <c r="R71" i="70"/>
  <c r="R48" i="70"/>
  <c r="R44" i="70"/>
  <c r="R40" i="70"/>
  <c r="R33" i="70"/>
  <c r="R28" i="70"/>
  <c r="X12" i="70"/>
  <c r="Z12" i="70" s="1"/>
  <c r="N21" i="70"/>
  <c r="Z22" i="70"/>
  <c r="N32" i="70"/>
  <c r="X13" i="69"/>
  <c r="Z13" i="69" s="1"/>
  <c r="N108" i="69"/>
  <c r="N120" i="69"/>
  <c r="X145" i="69"/>
  <c r="Z145" i="69" s="1"/>
  <c r="L53" i="70"/>
  <c r="X60" i="70"/>
  <c r="X64" i="70"/>
  <c r="X75" i="70"/>
  <c r="Z77" i="70"/>
  <c r="P80" i="70"/>
  <c r="X30" i="71"/>
  <c r="Z30" i="71" s="1"/>
  <c r="X54" i="71"/>
  <c r="Z54" i="71" s="1"/>
  <c r="Z75" i="70"/>
  <c r="L23" i="71"/>
  <c r="N23" i="71" s="1"/>
  <c r="Z55" i="71"/>
  <c r="N73" i="71"/>
  <c r="X15" i="69"/>
  <c r="L19" i="69"/>
  <c r="N19" i="69" s="1"/>
  <c r="X23" i="69"/>
  <c r="L27" i="69"/>
  <c r="N27" i="69" s="1"/>
  <c r="X31" i="69"/>
  <c r="Z31" i="69" s="1"/>
  <c r="L35" i="69"/>
  <c r="N35" i="69" s="1"/>
  <c r="X39" i="69"/>
  <c r="Z39" i="69" s="1"/>
  <c r="L43" i="69"/>
  <c r="X47" i="69"/>
  <c r="Z47" i="69" s="1"/>
  <c r="L51" i="69"/>
  <c r="N51" i="69" s="1"/>
  <c r="X55" i="69"/>
  <c r="X147" i="69"/>
  <c r="Z147" i="69" s="1"/>
  <c r="D12" i="70"/>
  <c r="X14" i="70"/>
  <c r="L18" i="70"/>
  <c r="X22" i="70"/>
  <c r="N53" i="70"/>
  <c r="Z60" i="70"/>
  <c r="Z64" i="70"/>
  <c r="N27" i="71"/>
  <c r="L25" i="73"/>
  <c r="D77" i="73"/>
  <c r="Z15" i="69"/>
  <c r="H144" i="69"/>
  <c r="H12" i="70"/>
  <c r="Z14" i="70"/>
  <c r="X15" i="70"/>
  <c r="Z15" i="70" s="1"/>
  <c r="L55" i="70"/>
  <c r="N55" i="70" s="1"/>
  <c r="L81" i="70"/>
  <c r="D80" i="70"/>
  <c r="X14" i="71"/>
  <c r="Z14" i="71" s="1"/>
  <c r="N18" i="71"/>
  <c r="Z19" i="71"/>
  <c r="X19" i="71"/>
  <c r="Z23" i="71"/>
  <c r="N31" i="71"/>
  <c r="L31" i="71"/>
  <c r="Z32" i="71"/>
  <c r="L20" i="72"/>
  <c r="N25" i="73"/>
  <c r="N66" i="70"/>
  <c r="N26" i="71"/>
  <c r="L26" i="71"/>
  <c r="X27" i="71"/>
  <c r="Z27" i="71" s="1"/>
  <c r="L71" i="71"/>
  <c r="N71" i="71" s="1"/>
  <c r="Z77" i="71"/>
  <c r="X77" i="71"/>
  <c r="X18" i="69"/>
  <c r="Z18" i="69" s="1"/>
  <c r="L30" i="69"/>
  <c r="X34" i="69"/>
  <c r="Z34" i="69" s="1"/>
  <c r="L38" i="69"/>
  <c r="N38" i="69" s="1"/>
  <c r="N81" i="70"/>
  <c r="P12" i="71"/>
  <c r="T12" i="71"/>
  <c r="Z13" i="71"/>
  <c r="L17" i="71"/>
  <c r="X57" i="69"/>
  <c r="Z57" i="69" s="1"/>
  <c r="X117" i="69"/>
  <c r="Z117" i="69" s="1"/>
  <c r="Z22" i="71"/>
  <c r="X22" i="71"/>
  <c r="N34" i="71"/>
  <c r="L34" i="71"/>
  <c r="N54" i="71"/>
  <c r="L55" i="71"/>
  <c r="N55" i="71" s="1"/>
  <c r="D48" i="74"/>
  <c r="Z66" i="70"/>
  <c r="Z81" i="70"/>
  <c r="T80" i="70"/>
  <c r="L15" i="71"/>
  <c r="N15" i="71" s="1"/>
  <c r="H12" i="71"/>
  <c r="N28" i="71"/>
  <c r="D12" i="71"/>
  <c r="F15" i="72"/>
  <c r="R18" i="72"/>
  <c r="V22" i="72"/>
  <c r="R23" i="72"/>
  <c r="J24" i="72"/>
  <c r="F27" i="72"/>
  <c r="T29" i="72"/>
  <c r="J30" i="72"/>
  <c r="R32" i="72"/>
  <c r="F79" i="73"/>
  <c r="F73" i="73"/>
  <c r="F68" i="73"/>
  <c r="F52" i="73"/>
  <c r="F47" i="73"/>
  <c r="F44" i="73"/>
  <c r="F40" i="73"/>
  <c r="F70" i="73"/>
  <c r="F67" i="73"/>
  <c r="F62" i="73"/>
  <c r="F58" i="73"/>
  <c r="F55" i="73"/>
  <c r="F39" i="73"/>
  <c r="F35" i="73"/>
  <c r="F27" i="73"/>
  <c r="F18" i="73"/>
  <c r="F77" i="73"/>
  <c r="F66" i="73"/>
  <c r="F54" i="73"/>
  <c r="F49" i="73"/>
  <c r="F46" i="73"/>
  <c r="F38" i="73"/>
  <c r="F34" i="73"/>
  <c r="F23" i="73"/>
  <c r="F64" i="73"/>
  <c r="F60" i="73"/>
  <c r="F51" i="73"/>
  <c r="F48" i="73"/>
  <c r="F43" i="73"/>
  <c r="F32" i="73"/>
  <c r="F20" i="73"/>
  <c r="F71" i="73"/>
  <c r="F63" i="73"/>
  <c r="F59" i="73"/>
  <c r="F31" i="73"/>
  <c r="F26" i="73"/>
  <c r="F25" i="73"/>
  <c r="F19" i="73"/>
  <c r="R26" i="73"/>
  <c r="F29" i="73"/>
  <c r="F30" i="73"/>
  <c r="R38" i="73"/>
  <c r="R43" i="73"/>
  <c r="R51" i="73"/>
  <c r="R57" i="73"/>
  <c r="Z68" i="73"/>
  <c r="F72" i="73"/>
  <c r="Z14" i="74"/>
  <c r="D12" i="75"/>
  <c r="X14" i="75"/>
  <c r="Z14" i="75" s="1"/>
  <c r="X25" i="75"/>
  <c r="H12" i="76"/>
  <c r="N13" i="76"/>
  <c r="X16" i="76"/>
  <c r="Z16" i="76" s="1"/>
  <c r="N22" i="76"/>
  <c r="V42" i="76"/>
  <c r="F44" i="76"/>
  <c r="X45" i="76"/>
  <c r="V60" i="76"/>
  <c r="V74" i="76"/>
  <c r="N78" i="77"/>
  <c r="F106" i="77"/>
  <c r="X93" i="71"/>
  <c r="Z93" i="71" s="1"/>
  <c r="L95" i="71"/>
  <c r="X99" i="71"/>
  <c r="Z99" i="71" s="1"/>
  <c r="X12" i="72"/>
  <c r="J15" i="72"/>
  <c r="J21" i="72"/>
  <c r="L24" i="72"/>
  <c r="J27" i="72"/>
  <c r="L30" i="72"/>
  <c r="D32" i="72"/>
  <c r="T12" i="73"/>
  <c r="X14" i="73"/>
  <c r="Z14" i="73" s="1"/>
  <c r="F61" i="73"/>
  <c r="R79" i="73"/>
  <c r="N13" i="75"/>
  <c r="L13" i="75"/>
  <c r="H12" i="75"/>
  <c r="X13" i="76"/>
  <c r="P12" i="76"/>
  <c r="X23" i="76"/>
  <c r="F58" i="76"/>
  <c r="F71" i="76"/>
  <c r="Z20" i="84"/>
  <c r="D98" i="71"/>
  <c r="L98" i="71" s="1"/>
  <c r="N98" i="71" s="1"/>
  <c r="T98" i="71"/>
  <c r="X98" i="71" s="1"/>
  <c r="R14" i="72"/>
  <c r="J16" i="72"/>
  <c r="J20" i="72"/>
  <c r="R26" i="72"/>
  <c r="H29" i="72"/>
  <c r="N29" i="72" s="1"/>
  <c r="F32" i="72"/>
  <c r="X12" i="73"/>
  <c r="X13" i="73"/>
  <c r="R21" i="73"/>
  <c r="R37" i="73"/>
  <c r="X45" i="73"/>
  <c r="Z45" i="73" s="1"/>
  <c r="F53" i="73"/>
  <c r="R58" i="73"/>
  <c r="R73" i="73"/>
  <c r="L19" i="74"/>
  <c r="N19" i="74" s="1"/>
  <c r="Z28" i="74"/>
  <c r="X28" i="74"/>
  <c r="Z35" i="74"/>
  <c r="P12" i="75"/>
  <c r="Z23" i="76"/>
  <c r="F42" i="76"/>
  <c r="H12" i="77"/>
  <c r="X15" i="77"/>
  <c r="Z15" i="77" s="1"/>
  <c r="T12" i="77"/>
  <c r="F66" i="77"/>
  <c r="H80" i="70"/>
  <c r="H18" i="72"/>
  <c r="F22" i="72"/>
  <c r="J25" i="72"/>
  <c r="F34" i="72"/>
  <c r="F36" i="72"/>
  <c r="Z13" i="73"/>
  <c r="L18" i="73"/>
  <c r="R20" i="73"/>
  <c r="Z36" i="73"/>
  <c r="R41" i="73"/>
  <c r="F65" i="73"/>
  <c r="F69" i="73"/>
  <c r="H17" i="74"/>
  <c r="L17" i="74" s="1"/>
  <c r="N30" i="74"/>
  <c r="L30" i="74"/>
  <c r="T12" i="75"/>
  <c r="N18" i="75"/>
  <c r="Z22" i="76"/>
  <c r="F50" i="76"/>
  <c r="Z55" i="76"/>
  <c r="F61" i="76"/>
  <c r="V88" i="79"/>
  <c r="V82" i="79"/>
  <c r="V76" i="79"/>
  <c r="V68" i="79"/>
  <c r="V60" i="79"/>
  <c r="V79" i="79"/>
  <c r="V67" i="79"/>
  <c r="V63" i="79"/>
  <c r="V59" i="79"/>
  <c r="V55" i="79"/>
  <c r="V47" i="79"/>
  <c r="V43" i="79"/>
  <c r="V78" i="79"/>
  <c r="V66" i="79"/>
  <c r="V62" i="79"/>
  <c r="V58" i="79"/>
  <c r="V54" i="79"/>
  <c r="V46" i="79"/>
  <c r="V38" i="79"/>
  <c r="V73" i="79"/>
  <c r="V65" i="79"/>
  <c r="V57" i="79"/>
  <c r="V49" i="79"/>
  <c r="V81" i="79"/>
  <c r="V75" i="79"/>
  <c r="V71" i="79"/>
  <c r="V51" i="79"/>
  <c r="V39" i="79"/>
  <c r="V74" i="79"/>
  <c r="V70" i="79"/>
  <c r="V50" i="79"/>
  <c r="V56" i="79"/>
  <c r="V37" i="79"/>
  <c r="V32" i="79"/>
  <c r="V28" i="79"/>
  <c r="V16" i="79"/>
  <c r="V40" i="79"/>
  <c r="V27" i="79"/>
  <c r="V26" i="79"/>
  <c r="V22" i="79"/>
  <c r="V20" i="79"/>
  <c r="V91" i="79"/>
  <c r="V86" i="79"/>
  <c r="V52" i="79"/>
  <c r="V25" i="79"/>
  <c r="T20" i="79"/>
  <c r="V77" i="79"/>
  <c r="V64" i="79"/>
  <c r="V61" i="79"/>
  <c r="V36" i="79"/>
  <c r="V24" i="79"/>
  <c r="Z12" i="79"/>
  <c r="V53" i="79"/>
  <c r="V35" i="79"/>
  <c r="V31" i="79"/>
  <c r="V23" i="79"/>
  <c r="V69" i="79"/>
  <c r="V48" i="79"/>
  <c r="V45" i="79"/>
  <c r="V44" i="79"/>
  <c r="V42" i="79"/>
  <c r="V33" i="79"/>
  <c r="V29" i="79"/>
  <c r="V17" i="79"/>
  <c r="V41" i="79"/>
  <c r="V34" i="79"/>
  <c r="V30" i="79"/>
  <c r="V18" i="79"/>
  <c r="J39" i="72"/>
  <c r="J36" i="72"/>
  <c r="R15" i="72"/>
  <c r="J18" i="72"/>
  <c r="J22" i="72"/>
  <c r="R24" i="72"/>
  <c r="R27" i="72"/>
  <c r="R30" i="72"/>
  <c r="J32" i="72"/>
  <c r="J34" i="72"/>
  <c r="R29" i="73"/>
  <c r="L47" i="73"/>
  <c r="N47" i="73" s="1"/>
  <c r="R54" i="73"/>
  <c r="R62" i="73"/>
  <c r="R66" i="73"/>
  <c r="L12" i="76"/>
  <c r="F24" i="76"/>
  <c r="F27" i="76"/>
  <c r="F39" i="76"/>
  <c r="F42" i="77"/>
  <c r="F71" i="77"/>
  <c r="N72" i="77"/>
  <c r="L72" i="77"/>
  <c r="L12" i="72"/>
  <c r="R16" i="72"/>
  <c r="R21" i="72"/>
  <c r="J23" i="72"/>
  <c r="V27" i="72"/>
  <c r="V39" i="72"/>
  <c r="R18" i="73"/>
  <c r="R34" i="73"/>
  <c r="L43" i="73"/>
  <c r="F45" i="73"/>
  <c r="Z49" i="73"/>
  <c r="L51" i="73"/>
  <c r="F56" i="73"/>
  <c r="F57" i="73"/>
  <c r="Z72" i="73"/>
  <c r="Z20" i="74"/>
  <c r="L35" i="74"/>
  <c r="V83" i="76"/>
  <c r="V77" i="76"/>
  <c r="V71" i="76"/>
  <c r="V67" i="76"/>
  <c r="V70" i="76"/>
  <c r="V66" i="76"/>
  <c r="V62" i="76"/>
  <c r="V54" i="76"/>
  <c r="V72" i="76"/>
  <c r="V86" i="76"/>
  <c r="V81" i="76"/>
  <c r="V79" i="76"/>
  <c r="V75" i="76"/>
  <c r="V63" i="76"/>
  <c r="V59" i="76"/>
  <c r="V55" i="76"/>
  <c r="V47" i="76"/>
  <c r="V56" i="76"/>
  <c r="V50" i="76"/>
  <c r="V38" i="76"/>
  <c r="V26" i="76"/>
  <c r="V22" i="76"/>
  <c r="V20" i="76"/>
  <c r="V69" i="76"/>
  <c r="V68" i="76"/>
  <c r="V57" i="76"/>
  <c r="V53" i="76"/>
  <c r="V41" i="76"/>
  <c r="V25" i="76"/>
  <c r="T20" i="76"/>
  <c r="V73" i="76"/>
  <c r="V48" i="76"/>
  <c r="V44" i="76"/>
  <c r="V40" i="76"/>
  <c r="V24" i="76"/>
  <c r="Z12" i="76"/>
  <c r="V43" i="76"/>
  <c r="V35" i="76"/>
  <c r="V31" i="76"/>
  <c r="V23" i="76"/>
  <c r="V65" i="76"/>
  <c r="V64" i="76"/>
  <c r="V58" i="76"/>
  <c r="V52" i="76"/>
  <c r="V46" i="76"/>
  <c r="V37" i="76"/>
  <c r="V33" i="76"/>
  <c r="V29" i="76"/>
  <c r="V17" i="76"/>
  <c r="V45" i="76"/>
  <c r="V36" i="76"/>
  <c r="V32" i="76"/>
  <c r="V28" i="76"/>
  <c r="V16" i="76"/>
  <c r="L38" i="76"/>
  <c r="X86" i="77"/>
  <c r="Z86" i="77" s="1"/>
  <c r="N12" i="72"/>
  <c r="J14" i="72"/>
  <c r="F24" i="72"/>
  <c r="V24" i="72"/>
  <c r="J26" i="72"/>
  <c r="N14" i="73"/>
  <c r="H12" i="73"/>
  <c r="X15" i="73"/>
  <c r="N51" i="73"/>
  <c r="F75" i="73"/>
  <c r="X19" i="74"/>
  <c r="Z19" i="74" s="1"/>
  <c r="L45" i="76"/>
  <c r="V51" i="76"/>
  <c r="V61" i="76"/>
  <c r="J86" i="79"/>
  <c r="J78" i="79"/>
  <c r="J72" i="79"/>
  <c r="J62" i="79"/>
  <c r="J75" i="79"/>
  <c r="J71" i="79"/>
  <c r="J57" i="79"/>
  <c r="J51" i="79"/>
  <c r="J37" i="79"/>
  <c r="J91" i="79"/>
  <c r="J84" i="79"/>
  <c r="J70" i="79"/>
  <c r="J64" i="79"/>
  <c r="J48" i="79"/>
  <c r="J42" i="79"/>
  <c r="J81" i="79"/>
  <c r="J77" i="79"/>
  <c r="J69" i="79"/>
  <c r="J61" i="79"/>
  <c r="J53" i="79"/>
  <c r="J79" i="79"/>
  <c r="J67" i="79"/>
  <c r="J63" i="79"/>
  <c r="J59" i="79"/>
  <c r="J55" i="79"/>
  <c r="J47" i="79"/>
  <c r="J41" i="79"/>
  <c r="J88" i="79"/>
  <c r="J82" i="79"/>
  <c r="J76" i="79"/>
  <c r="J66" i="79"/>
  <c r="J58" i="79"/>
  <c r="J52" i="79"/>
  <c r="J68" i="79"/>
  <c r="J54" i="79"/>
  <c r="J36" i="79"/>
  <c r="J24" i="79"/>
  <c r="J20" i="79"/>
  <c r="N12" i="79"/>
  <c r="J74" i="79"/>
  <c r="J44" i="79"/>
  <c r="J43" i="79"/>
  <c r="J35" i="79"/>
  <c r="J31" i="79"/>
  <c r="H20" i="79"/>
  <c r="J73" i="79"/>
  <c r="J65" i="79"/>
  <c r="J46" i="79"/>
  <c r="J45" i="79"/>
  <c r="J34" i="79"/>
  <c r="J30" i="79"/>
  <c r="J22" i="79"/>
  <c r="J18" i="79"/>
  <c r="J56" i="79"/>
  <c r="J39" i="79"/>
  <c r="J33" i="79"/>
  <c r="J29" i="79"/>
  <c r="J23" i="79"/>
  <c r="J17" i="79"/>
  <c r="J50" i="79"/>
  <c r="J49" i="79"/>
  <c r="J40" i="79"/>
  <c r="J38" i="79"/>
  <c r="J28" i="79"/>
  <c r="J60" i="79"/>
  <c r="J27" i="79"/>
  <c r="J25" i="79"/>
  <c r="J26" i="79"/>
  <c r="J32" i="79"/>
  <c r="J16" i="79"/>
  <c r="R36" i="72"/>
  <c r="R34" i="72"/>
  <c r="R39" i="72"/>
  <c r="P18" i="72"/>
  <c r="R20" i="72"/>
  <c r="R22" i="72"/>
  <c r="R29" i="72"/>
  <c r="R69" i="73"/>
  <c r="R65" i="73"/>
  <c r="R61" i="73"/>
  <c r="R75" i="73"/>
  <c r="R64" i="73"/>
  <c r="R60" i="73"/>
  <c r="R53" i="73"/>
  <c r="R48" i="73"/>
  <c r="R45" i="73"/>
  <c r="R71" i="73"/>
  <c r="R68" i="73"/>
  <c r="R63" i="73"/>
  <c r="R59" i="73"/>
  <c r="R56" i="73"/>
  <c r="R36" i="73"/>
  <c r="R31" i="73"/>
  <c r="R19" i="73"/>
  <c r="R50" i="73"/>
  <c r="R47" i="73"/>
  <c r="R42" i="73"/>
  <c r="R30" i="73"/>
  <c r="R52" i="73"/>
  <c r="R49" i="73"/>
  <c r="R44" i="73"/>
  <c r="R40" i="73"/>
  <c r="R28" i="73"/>
  <c r="R72" i="73"/>
  <c r="R67" i="73"/>
  <c r="R55" i="73"/>
  <c r="R39" i="73"/>
  <c r="R35" i="73"/>
  <c r="R27" i="73"/>
  <c r="R25" i="73"/>
  <c r="P23" i="73"/>
  <c r="R32" i="73"/>
  <c r="R33" i="73"/>
  <c r="R46" i="73"/>
  <c r="X53" i="73"/>
  <c r="Z53" i="73" s="1"/>
  <c r="F77" i="76"/>
  <c r="F81" i="76"/>
  <c r="F75" i="76"/>
  <c r="F70" i="76"/>
  <c r="F59" i="76"/>
  <c r="F72" i="76"/>
  <c r="F69" i="76"/>
  <c r="F68" i="76"/>
  <c r="F63" i="76"/>
  <c r="F55" i="76"/>
  <c r="F52" i="76"/>
  <c r="F47" i="76"/>
  <c r="F53" i="76"/>
  <c r="F43" i="76"/>
  <c r="F38" i="76"/>
  <c r="F35" i="76"/>
  <c r="F31" i="76"/>
  <c r="F20" i="76"/>
  <c r="F67" i="76"/>
  <c r="F66" i="76"/>
  <c r="F64" i="76"/>
  <c r="F34" i="76"/>
  <c r="F30" i="76"/>
  <c r="D20" i="76"/>
  <c r="F18" i="76"/>
  <c r="F65" i="76"/>
  <c r="F46" i="76"/>
  <c r="F40" i="76"/>
  <c r="F37" i="76"/>
  <c r="F33" i="76"/>
  <c r="F29" i="76"/>
  <c r="F17" i="76"/>
  <c r="F62" i="76"/>
  <c r="F60" i="76"/>
  <c r="F51" i="76"/>
  <c r="F28" i="76"/>
  <c r="F23" i="76"/>
  <c r="F22" i="76"/>
  <c r="F74" i="76"/>
  <c r="F57" i="76"/>
  <c r="F45" i="76"/>
  <c r="F26" i="76"/>
  <c r="F73" i="76"/>
  <c r="F54" i="76"/>
  <c r="F49" i="76"/>
  <c r="F48" i="76"/>
  <c r="F41" i="76"/>
  <c r="F36" i="76"/>
  <c r="F32" i="76"/>
  <c r="F25" i="76"/>
  <c r="F16" i="76"/>
  <c r="X70" i="76"/>
  <c r="Z70" i="76"/>
  <c r="F104" i="77"/>
  <c r="F101" i="77"/>
  <c r="F93" i="77"/>
  <c r="F89" i="77"/>
  <c r="F85" i="77"/>
  <c r="F80" i="77"/>
  <c r="F77" i="77"/>
  <c r="F72" i="77"/>
  <c r="F69" i="77"/>
  <c r="F65" i="77"/>
  <c r="F53" i="77"/>
  <c r="F41" i="77"/>
  <c r="F100" i="77"/>
  <c r="F96" i="77"/>
  <c r="F92" i="77"/>
  <c r="F88" i="77"/>
  <c r="F64" i="77"/>
  <c r="F60" i="77"/>
  <c r="F49" i="77"/>
  <c r="F40" i="77"/>
  <c r="F98" i="77"/>
  <c r="F62" i="77"/>
  <c r="F58" i="77"/>
  <c r="F46" i="77"/>
  <c r="F105" i="77"/>
  <c r="F84" i="77"/>
  <c r="F81" i="77"/>
  <c r="F76" i="77"/>
  <c r="F73" i="77"/>
  <c r="F68" i="77"/>
  <c r="F57" i="77"/>
  <c r="F52" i="77"/>
  <c r="F51" i="77"/>
  <c r="F45" i="77"/>
  <c r="F113" i="77"/>
  <c r="F107" i="77"/>
  <c r="F102" i="77"/>
  <c r="F94" i="77"/>
  <c r="F90" i="77"/>
  <c r="F86" i="77"/>
  <c r="F83" i="77"/>
  <c r="F78" i="77"/>
  <c r="F75" i="77"/>
  <c r="F70" i="77"/>
  <c r="F67" i="77"/>
  <c r="F55" i="77"/>
  <c r="F43" i="77"/>
  <c r="F38" i="77"/>
  <c r="F95" i="77"/>
  <c r="F91" i="77"/>
  <c r="F79" i="77"/>
  <c r="F63" i="77"/>
  <c r="F54" i="77"/>
  <c r="D49" i="77"/>
  <c r="F87" i="77"/>
  <c r="F103" i="77"/>
  <c r="F97" i="77"/>
  <c r="F74" i="77"/>
  <c r="F82" i="77"/>
  <c r="F59" i="77"/>
  <c r="F56" i="77"/>
  <c r="L12" i="77"/>
  <c r="F109" i="77"/>
  <c r="F61" i="77"/>
  <c r="F47" i="77"/>
  <c r="F44" i="77"/>
  <c r="F39" i="77"/>
  <c r="J17" i="74"/>
  <c r="J21" i="74"/>
  <c r="F22" i="74"/>
  <c r="V25" i="74"/>
  <c r="J29" i="74"/>
  <c r="V33" i="74"/>
  <c r="R34" i="74"/>
  <c r="J35" i="74"/>
  <c r="F38" i="74"/>
  <c r="R39" i="74"/>
  <c r="Z13" i="75"/>
  <c r="L13" i="76"/>
  <c r="X13" i="77"/>
  <c r="Z13" i="77" s="1"/>
  <c r="P12" i="77"/>
  <c r="Z20" i="77"/>
  <c r="Z25" i="77"/>
  <c r="N22" i="78"/>
  <c r="X23" i="79"/>
  <c r="L19" i="81"/>
  <c r="N19" i="81" s="1"/>
  <c r="V16" i="83"/>
  <c r="F14" i="74"/>
  <c r="V14" i="74"/>
  <c r="R15" i="74"/>
  <c r="R20" i="74"/>
  <c r="J22" i="74"/>
  <c r="F23" i="74"/>
  <c r="F27" i="74"/>
  <c r="R28" i="74"/>
  <c r="F30" i="74"/>
  <c r="V30" i="74"/>
  <c r="R31" i="74"/>
  <c r="J32" i="74"/>
  <c r="V34" i="74"/>
  <c r="J38" i="74"/>
  <c r="J42" i="74"/>
  <c r="R44" i="74"/>
  <c r="J48" i="74"/>
  <c r="R51" i="74"/>
  <c r="Z19" i="77"/>
  <c r="Z24" i="77"/>
  <c r="L27" i="77"/>
  <c r="Z35" i="77"/>
  <c r="L38" i="77"/>
  <c r="N38" i="77" s="1"/>
  <c r="Z102" i="77"/>
  <c r="X16" i="78"/>
  <c r="Z16" i="78" s="1"/>
  <c r="N22" i="79"/>
  <c r="Z23" i="79"/>
  <c r="V42" i="83"/>
  <c r="V36" i="83"/>
  <c r="V31" i="83"/>
  <c r="V32" i="83"/>
  <c r="V25" i="83"/>
  <c r="V21" i="83"/>
  <c r="T16" i="83"/>
  <c r="V28" i="83"/>
  <c r="V20" i="83"/>
  <c r="V38" i="83"/>
  <c r="V27" i="83"/>
  <c r="V19" i="83"/>
  <c r="V30" i="83"/>
  <c r="V14" i="83"/>
  <c r="V45" i="83"/>
  <c r="V40" i="83"/>
  <c r="V33" i="83"/>
  <c r="V24" i="83"/>
  <c r="Z12" i="83"/>
  <c r="V34" i="83"/>
  <c r="V23" i="83"/>
  <c r="V26" i="83"/>
  <c r="V22" i="83"/>
  <c r="V29" i="83"/>
  <c r="F21" i="87"/>
  <c r="F20" i="87"/>
  <c r="F35" i="87"/>
  <c r="F28" i="87"/>
  <c r="F23" i="87"/>
  <c r="F32" i="87"/>
  <c r="F26" i="87"/>
  <c r="F30" i="87"/>
  <c r="F24" i="87"/>
  <c r="F18" i="87"/>
  <c r="F22" i="87"/>
  <c r="D18" i="87"/>
  <c r="F16" i="87"/>
  <c r="J14" i="74"/>
  <c r="P17" i="74"/>
  <c r="F19" i="74"/>
  <c r="R19" i="74"/>
  <c r="F20" i="74"/>
  <c r="V20" i="74"/>
  <c r="R21" i="74"/>
  <c r="J24" i="74"/>
  <c r="F25" i="74"/>
  <c r="R26" i="74"/>
  <c r="F28" i="74"/>
  <c r="V28" i="74"/>
  <c r="R29" i="74"/>
  <c r="J30" i="74"/>
  <c r="F33" i="74"/>
  <c r="J36" i="74"/>
  <c r="V40" i="74"/>
  <c r="F44" i="74"/>
  <c r="V44" i="74"/>
  <c r="V46" i="74"/>
  <c r="F51" i="74"/>
  <c r="V51" i="74"/>
  <c r="N21" i="77"/>
  <c r="N32" i="77"/>
  <c r="N52" i="77"/>
  <c r="N84" i="77"/>
  <c r="Z90" i="77"/>
  <c r="Z94" i="77"/>
  <c r="N28" i="78"/>
  <c r="L28" i="78"/>
  <c r="Z22" i="79"/>
  <c r="L76" i="79"/>
  <c r="N76" i="79"/>
  <c r="N23" i="82"/>
  <c r="L23" i="82"/>
  <c r="R17" i="74"/>
  <c r="V21" i="74"/>
  <c r="R22" i="74"/>
  <c r="J25" i="74"/>
  <c r="V29" i="74"/>
  <c r="J33" i="74"/>
  <c r="F34" i="74"/>
  <c r="R35" i="74"/>
  <c r="V37" i="74"/>
  <c r="R38" i="74"/>
  <c r="J39" i="74"/>
  <c r="N51" i="76"/>
  <c r="N15" i="77"/>
  <c r="Z17" i="77"/>
  <c r="Z22" i="77"/>
  <c r="N31" i="77"/>
  <c r="Z33" i="77"/>
  <c r="Z70" i="77"/>
  <c r="X78" i="77"/>
  <c r="Z78" i="77" s="1"/>
  <c r="X90" i="77"/>
  <c r="X94" i="77"/>
  <c r="N13" i="78"/>
  <c r="H12" i="78"/>
  <c r="T12" i="78"/>
  <c r="Z14" i="78"/>
  <c r="Z22" i="78"/>
  <c r="Z23" i="78"/>
  <c r="X13" i="79"/>
  <c r="P12" i="79"/>
  <c r="L37" i="79"/>
  <c r="X74" i="79"/>
  <c r="Z74" i="79"/>
  <c r="T17" i="74"/>
  <c r="V22" i="74"/>
  <c r="V26" i="74"/>
  <c r="R42" i="74"/>
  <c r="J44" i="74"/>
  <c r="Z16" i="77"/>
  <c r="N20" i="77"/>
  <c r="Z27" i="77"/>
  <c r="Z32" i="77"/>
  <c r="L35" i="77"/>
  <c r="Z38" i="77"/>
  <c r="X52" i="77"/>
  <c r="Z52" i="77" s="1"/>
  <c r="X84" i="77"/>
  <c r="Z84" i="77" s="1"/>
  <c r="L102" i="77"/>
  <c r="N102" i="77" s="1"/>
  <c r="R32" i="78"/>
  <c r="R26" i="78"/>
  <c r="R23" i="78"/>
  <c r="R18" i="78"/>
  <c r="R17" i="78"/>
  <c r="R16" i="78"/>
  <c r="R24" i="78"/>
  <c r="R22" i="78"/>
  <c r="P20" i="78"/>
  <c r="R28" i="78"/>
  <c r="L82" i="79"/>
  <c r="N82" i="79"/>
  <c r="H81" i="79"/>
  <c r="N81" i="79" s="1"/>
  <c r="H12" i="85"/>
  <c r="N13" i="85"/>
  <c r="Z49" i="76"/>
  <c r="L13" i="77"/>
  <c r="N13" i="77" s="1"/>
  <c r="L24" i="77"/>
  <c r="N24" i="77" s="1"/>
  <c r="L29" i="77"/>
  <c r="N29" i="77" s="1"/>
  <c r="X31" i="77"/>
  <c r="Z31" i="77" s="1"/>
  <c r="X51" i="77"/>
  <c r="Z51" i="77" s="1"/>
  <c r="X76" i="77"/>
  <c r="Z76" i="77" s="1"/>
  <c r="N80" i="77"/>
  <c r="L86" i="77"/>
  <c r="F82" i="79"/>
  <c r="F76" i="79"/>
  <c r="F73" i="79"/>
  <c r="F65" i="79"/>
  <c r="F86" i="79"/>
  <c r="F72" i="79"/>
  <c r="F43" i="79"/>
  <c r="F40" i="79"/>
  <c r="F78" i="79"/>
  <c r="F75" i="79"/>
  <c r="F71" i="79"/>
  <c r="F62" i="79"/>
  <c r="F54" i="79"/>
  <c r="F51" i="79"/>
  <c r="F46" i="79"/>
  <c r="F70" i="79"/>
  <c r="F57" i="79"/>
  <c r="F81" i="79"/>
  <c r="F68" i="79"/>
  <c r="F60" i="79"/>
  <c r="F56" i="79"/>
  <c r="F44" i="79"/>
  <c r="F39" i="79"/>
  <c r="F79" i="79"/>
  <c r="F74" i="79"/>
  <c r="F67" i="79"/>
  <c r="F63" i="79"/>
  <c r="F59" i="79"/>
  <c r="F55" i="79"/>
  <c r="F50" i="79"/>
  <c r="F47" i="79"/>
  <c r="F53" i="79"/>
  <c r="F52" i="79"/>
  <c r="F32" i="79"/>
  <c r="F25" i="79"/>
  <c r="F16" i="79"/>
  <c r="F64" i="79"/>
  <c r="F36" i="79"/>
  <c r="F24" i="79"/>
  <c r="L12" i="79"/>
  <c r="F69" i="79"/>
  <c r="F35" i="79"/>
  <c r="F31" i="79"/>
  <c r="F20" i="79"/>
  <c r="F66" i="79"/>
  <c r="F45" i="79"/>
  <c r="F42" i="79"/>
  <c r="F34" i="79"/>
  <c r="F30" i="79"/>
  <c r="D20" i="79"/>
  <c r="F18" i="79"/>
  <c r="F48" i="79"/>
  <c r="F41" i="79"/>
  <c r="F33" i="79"/>
  <c r="F29" i="79"/>
  <c r="F17" i="79"/>
  <c r="F49" i="79"/>
  <c r="F38" i="79"/>
  <c r="F28" i="79"/>
  <c r="F23" i="79"/>
  <c r="F22" i="79"/>
  <c r="F77" i="79"/>
  <c r="F61" i="79"/>
  <c r="F58" i="79"/>
  <c r="F37" i="79"/>
  <c r="F26" i="79"/>
  <c r="N13" i="79"/>
  <c r="L30" i="80"/>
  <c r="Z34" i="81"/>
  <c r="N36" i="81"/>
  <c r="N51" i="81"/>
  <c r="L51" i="81"/>
  <c r="Z64" i="81"/>
  <c r="Z68" i="81"/>
  <c r="D35" i="82"/>
  <c r="L16" i="82"/>
  <c r="L33" i="82"/>
  <c r="Z18" i="83"/>
  <c r="D12" i="78"/>
  <c r="L39" i="79"/>
  <c r="X41" i="79"/>
  <c r="L19" i="80"/>
  <c r="Z16" i="81"/>
  <c r="T80" i="81"/>
  <c r="Z53" i="81"/>
  <c r="T42" i="82"/>
  <c r="Z25" i="82"/>
  <c r="R30" i="82"/>
  <c r="L18" i="83"/>
  <c r="Z31" i="83"/>
  <c r="L15" i="84"/>
  <c r="Z16" i="80"/>
  <c r="T32" i="80"/>
  <c r="N18" i="80"/>
  <c r="Z28" i="81"/>
  <c r="F65" i="81"/>
  <c r="F69" i="81"/>
  <c r="F78" i="81"/>
  <c r="R23" i="82"/>
  <c r="F33" i="83"/>
  <c r="V31" i="84"/>
  <c r="V23" i="84"/>
  <c r="V15" i="84"/>
  <c r="V26" i="84"/>
  <c r="V35" i="84"/>
  <c r="V25" i="84"/>
  <c r="V28" i="84"/>
  <c r="V20" i="84"/>
  <c r="V27" i="84"/>
  <c r="T18" i="84"/>
  <c r="V39" i="84"/>
  <c r="V33" i="84"/>
  <c r="V29" i="84"/>
  <c r="V21" i="84"/>
  <c r="V22" i="84"/>
  <c r="V30" i="84"/>
  <c r="V24" i="84"/>
  <c r="V32" i="84"/>
  <c r="X29" i="84"/>
  <c r="Z29" i="84" s="1"/>
  <c r="R29" i="82"/>
  <c r="R16" i="82"/>
  <c r="R25" i="82"/>
  <c r="R20" i="82"/>
  <c r="R18" i="82"/>
  <c r="P16" i="82"/>
  <c r="R37" i="82"/>
  <c r="R31" i="82"/>
  <c r="R28" i="82"/>
  <c r="R42" i="82"/>
  <c r="R35" i="82"/>
  <c r="R22" i="82"/>
  <c r="R19" i="82"/>
  <c r="R24" i="82"/>
  <c r="R21" i="82"/>
  <c r="X12" i="82"/>
  <c r="R27" i="82"/>
  <c r="R14" i="82"/>
  <c r="N18" i="83"/>
  <c r="Z36" i="83"/>
  <c r="X36" i="83"/>
  <c r="N43" i="79"/>
  <c r="X57" i="79"/>
  <c r="Z14" i="80"/>
  <c r="X18" i="80"/>
  <c r="Z25" i="80"/>
  <c r="L27" i="80"/>
  <c r="Z18" i="81"/>
  <c r="F37" i="81"/>
  <c r="Z41" i="81"/>
  <c r="X41" i="81"/>
  <c r="X14" i="83"/>
  <c r="X15" i="84"/>
  <c r="Z15" i="84" s="1"/>
  <c r="D12" i="85"/>
  <c r="L14" i="85"/>
  <c r="N14" i="85" s="1"/>
  <c r="Z57" i="79"/>
  <c r="F29" i="81"/>
  <c r="L43" i="81"/>
  <c r="N43" i="81" s="1"/>
  <c r="X77" i="81"/>
  <c r="Z77" i="81" s="1"/>
  <c r="P76" i="81"/>
  <c r="X76" i="81" s="1"/>
  <c r="Z76" i="81" s="1"/>
  <c r="F42" i="83"/>
  <c r="F36" i="83"/>
  <c r="F31" i="83"/>
  <c r="F40" i="83"/>
  <c r="F38" i="83"/>
  <c r="F30" i="83"/>
  <c r="F25" i="83"/>
  <c r="D16" i="83"/>
  <c r="F45" i="83"/>
  <c r="F34" i="83"/>
  <c r="F27" i="83"/>
  <c r="F24" i="83"/>
  <c r="F19" i="83"/>
  <c r="F18" i="83"/>
  <c r="L12" i="83"/>
  <c r="F23" i="83"/>
  <c r="F14" i="83"/>
  <c r="F21" i="83"/>
  <c r="F28" i="83"/>
  <c r="F20" i="83"/>
  <c r="F36" i="80"/>
  <c r="F30" i="80"/>
  <c r="F34" i="80"/>
  <c r="F28" i="80"/>
  <c r="F23" i="80"/>
  <c r="F20" i="80"/>
  <c r="F16" i="80"/>
  <c r="F25" i="80"/>
  <c r="F22" i="80"/>
  <c r="D16" i="80"/>
  <c r="F27" i="80"/>
  <c r="F24" i="80"/>
  <c r="F19" i="80"/>
  <c r="F18" i="80"/>
  <c r="L12" i="80"/>
  <c r="F14" i="80"/>
  <c r="Z18" i="80"/>
  <c r="F21" i="80"/>
  <c r="F26" i="80"/>
  <c r="F32" i="80"/>
  <c r="F87" i="81"/>
  <c r="F80" i="81"/>
  <c r="F68" i="81"/>
  <c r="F64" i="81"/>
  <c r="F61" i="81"/>
  <c r="F57" i="81"/>
  <c r="F36" i="81"/>
  <c r="F33" i="81"/>
  <c r="F28" i="81"/>
  <c r="F21" i="81"/>
  <c r="F77" i="81"/>
  <c r="F60" i="81"/>
  <c r="F56" i="81"/>
  <c r="F52" i="81"/>
  <c r="F47" i="81"/>
  <c r="F44" i="81"/>
  <c r="F32" i="81"/>
  <c r="F20" i="81"/>
  <c r="F70" i="81"/>
  <c r="F67" i="81"/>
  <c r="F63" i="81"/>
  <c r="F59" i="81"/>
  <c r="F55" i="81"/>
  <c r="F38" i="81"/>
  <c r="F35" i="81"/>
  <c r="F31" i="81"/>
  <c r="F27" i="81"/>
  <c r="F16" i="81"/>
  <c r="F73" i="81"/>
  <c r="F66" i="81"/>
  <c r="F54" i="81"/>
  <c r="F49" i="81"/>
  <c r="F46" i="81"/>
  <c r="F41" i="81"/>
  <c r="F30" i="81"/>
  <c r="F26" i="81"/>
  <c r="D16" i="81"/>
  <c r="F82" i="81"/>
  <c r="F72" i="81"/>
  <c r="F51" i="81"/>
  <c r="F48" i="81"/>
  <c r="F43" i="81"/>
  <c r="F40" i="81"/>
  <c r="F24" i="81"/>
  <c r="F19" i="81"/>
  <c r="F18" i="81"/>
  <c r="L12" i="81"/>
  <c r="F76" i="81"/>
  <c r="F71" i="81"/>
  <c r="F62" i="81"/>
  <c r="F58" i="81"/>
  <c r="F39" i="81"/>
  <c r="F34" i="81"/>
  <c r="F23" i="81"/>
  <c r="F14" i="81"/>
  <c r="L18" i="81"/>
  <c r="N18" i="81" s="1"/>
  <c r="F25" i="81"/>
  <c r="F42" i="81"/>
  <c r="X49" i="81"/>
  <c r="Z49" i="81" s="1"/>
  <c r="X73" i="81"/>
  <c r="Z73" i="81" s="1"/>
  <c r="X21" i="82"/>
  <c r="Z21" i="82" s="1"/>
  <c r="R26" i="82"/>
  <c r="R39" i="82"/>
  <c r="X21" i="80"/>
  <c r="Z21" i="80" s="1"/>
  <c r="V22" i="80"/>
  <c r="L23" i="80"/>
  <c r="J26" i="80"/>
  <c r="J30" i="80"/>
  <c r="R32" i="80"/>
  <c r="J36" i="80"/>
  <c r="R39" i="80"/>
  <c r="J22" i="81"/>
  <c r="V26" i="81"/>
  <c r="R27" i="81"/>
  <c r="J28" i="81"/>
  <c r="V30" i="81"/>
  <c r="R31" i="81"/>
  <c r="V34" i="81"/>
  <c r="R35" i="81"/>
  <c r="J36" i="81"/>
  <c r="J42" i="81"/>
  <c r="V46" i="81"/>
  <c r="J50" i="81"/>
  <c r="V54" i="81"/>
  <c r="R55" i="81"/>
  <c r="V58" i="81"/>
  <c r="R59" i="81"/>
  <c r="V62" i="81"/>
  <c r="R63" i="81"/>
  <c r="J64" i="81"/>
  <c r="V66" i="81"/>
  <c r="R67" i="81"/>
  <c r="J68" i="81"/>
  <c r="J74" i="81"/>
  <c r="V76" i="81"/>
  <c r="R78" i="81"/>
  <c r="J80" i="81"/>
  <c r="R84" i="81"/>
  <c r="J87" i="81"/>
  <c r="F16" i="82"/>
  <c r="V16" i="82"/>
  <c r="J18" i="82"/>
  <c r="V18" i="82"/>
  <c r="J22" i="82"/>
  <c r="V26" i="82"/>
  <c r="J28" i="82"/>
  <c r="F31" i="82"/>
  <c r="F37" i="82"/>
  <c r="X12" i="83"/>
  <c r="H16" i="83"/>
  <c r="R24" i="83"/>
  <c r="J25" i="83"/>
  <c r="R29" i="83"/>
  <c r="Z33" i="83"/>
  <c r="R42" i="83"/>
  <c r="R45" i="83"/>
  <c r="Z21" i="84"/>
  <c r="T20" i="85"/>
  <c r="Z16" i="85"/>
  <c r="R30" i="85"/>
  <c r="N54" i="85"/>
  <c r="P16" i="80"/>
  <c r="R18" i="80"/>
  <c r="V19" i="80"/>
  <c r="R20" i="80"/>
  <c r="J21" i="80"/>
  <c r="R25" i="80"/>
  <c r="V27" i="80"/>
  <c r="R28" i="80"/>
  <c r="R34" i="80"/>
  <c r="P16" i="81"/>
  <c r="R18" i="81"/>
  <c r="V19" i="81"/>
  <c r="R20" i="81"/>
  <c r="J23" i="81"/>
  <c r="V27" i="81"/>
  <c r="V31" i="81"/>
  <c r="R32" i="81"/>
  <c r="V35" i="81"/>
  <c r="J39" i="81"/>
  <c r="R41" i="81"/>
  <c r="V43" i="81"/>
  <c r="R44" i="81"/>
  <c r="J45" i="81"/>
  <c r="R49" i="81"/>
  <c r="V51" i="81"/>
  <c r="R52" i="81"/>
  <c r="J53" i="81"/>
  <c r="V55" i="81"/>
  <c r="R56" i="81"/>
  <c r="V59" i="81"/>
  <c r="R60" i="81"/>
  <c r="V63" i="81"/>
  <c r="V67" i="81"/>
  <c r="J71" i="81"/>
  <c r="R73" i="81"/>
  <c r="H76" i="81"/>
  <c r="L76" i="81" s="1"/>
  <c r="H16" i="82"/>
  <c r="F20" i="82"/>
  <c r="F23" i="82"/>
  <c r="V23" i="82"/>
  <c r="J25" i="82"/>
  <c r="V27" i="82"/>
  <c r="J31" i="82"/>
  <c r="F33" i="82"/>
  <c r="V33" i="82"/>
  <c r="J37" i="82"/>
  <c r="F39" i="82"/>
  <c r="V39" i="82"/>
  <c r="R14" i="83"/>
  <c r="J16" i="83"/>
  <c r="J20" i="83"/>
  <c r="J28" i="83"/>
  <c r="R36" i="83"/>
  <c r="F31" i="84"/>
  <c r="F28" i="84"/>
  <c r="F23" i="84"/>
  <c r="F15" i="84"/>
  <c r="L12" i="84"/>
  <c r="F41" i="84"/>
  <c r="F35" i="84"/>
  <c r="F30" i="84"/>
  <c r="F25" i="84"/>
  <c r="F22" i="84"/>
  <c r="F39" i="84"/>
  <c r="F33" i="84"/>
  <c r="F18" i="84"/>
  <c r="F32" i="84"/>
  <c r="F27" i="84"/>
  <c r="F24" i="84"/>
  <c r="D18" i="84"/>
  <c r="F16" i="84"/>
  <c r="F44" i="84"/>
  <c r="F37" i="84"/>
  <c r="F29" i="84"/>
  <c r="F26" i="84"/>
  <c r="F21" i="84"/>
  <c r="F20" i="84"/>
  <c r="X20" i="84"/>
  <c r="L13" i="85"/>
  <c r="R18" i="85"/>
  <c r="N22" i="85"/>
  <c r="X66" i="85"/>
  <c r="Z66" i="85" s="1"/>
  <c r="J19" i="80"/>
  <c r="R23" i="80"/>
  <c r="V25" i="80"/>
  <c r="R26" i="80"/>
  <c r="J27" i="80"/>
  <c r="J19" i="81"/>
  <c r="V21" i="81"/>
  <c r="R22" i="81"/>
  <c r="J25" i="81"/>
  <c r="J29" i="81"/>
  <c r="V33" i="81"/>
  <c r="J37" i="81"/>
  <c r="V41" i="81"/>
  <c r="R42" i="81"/>
  <c r="J43" i="81"/>
  <c r="R47" i="81"/>
  <c r="V49" i="81"/>
  <c r="R50" i="81"/>
  <c r="J51" i="81"/>
  <c r="V57" i="81"/>
  <c r="V61" i="81"/>
  <c r="J65" i="81"/>
  <c r="J69" i="81"/>
  <c r="V73" i="81"/>
  <c r="R74" i="81"/>
  <c r="R77" i="81"/>
  <c r="F21" i="82"/>
  <c r="J23" i="82"/>
  <c r="F26" i="82"/>
  <c r="J29" i="82"/>
  <c r="J33" i="82"/>
  <c r="J39" i="82"/>
  <c r="J40" i="83"/>
  <c r="J34" i="83"/>
  <c r="J33" i="83"/>
  <c r="J22" i="83"/>
  <c r="J26" i="83"/>
  <c r="J32" i="83"/>
  <c r="Z58" i="85"/>
  <c r="Z68" i="85"/>
  <c r="V16" i="80"/>
  <c r="J18" i="80"/>
  <c r="V18" i="80"/>
  <c r="J22" i="80"/>
  <c r="V26" i="80"/>
  <c r="R30" i="80"/>
  <c r="J32" i="80"/>
  <c r="R36" i="80"/>
  <c r="J39" i="80"/>
  <c r="V16" i="81"/>
  <c r="J18" i="81"/>
  <c r="V18" i="81"/>
  <c r="V22" i="81"/>
  <c r="R23" i="81"/>
  <c r="J26" i="81"/>
  <c r="R28" i="81"/>
  <c r="J30" i="81"/>
  <c r="R36" i="81"/>
  <c r="V38" i="81"/>
  <c r="R39" i="81"/>
  <c r="V42" i="81"/>
  <c r="J46" i="81"/>
  <c r="V50" i="81"/>
  <c r="J54" i="81"/>
  <c r="R64" i="81"/>
  <c r="J66" i="81"/>
  <c r="R68" i="81"/>
  <c r="V70" i="81"/>
  <c r="R71" i="81"/>
  <c r="V74" i="81"/>
  <c r="J78" i="81"/>
  <c r="R80" i="81"/>
  <c r="J84" i="81"/>
  <c r="R87" i="81"/>
  <c r="F14" i="82"/>
  <c r="V22" i="82"/>
  <c r="J26" i="82"/>
  <c r="F27" i="82"/>
  <c r="F30" i="82"/>
  <c r="V30" i="82"/>
  <c r="P16" i="83"/>
  <c r="R18" i="83"/>
  <c r="R20" i="83"/>
  <c r="J23" i="83"/>
  <c r="R25" i="83"/>
  <c r="R28" i="83"/>
  <c r="J29" i="83"/>
  <c r="X13" i="84"/>
  <c r="P12" i="84"/>
  <c r="Z23" i="84"/>
  <c r="Z27" i="84"/>
  <c r="L29" i="84"/>
  <c r="Z50" i="85"/>
  <c r="X12" i="80"/>
  <c r="H16" i="80"/>
  <c r="R21" i="80"/>
  <c r="V23" i="80"/>
  <c r="J25" i="80"/>
  <c r="X12" i="81"/>
  <c r="H16" i="81"/>
  <c r="V23" i="81"/>
  <c r="R24" i="81"/>
  <c r="J27" i="81"/>
  <c r="J31" i="81"/>
  <c r="J35" i="81"/>
  <c r="V39" i="81"/>
  <c r="R40" i="81"/>
  <c r="J41" i="81"/>
  <c r="R45" i="81"/>
  <c r="V47" i="81"/>
  <c r="R48" i="81"/>
  <c r="J49" i="81"/>
  <c r="R53" i="81"/>
  <c r="J55" i="81"/>
  <c r="J59" i="81"/>
  <c r="J63" i="81"/>
  <c r="J67" i="81"/>
  <c r="V71" i="81"/>
  <c r="R72" i="81"/>
  <c r="J73" i="81"/>
  <c r="V77" i="81"/>
  <c r="R82" i="81"/>
  <c r="L12" i="82"/>
  <c r="F18" i="82"/>
  <c r="F19" i="82"/>
  <c r="V19" i="82"/>
  <c r="J21" i="82"/>
  <c r="F24" i="82"/>
  <c r="J27" i="82"/>
  <c r="V31" i="82"/>
  <c r="F35" i="82"/>
  <c r="V35" i="82"/>
  <c r="V37" i="82"/>
  <c r="F42" i="82"/>
  <c r="N12" i="83"/>
  <c r="J14" i="83"/>
  <c r="R16" i="83"/>
  <c r="R21" i="83"/>
  <c r="J24" i="83"/>
  <c r="J36" i="83"/>
  <c r="J45" i="83"/>
  <c r="J41" i="84"/>
  <c r="J35" i="84"/>
  <c r="J25" i="84"/>
  <c r="J30" i="84"/>
  <c r="J22" i="84"/>
  <c r="J39" i="84"/>
  <c r="J33" i="84"/>
  <c r="J27" i="84"/>
  <c r="H18" i="84"/>
  <c r="J32" i="84"/>
  <c r="J24" i="84"/>
  <c r="J20" i="84"/>
  <c r="J16" i="84"/>
  <c r="J44" i="84"/>
  <c r="J37" i="84"/>
  <c r="J29" i="84"/>
  <c r="J21" i="84"/>
  <c r="J31" i="84"/>
  <c r="J23" i="84"/>
  <c r="J15" i="84"/>
  <c r="Z13" i="84"/>
  <c r="L21" i="84"/>
  <c r="L16" i="85"/>
  <c r="Z22" i="85"/>
  <c r="R23" i="85"/>
  <c r="Z84" i="85"/>
  <c r="T83" i="85"/>
  <c r="Z83" i="85" s="1"/>
  <c r="X84" i="85"/>
  <c r="J20" i="80"/>
  <c r="J28" i="80"/>
  <c r="V30" i="80"/>
  <c r="R14" i="81"/>
  <c r="J16" i="81"/>
  <c r="J20" i="81"/>
  <c r="V24" i="81"/>
  <c r="R25" i="81"/>
  <c r="V28" i="81"/>
  <c r="R29" i="81"/>
  <c r="J32" i="81"/>
  <c r="R34" i="81"/>
  <c r="V36" i="81"/>
  <c r="R37" i="81"/>
  <c r="J38" i="81"/>
  <c r="V40" i="81"/>
  <c r="J44" i="81"/>
  <c r="V48" i="81"/>
  <c r="J52" i="81"/>
  <c r="J56" i="81"/>
  <c r="R58" i="81"/>
  <c r="J60" i="81"/>
  <c r="R62" i="81"/>
  <c r="V64" i="81"/>
  <c r="R65" i="81"/>
  <c r="V68" i="81"/>
  <c r="R69" i="81"/>
  <c r="V72" i="81"/>
  <c r="V80" i="81"/>
  <c r="V82" i="81"/>
  <c r="J24" i="82"/>
  <c r="R40" i="83"/>
  <c r="R32" i="83"/>
  <c r="J19" i="83"/>
  <c r="R22" i="83"/>
  <c r="R26" i="83"/>
  <c r="J27" i="83"/>
  <c r="J42" i="83"/>
  <c r="L20" i="84"/>
  <c r="N20" i="84" s="1"/>
  <c r="N25" i="84"/>
  <c r="J28" i="84"/>
  <c r="R80" i="85"/>
  <c r="R75" i="85"/>
  <c r="R68" i="85"/>
  <c r="R88" i="85"/>
  <c r="R77" i="85"/>
  <c r="R73" i="85"/>
  <c r="R83" i="85"/>
  <c r="R79" i="85"/>
  <c r="R76" i="85"/>
  <c r="R71" i="85"/>
  <c r="R67" i="85"/>
  <c r="R61" i="85"/>
  <c r="R44" i="85"/>
  <c r="R41" i="85"/>
  <c r="R55" i="85"/>
  <c r="R52" i="85"/>
  <c r="R47" i="85"/>
  <c r="R27" i="85"/>
  <c r="R16" i="85"/>
  <c r="R81" i="85"/>
  <c r="R46" i="85"/>
  <c r="R43" i="85"/>
  <c r="R38" i="85"/>
  <c r="R26" i="85"/>
  <c r="R78" i="85"/>
  <c r="R72" i="85"/>
  <c r="R65" i="85"/>
  <c r="R57" i="85"/>
  <c r="R54" i="85"/>
  <c r="R49" i="85"/>
  <c r="R37" i="85"/>
  <c r="R25" i="85"/>
  <c r="R64" i="85"/>
  <c r="R60" i="85"/>
  <c r="R45" i="85"/>
  <c r="R40" i="85"/>
  <c r="R36" i="85"/>
  <c r="R32" i="85"/>
  <c r="R24" i="85"/>
  <c r="R22" i="85"/>
  <c r="P20" i="85"/>
  <c r="X12" i="85"/>
  <c r="R74" i="85"/>
  <c r="R63" i="85"/>
  <c r="R59" i="85"/>
  <c r="R56" i="85"/>
  <c r="R51" i="85"/>
  <c r="R48" i="85"/>
  <c r="R35" i="85"/>
  <c r="R31" i="85"/>
  <c r="R84" i="85"/>
  <c r="R70" i="85"/>
  <c r="R69" i="85"/>
  <c r="R66" i="85"/>
  <c r="R58" i="85"/>
  <c r="R53" i="85"/>
  <c r="R50" i="85"/>
  <c r="R29" i="85"/>
  <c r="R17" i="85"/>
  <c r="N16" i="85"/>
  <c r="R28" i="85"/>
  <c r="R39" i="85"/>
  <c r="Z52" i="85"/>
  <c r="R62" i="85"/>
  <c r="V16" i="85"/>
  <c r="V28" i="85"/>
  <c r="V44" i="85"/>
  <c r="V52" i="85"/>
  <c r="Z76" i="85"/>
  <c r="T70" i="86"/>
  <c r="N20" i="87"/>
  <c r="L20" i="87"/>
  <c r="V75" i="85"/>
  <c r="V88" i="85"/>
  <c r="V74" i="85"/>
  <c r="V83" i="85"/>
  <c r="V77" i="85"/>
  <c r="V76" i="85"/>
  <c r="V72" i="85"/>
  <c r="V79" i="85"/>
  <c r="V84" i="85"/>
  <c r="V78" i="85"/>
  <c r="V70" i="85"/>
  <c r="V66" i="85"/>
  <c r="V18" i="85"/>
  <c r="V30" i="85"/>
  <c r="V34" i="85"/>
  <c r="V42" i="85"/>
  <c r="V50" i="85"/>
  <c r="V58" i="85"/>
  <c r="V62" i="85"/>
  <c r="V68" i="85"/>
  <c r="L19" i="86"/>
  <c r="V22" i="86"/>
  <c r="Z36" i="86"/>
  <c r="X36" i="86"/>
  <c r="V23" i="85"/>
  <c r="V31" i="85"/>
  <c r="V35" i="85"/>
  <c r="V39" i="85"/>
  <c r="V51" i="85"/>
  <c r="V59" i="85"/>
  <c r="V63" i="85"/>
  <c r="V73" i="85"/>
  <c r="X83" i="85"/>
  <c r="N19" i="86"/>
  <c r="L38" i="86"/>
  <c r="N38" i="86" s="1"/>
  <c r="V39" i="86"/>
  <c r="N50" i="86"/>
  <c r="L50" i="86"/>
  <c r="N68" i="86"/>
  <c r="H67" i="86"/>
  <c r="N67" i="86" s="1"/>
  <c r="L68" i="86"/>
  <c r="X21" i="90"/>
  <c r="Z21" i="90" s="1"/>
  <c r="Z12" i="85"/>
  <c r="V24" i="85"/>
  <c r="V32" i="85"/>
  <c r="V36" i="85"/>
  <c r="V40" i="85"/>
  <c r="V48" i="85"/>
  <c r="V56" i="85"/>
  <c r="V60" i="85"/>
  <c r="V64" i="85"/>
  <c r="Z47" i="86"/>
  <c r="V25" i="85"/>
  <c r="V37" i="85"/>
  <c r="V45" i="85"/>
  <c r="V49" i="85"/>
  <c r="V57" i="85"/>
  <c r="V65" i="85"/>
  <c r="V71" i="85"/>
  <c r="Z78" i="85"/>
  <c r="X78" i="85"/>
  <c r="L84" i="85"/>
  <c r="D83" i="85"/>
  <c r="V65" i="86"/>
  <c r="V57" i="86"/>
  <c r="V53" i="86"/>
  <c r="V41" i="86"/>
  <c r="V33" i="86"/>
  <c r="V21" i="86"/>
  <c r="V64" i="86"/>
  <c r="V56" i="86"/>
  <c r="V52" i="86"/>
  <c r="V44" i="86"/>
  <c r="V32" i="86"/>
  <c r="V28" i="86"/>
  <c r="V20" i="86"/>
  <c r="V55" i="86"/>
  <c r="V43" i="86"/>
  <c r="V35" i="86"/>
  <c r="V31" i="86"/>
  <c r="V27" i="86"/>
  <c r="V15" i="86"/>
  <c r="V77" i="86"/>
  <c r="V72" i="86"/>
  <c r="V70" i="86"/>
  <c r="V54" i="86"/>
  <c r="V46" i="86"/>
  <c r="V34" i="86"/>
  <c r="V30" i="86"/>
  <c r="V26" i="86"/>
  <c r="V14" i="86"/>
  <c r="V67" i="86"/>
  <c r="V61" i="86"/>
  <c r="V49" i="86"/>
  <c r="V45" i="86"/>
  <c r="V37" i="86"/>
  <c r="V29" i="86"/>
  <c r="V25" i="86"/>
  <c r="V60" i="86"/>
  <c r="V48" i="86"/>
  <c r="V40" i="86"/>
  <c r="V36" i="86"/>
  <c r="V24" i="86"/>
  <c r="Z12" i="86"/>
  <c r="V74" i="86"/>
  <c r="V68" i="86"/>
  <c r="V62" i="86"/>
  <c r="V58" i="86"/>
  <c r="V50" i="86"/>
  <c r="V42" i="86"/>
  <c r="D70" i="86"/>
  <c r="X19" i="86"/>
  <c r="V47" i="86"/>
  <c r="V59" i="86"/>
  <c r="N62" i="86"/>
  <c r="L62" i="86"/>
  <c r="V63" i="86"/>
  <c r="L67" i="86"/>
  <c r="V20" i="85"/>
  <c r="V22" i="85"/>
  <c r="V26" i="85"/>
  <c r="V38" i="85"/>
  <c r="V46" i="85"/>
  <c r="V54" i="85"/>
  <c r="N68" i="85"/>
  <c r="L80" i="85"/>
  <c r="N80" i="85" s="1"/>
  <c r="V81" i="85"/>
  <c r="Z19" i="86"/>
  <c r="V38" i="86"/>
  <c r="L31" i="90"/>
  <c r="N31" i="90" s="1"/>
  <c r="V47" i="85"/>
  <c r="V55" i="85"/>
  <c r="V19" i="86"/>
  <c r="Z29" i="86"/>
  <c r="F55" i="86"/>
  <c r="F62" i="86"/>
  <c r="J64" i="86"/>
  <c r="F68" i="86"/>
  <c r="J72" i="86"/>
  <c r="F74" i="86"/>
  <c r="L26" i="87"/>
  <c r="F36" i="90"/>
  <c r="F31" i="90"/>
  <c r="F28" i="90"/>
  <c r="F24" i="90"/>
  <c r="F15" i="90"/>
  <c r="L12" i="90"/>
  <c r="F42" i="90"/>
  <c r="F39" i="90"/>
  <c r="F23" i="90"/>
  <c r="F33" i="90"/>
  <c r="F30" i="90"/>
  <c r="F22" i="90"/>
  <c r="F41" i="90"/>
  <c r="F49" i="90"/>
  <c r="F43" i="90"/>
  <c r="F38" i="90"/>
  <c r="F34" i="90"/>
  <c r="F29" i="90"/>
  <c r="F26" i="90"/>
  <c r="F21" i="90"/>
  <c r="F20" i="90"/>
  <c r="R56" i="91"/>
  <c r="R49" i="91"/>
  <c r="R20" i="91"/>
  <c r="R18" i="91"/>
  <c r="P16" i="91"/>
  <c r="R44" i="91"/>
  <c r="R39" i="91"/>
  <c r="R35" i="91"/>
  <c r="R32" i="91"/>
  <c r="R27" i="91"/>
  <c r="R38" i="91"/>
  <c r="R26" i="91"/>
  <c r="R19" i="91"/>
  <c r="R41" i="91"/>
  <c r="R37" i="91"/>
  <c r="R34" i="91"/>
  <c r="R29" i="91"/>
  <c r="R25" i="91"/>
  <c r="R53" i="91"/>
  <c r="R47" i="91"/>
  <c r="R24" i="91"/>
  <c r="X12" i="91"/>
  <c r="R43" i="91"/>
  <c r="R40" i="91"/>
  <c r="R36" i="91"/>
  <c r="R31" i="91"/>
  <c r="R28" i="91"/>
  <c r="R23" i="91"/>
  <c r="R21" i="91"/>
  <c r="R30" i="91"/>
  <c r="R22" i="91"/>
  <c r="R51" i="91"/>
  <c r="R45" i="91"/>
  <c r="R14" i="91"/>
  <c r="H17" i="86"/>
  <c r="L17" i="86" s="1"/>
  <c r="F21" i="86"/>
  <c r="R25" i="86"/>
  <c r="J28" i="86"/>
  <c r="J32" i="86"/>
  <c r="F33" i="86"/>
  <c r="R34" i="86"/>
  <c r="F36" i="86"/>
  <c r="R37" i="86"/>
  <c r="J38" i="86"/>
  <c r="L41" i="86"/>
  <c r="J44" i="86"/>
  <c r="X47" i="86"/>
  <c r="R49" i="86"/>
  <c r="J50" i="86"/>
  <c r="F53" i="86"/>
  <c r="R54" i="86"/>
  <c r="J56" i="86"/>
  <c r="F57" i="86"/>
  <c r="R61" i="86"/>
  <c r="J62" i="86"/>
  <c r="F65" i="86"/>
  <c r="J68" i="86"/>
  <c r="R70" i="86"/>
  <c r="J74" i="86"/>
  <c r="R77" i="86"/>
  <c r="H12" i="87"/>
  <c r="Z23" i="87"/>
  <c r="R28" i="87"/>
  <c r="Z19" i="89"/>
  <c r="Z15" i="90"/>
  <c r="X20" i="90"/>
  <c r="Z27" i="90"/>
  <c r="X18" i="91"/>
  <c r="Z18" i="91" s="1"/>
  <c r="Z77" i="92"/>
  <c r="X77" i="92"/>
  <c r="F22" i="86"/>
  <c r="F29" i="86"/>
  <c r="J33" i="86"/>
  <c r="F42" i="86"/>
  <c r="R43" i="86"/>
  <c r="F45" i="86"/>
  <c r="R46" i="86"/>
  <c r="J47" i="86"/>
  <c r="J53" i="86"/>
  <c r="J57" i="86"/>
  <c r="F58" i="86"/>
  <c r="J65" i="86"/>
  <c r="F67" i="86"/>
  <c r="R72" i="86"/>
  <c r="D16" i="88"/>
  <c r="F39" i="88"/>
  <c r="F32" i="88"/>
  <c r="F25" i="88"/>
  <c r="F29" i="88"/>
  <c r="F19" i="88"/>
  <c r="F18" i="88"/>
  <c r="L12" i="88"/>
  <c r="F27" i="88"/>
  <c r="F22" i="88"/>
  <c r="F36" i="88"/>
  <c r="F30" i="88"/>
  <c r="F24" i="88"/>
  <c r="F21" i="88"/>
  <c r="F34" i="88"/>
  <c r="F20" i="88"/>
  <c r="Z20" i="90"/>
  <c r="R33" i="90"/>
  <c r="F45" i="90"/>
  <c r="R42" i="91"/>
  <c r="F14" i="86"/>
  <c r="R20" i="86"/>
  <c r="J22" i="86"/>
  <c r="F23" i="86"/>
  <c r="R27" i="86"/>
  <c r="R31" i="86"/>
  <c r="F34" i="86"/>
  <c r="R35" i="86"/>
  <c r="J36" i="86"/>
  <c r="F39" i="86"/>
  <c r="J42" i="86"/>
  <c r="F51" i="86"/>
  <c r="R52" i="86"/>
  <c r="F54" i="86"/>
  <c r="R55" i="86"/>
  <c r="J58" i="86"/>
  <c r="F59" i="86"/>
  <c r="F63" i="86"/>
  <c r="R64" i="86"/>
  <c r="F70" i="86"/>
  <c r="F77" i="86"/>
  <c r="V18" i="87"/>
  <c r="J29" i="88"/>
  <c r="J25" i="88"/>
  <c r="J19" i="88"/>
  <c r="J22" i="88"/>
  <c r="J14" i="88"/>
  <c r="N12" i="88"/>
  <c r="J27" i="88"/>
  <c r="J36" i="88"/>
  <c r="J30" i="88"/>
  <c r="J24" i="88"/>
  <c r="J34" i="88"/>
  <c r="J26" i="88"/>
  <c r="J20" i="88"/>
  <c r="J16" i="88"/>
  <c r="J23" i="88"/>
  <c r="H16" i="88"/>
  <c r="J32" i="88"/>
  <c r="F25" i="89"/>
  <c r="F22" i="89"/>
  <c r="D16" i="89"/>
  <c r="F24" i="89"/>
  <c r="F19" i="89"/>
  <c r="F18" i="89"/>
  <c r="L12" i="89"/>
  <c r="F34" i="89"/>
  <c r="F28" i="89"/>
  <c r="F14" i="89"/>
  <c r="F23" i="89"/>
  <c r="F20" i="89"/>
  <c r="Z21" i="89"/>
  <c r="R32" i="90"/>
  <c r="R29" i="90"/>
  <c r="R21" i="90"/>
  <c r="R16" i="90"/>
  <c r="R49" i="90"/>
  <c r="R43" i="90"/>
  <c r="R40" i="90"/>
  <c r="R34" i="90"/>
  <c r="R31" i="90"/>
  <c r="R26" i="90"/>
  <c r="R15" i="90"/>
  <c r="R42" i="90"/>
  <c r="R37" i="90"/>
  <c r="R25" i="90"/>
  <c r="R39" i="90"/>
  <c r="R23" i="90"/>
  <c r="R18" i="90"/>
  <c r="R45" i="90"/>
  <c r="R35" i="90"/>
  <c r="R30" i="90"/>
  <c r="R27" i="90"/>
  <c r="R22" i="90"/>
  <c r="R20" i="90"/>
  <c r="P18" i="90"/>
  <c r="D18" i="90"/>
  <c r="F18" i="90" s="1"/>
  <c r="F25" i="90"/>
  <c r="F35" i="90"/>
  <c r="R16" i="91"/>
  <c r="J23" i="86"/>
  <c r="F24" i="86"/>
  <c r="R28" i="86"/>
  <c r="J29" i="86"/>
  <c r="R32" i="86"/>
  <c r="J39" i="86"/>
  <c r="F40" i="86"/>
  <c r="R41" i="86"/>
  <c r="F43" i="86"/>
  <c r="R44" i="86"/>
  <c r="J45" i="86"/>
  <c r="F48" i="86"/>
  <c r="J51" i="86"/>
  <c r="R56" i="86"/>
  <c r="J59" i="86"/>
  <c r="F60" i="86"/>
  <c r="J63" i="86"/>
  <c r="J67" i="86"/>
  <c r="R22" i="87"/>
  <c r="R20" i="87"/>
  <c r="P18" i="87"/>
  <c r="R30" i="87"/>
  <c r="R24" i="87"/>
  <c r="R21" i="87"/>
  <c r="N14" i="87"/>
  <c r="Z13" i="90"/>
  <c r="X13" i="90"/>
  <c r="T12" i="90"/>
  <c r="X12" i="90" s="1"/>
  <c r="F16" i="90"/>
  <c r="R36" i="90"/>
  <c r="F40" i="90"/>
  <c r="T49" i="91"/>
  <c r="D53" i="91"/>
  <c r="H83" i="85"/>
  <c r="N83" i="85" s="1"/>
  <c r="N12" i="86"/>
  <c r="J14" i="86"/>
  <c r="P17" i="86"/>
  <c r="F19" i="86"/>
  <c r="R19" i="86"/>
  <c r="F20" i="86"/>
  <c r="R21" i="86"/>
  <c r="J24" i="86"/>
  <c r="F25" i="86"/>
  <c r="R33" i="86"/>
  <c r="J34" i="86"/>
  <c r="F37" i="86"/>
  <c r="R38" i="86"/>
  <c r="J40" i="86"/>
  <c r="J48" i="86"/>
  <c r="F49" i="86"/>
  <c r="R50" i="86"/>
  <c r="F52" i="86"/>
  <c r="R53" i="86"/>
  <c r="J54" i="86"/>
  <c r="R57" i="86"/>
  <c r="J60" i="86"/>
  <c r="F61" i="86"/>
  <c r="R62" i="86"/>
  <c r="F64" i="86"/>
  <c r="R65" i="86"/>
  <c r="R68" i="86"/>
  <c r="J70" i="86"/>
  <c r="R74" i="86"/>
  <c r="J77" i="86"/>
  <c r="V21" i="87"/>
  <c r="V35" i="87"/>
  <c r="V30" i="87"/>
  <c r="V28" i="87"/>
  <c r="V24" i="87"/>
  <c r="V23" i="87"/>
  <c r="V32" i="87"/>
  <c r="V26" i="87"/>
  <c r="V21" i="88"/>
  <c r="T16" i="88"/>
  <c r="V39" i="88"/>
  <c r="V34" i="88"/>
  <c r="V32" i="88"/>
  <c r="V20" i="88"/>
  <c r="V29" i="88"/>
  <c r="V23" i="88"/>
  <c r="V19" i="88"/>
  <c r="V22" i="88"/>
  <c r="V36" i="88"/>
  <c r="V30" i="88"/>
  <c r="V24" i="88"/>
  <c r="Z12" i="88"/>
  <c r="V27" i="88"/>
  <c r="X12" i="88"/>
  <c r="V14" i="88"/>
  <c r="F23" i="88"/>
  <c r="V25" i="88"/>
  <c r="N30" i="88"/>
  <c r="H29" i="88"/>
  <c r="F16" i="89"/>
  <c r="F32" i="89"/>
  <c r="R30" i="93"/>
  <c r="R27" i="93"/>
  <c r="R36" i="93"/>
  <c r="R32" i="93"/>
  <c r="R29" i="93"/>
  <c r="R24" i="93"/>
  <c r="X12" i="93"/>
  <c r="R23" i="93"/>
  <c r="R21" i="93"/>
  <c r="P19" i="93"/>
  <c r="R19" i="93" s="1"/>
  <c r="R40" i="93"/>
  <c r="R22" i="93"/>
  <c r="R16" i="93"/>
  <c r="R31" i="93"/>
  <c r="R17" i="93"/>
  <c r="R28" i="93"/>
  <c r="R25" i="93"/>
  <c r="R33" i="93"/>
  <c r="L16" i="93"/>
  <c r="F16" i="93"/>
  <c r="R17" i="86"/>
  <c r="R22" i="86"/>
  <c r="J25" i="86"/>
  <c r="F26" i="86"/>
  <c r="F30" i="86"/>
  <c r="J37" i="86"/>
  <c r="F41" i="86"/>
  <c r="R42" i="86"/>
  <c r="J43" i="86"/>
  <c r="F46" i="86"/>
  <c r="R47" i="86"/>
  <c r="J49" i="86"/>
  <c r="X12" i="87"/>
  <c r="Z12" i="87" s="1"/>
  <c r="R35" i="87"/>
  <c r="F16" i="88"/>
  <c r="J18" i="88"/>
  <c r="V26" i="88"/>
  <c r="J39" i="88"/>
  <c r="V25" i="89"/>
  <c r="T16" i="89"/>
  <c r="V20" i="89"/>
  <c r="V19" i="89"/>
  <c r="V34" i="89"/>
  <c r="V28" i="89"/>
  <c r="V22" i="89"/>
  <c r="V14" i="89"/>
  <c r="V24" i="89"/>
  <c r="Z12" i="89"/>
  <c r="V23" i="89"/>
  <c r="X12" i="89"/>
  <c r="F37" i="89"/>
  <c r="L20" i="90"/>
  <c r="N20" i="90" s="1"/>
  <c r="F27" i="90"/>
  <c r="F32" i="90"/>
  <c r="Z35" i="90"/>
  <c r="L18" i="91"/>
  <c r="N18" i="91" s="1"/>
  <c r="R33" i="91"/>
  <c r="R34" i="93"/>
  <c r="H16" i="89"/>
  <c r="R21" i="89"/>
  <c r="R24" i="89"/>
  <c r="J25" i="89"/>
  <c r="J15" i="90"/>
  <c r="J25" i="90"/>
  <c r="J31" i="90"/>
  <c r="J37" i="90"/>
  <c r="J47" i="90"/>
  <c r="H12" i="92"/>
  <c r="N13" i="92"/>
  <c r="Z23" i="92"/>
  <c r="R22" i="88"/>
  <c r="R25" i="88"/>
  <c r="J16" i="89"/>
  <c r="J20" i="89"/>
  <c r="R28" i="89"/>
  <c r="J30" i="89"/>
  <c r="R34" i="89"/>
  <c r="J37" i="89"/>
  <c r="J26" i="90"/>
  <c r="J34" i="90"/>
  <c r="J40" i="90"/>
  <c r="Z32" i="91"/>
  <c r="Z27" i="93"/>
  <c r="X27" i="93"/>
  <c r="R39" i="88"/>
  <c r="J26" i="89"/>
  <c r="J32" i="89"/>
  <c r="J32" i="90"/>
  <c r="J38" i="90"/>
  <c r="J51" i="90"/>
  <c r="N45" i="92"/>
  <c r="L45" i="92"/>
  <c r="P16" i="88"/>
  <c r="R18" i="88"/>
  <c r="R20" i="88"/>
  <c r="R34" i="88"/>
  <c r="P16" i="89"/>
  <c r="R18" i="89"/>
  <c r="R20" i="89"/>
  <c r="J21" i="89"/>
  <c r="R25" i="89"/>
  <c r="H18" i="90"/>
  <c r="J27" i="90"/>
  <c r="J35" i="90"/>
  <c r="J41" i="90"/>
  <c r="J45" i="90"/>
  <c r="L19" i="91"/>
  <c r="N19" i="91" s="1"/>
  <c r="J25" i="91"/>
  <c r="X30" i="91"/>
  <c r="Z17" i="92"/>
  <c r="N23" i="92"/>
  <c r="R16" i="88"/>
  <c r="R21" i="88"/>
  <c r="N12" i="89"/>
  <c r="J14" i="89"/>
  <c r="J24" i="89"/>
  <c r="J28" i="89"/>
  <c r="R30" i="89"/>
  <c r="J34" i="89"/>
  <c r="R37" i="89"/>
  <c r="J18" i="90"/>
  <c r="J22" i="90"/>
  <c r="J30" i="90"/>
  <c r="J53" i="91"/>
  <c r="J47" i="91"/>
  <c r="J43" i="91"/>
  <c r="J31" i="91"/>
  <c r="J23" i="91"/>
  <c r="L12" i="91"/>
  <c r="J40" i="91"/>
  <c r="J36" i="91"/>
  <c r="J28" i="91"/>
  <c r="J22" i="91"/>
  <c r="J51" i="91"/>
  <c r="J45" i="91"/>
  <c r="J33" i="91"/>
  <c r="J21" i="91"/>
  <c r="J42" i="91"/>
  <c r="J30" i="91"/>
  <c r="J56" i="91"/>
  <c r="J49" i="91"/>
  <c r="J39" i="91"/>
  <c r="J35" i="91"/>
  <c r="J27" i="91"/>
  <c r="H16" i="91"/>
  <c r="L16" i="91" s="1"/>
  <c r="J44" i="91"/>
  <c r="J38" i="91"/>
  <c r="J32" i="91"/>
  <c r="J26" i="91"/>
  <c r="J18" i="91"/>
  <c r="J14" i="91"/>
  <c r="J16" i="91"/>
  <c r="J20" i="91"/>
  <c r="J24" i="91"/>
  <c r="L32" i="91"/>
  <c r="N34" i="91"/>
  <c r="D12" i="92"/>
  <c r="L14" i="92"/>
  <c r="R23" i="89"/>
  <c r="R26" i="89"/>
  <c r="J23" i="90"/>
  <c r="J33" i="90"/>
  <c r="J39" i="90"/>
  <c r="N12" i="91"/>
  <c r="J19" i="91"/>
  <c r="J34" i="91"/>
  <c r="J41" i="91"/>
  <c r="X42" i="91"/>
  <c r="Z42" i="91" s="1"/>
  <c r="L44" i="91"/>
  <c r="N51" i="92"/>
  <c r="L51" i="92"/>
  <c r="Z21" i="93"/>
  <c r="F16" i="91"/>
  <c r="V16" i="91"/>
  <c r="V18" i="91"/>
  <c r="V22" i="91"/>
  <c r="F27" i="91"/>
  <c r="F30" i="91"/>
  <c r="V30" i="91"/>
  <c r="F35" i="91"/>
  <c r="F39" i="91"/>
  <c r="F42" i="91"/>
  <c r="V42" i="91"/>
  <c r="P12" i="92"/>
  <c r="Z33" i="93"/>
  <c r="L24" i="94"/>
  <c r="N24" i="94" s="1"/>
  <c r="F29" i="94"/>
  <c r="F44" i="94"/>
  <c r="L59" i="94"/>
  <c r="N59" i="94"/>
  <c r="V68" i="94"/>
  <c r="F20" i="91"/>
  <c r="V23" i="91"/>
  <c r="V31" i="91"/>
  <c r="V43" i="91"/>
  <c r="T12" i="92"/>
  <c r="N47" i="92"/>
  <c r="L77" i="92"/>
  <c r="F40" i="93"/>
  <c r="F34" i="93"/>
  <c r="F29" i="93"/>
  <c r="F26" i="93"/>
  <c r="D19" i="93"/>
  <c r="F17" i="93"/>
  <c r="F31" i="93"/>
  <c r="F28" i="93"/>
  <c r="F22" i="93"/>
  <c r="F21" i="93"/>
  <c r="X22" i="93"/>
  <c r="F36" i="93"/>
  <c r="L13" i="94"/>
  <c r="N14" i="94"/>
  <c r="F24" i="94"/>
  <c r="V35" i="94"/>
  <c r="X57" i="94"/>
  <c r="Z57" i="94" s="1"/>
  <c r="N67" i="94"/>
  <c r="F28" i="91"/>
  <c r="V28" i="91"/>
  <c r="F33" i="91"/>
  <c r="F36" i="91"/>
  <c r="V36" i="91"/>
  <c r="F40" i="91"/>
  <c r="V40" i="91"/>
  <c r="F45" i="91"/>
  <c r="F51" i="91"/>
  <c r="X45" i="92"/>
  <c r="N13" i="94"/>
  <c r="V31" i="94"/>
  <c r="Z19" i="97"/>
  <c r="F22" i="91"/>
  <c r="V25" i="91"/>
  <c r="V29" i="91"/>
  <c r="V37" i="91"/>
  <c r="V41" i="91"/>
  <c r="F47" i="91"/>
  <c r="V47" i="91"/>
  <c r="F53" i="91"/>
  <c r="V53" i="91"/>
  <c r="X13" i="92"/>
  <c r="Z13" i="92" s="1"/>
  <c r="Z55" i="92"/>
  <c r="J31" i="93"/>
  <c r="J21" i="93"/>
  <c r="J17" i="93"/>
  <c r="J45" i="93"/>
  <c r="J38" i="93"/>
  <c r="J28" i="93"/>
  <c r="J22" i="93"/>
  <c r="J33" i="93"/>
  <c r="J25" i="93"/>
  <c r="J30" i="93"/>
  <c r="J16" i="93"/>
  <c r="J26" i="93"/>
  <c r="F27" i="93"/>
  <c r="J34" i="93"/>
  <c r="J36" i="93"/>
  <c r="F82" i="94"/>
  <c r="F79" i="94"/>
  <c r="F75" i="94"/>
  <c r="F62" i="94"/>
  <c r="F39" i="94"/>
  <c r="F34" i="94"/>
  <c r="F27" i="94"/>
  <c r="F74" i="94"/>
  <c r="F69" i="94"/>
  <c r="F66" i="94"/>
  <c r="F58" i="94"/>
  <c r="F53" i="94"/>
  <c r="F50" i="94"/>
  <c r="F45" i="94"/>
  <c r="F42" i="94"/>
  <c r="F38" i="94"/>
  <c r="F26" i="94"/>
  <c r="F17" i="94"/>
  <c r="F81" i="94"/>
  <c r="F73" i="94"/>
  <c r="F65" i="94"/>
  <c r="F61" i="94"/>
  <c r="F85" i="94"/>
  <c r="F72" i="94"/>
  <c r="F89" i="94"/>
  <c r="F83" i="94"/>
  <c r="F78" i="94"/>
  <c r="F71" i="94"/>
  <c r="F63" i="94"/>
  <c r="F70" i="94"/>
  <c r="F57" i="94"/>
  <c r="F54" i="94"/>
  <c r="F49" i="94"/>
  <c r="F46" i="94"/>
  <c r="F41" i="94"/>
  <c r="F30" i="94"/>
  <c r="F76" i="94"/>
  <c r="F67" i="94"/>
  <c r="F59" i="94"/>
  <c r="F56" i="94"/>
  <c r="F68" i="94"/>
  <c r="F48" i="94"/>
  <c r="F31" i="94"/>
  <c r="F35" i="94"/>
  <c r="F80" i="94"/>
  <c r="F77" i="94"/>
  <c r="F40" i="94"/>
  <c r="F37" i="94"/>
  <c r="F33" i="94"/>
  <c r="F32" i="94"/>
  <c r="F18" i="94"/>
  <c r="F52" i="94"/>
  <c r="F36" i="94"/>
  <c r="F25" i="94"/>
  <c r="F23" i="94"/>
  <c r="F19" i="94"/>
  <c r="F51" i="94"/>
  <c r="F64" i="94"/>
  <c r="F60" i="94"/>
  <c r="F47" i="94"/>
  <c r="V82" i="94"/>
  <c r="V70" i="94"/>
  <c r="V62" i="94"/>
  <c r="V54" i="94"/>
  <c r="V46" i="94"/>
  <c r="V34" i="94"/>
  <c r="V30" i="94"/>
  <c r="V18" i="94"/>
  <c r="V77" i="94"/>
  <c r="V69" i="94"/>
  <c r="V53" i="94"/>
  <c r="V45" i="94"/>
  <c r="V29" i="94"/>
  <c r="V17" i="94"/>
  <c r="V76" i="94"/>
  <c r="V56" i="94"/>
  <c r="V48" i="94"/>
  <c r="V40" i="94"/>
  <c r="V85" i="94"/>
  <c r="V79" i="94"/>
  <c r="V75" i="94"/>
  <c r="V78" i="94"/>
  <c r="V74" i="94"/>
  <c r="V66" i="94"/>
  <c r="V58" i="94"/>
  <c r="V50" i="94"/>
  <c r="V42" i="94"/>
  <c r="V38" i="94"/>
  <c r="V81" i="94"/>
  <c r="V73" i="94"/>
  <c r="V65" i="94"/>
  <c r="V61" i="94"/>
  <c r="V57" i="94"/>
  <c r="V49" i="94"/>
  <c r="V41" i="94"/>
  <c r="V37" i="94"/>
  <c r="V33" i="94"/>
  <c r="V89" i="94"/>
  <c r="V83" i="94"/>
  <c r="V71" i="94"/>
  <c r="V67" i="94"/>
  <c r="V63" i="94"/>
  <c r="V59" i="94"/>
  <c r="V72" i="94"/>
  <c r="V43" i="94"/>
  <c r="V28" i="94"/>
  <c r="V27" i="94"/>
  <c r="V26" i="94"/>
  <c r="V19" i="94"/>
  <c r="V55" i="94"/>
  <c r="V44" i="94"/>
  <c r="V47" i="94"/>
  <c r="V23" i="94"/>
  <c r="V64" i="94"/>
  <c r="V52" i="94"/>
  <c r="V51" i="94"/>
  <c r="V25" i="94"/>
  <c r="V24" i="94"/>
  <c r="T21" i="94"/>
  <c r="X41" i="94"/>
  <c r="Z41" i="94" s="1"/>
  <c r="F23" i="91"/>
  <c r="V26" i="91"/>
  <c r="F31" i="91"/>
  <c r="F34" i="91"/>
  <c r="V34" i="91"/>
  <c r="V38" i="91"/>
  <c r="F43" i="91"/>
  <c r="X47" i="91"/>
  <c r="L12" i="93"/>
  <c r="F24" i="93"/>
  <c r="F25" i="93"/>
  <c r="F32" i="93"/>
  <c r="F33" i="93"/>
  <c r="L36" i="93"/>
  <c r="J74" i="94"/>
  <c r="J66" i="94"/>
  <c r="J58" i="94"/>
  <c r="J50" i="94"/>
  <c r="J42" i="94"/>
  <c r="J38" i="94"/>
  <c r="J26" i="94"/>
  <c r="J85" i="94"/>
  <c r="J81" i="94"/>
  <c r="J73" i="94"/>
  <c r="J65" i="94"/>
  <c r="J61" i="94"/>
  <c r="J55" i="94"/>
  <c r="J47" i="94"/>
  <c r="J37" i="94"/>
  <c r="J33" i="94"/>
  <c r="J25" i="94"/>
  <c r="J78" i="94"/>
  <c r="J72" i="94"/>
  <c r="J68" i="94"/>
  <c r="J64" i="94"/>
  <c r="J60" i="94"/>
  <c r="J52" i="94"/>
  <c r="J44" i="94"/>
  <c r="J89" i="94"/>
  <c r="J83" i="94"/>
  <c r="J80" i="94"/>
  <c r="J70" i="94"/>
  <c r="J54" i="94"/>
  <c r="J46" i="94"/>
  <c r="J77" i="94"/>
  <c r="J67" i="94"/>
  <c r="J59" i="94"/>
  <c r="J51" i="94"/>
  <c r="J43" i="94"/>
  <c r="J29" i="94"/>
  <c r="J79" i="94"/>
  <c r="J75" i="94"/>
  <c r="J69" i="94"/>
  <c r="J76" i="94"/>
  <c r="J41" i="94"/>
  <c r="J35" i="94"/>
  <c r="J23" i="94"/>
  <c r="J82" i="94"/>
  <c r="J53" i="94"/>
  <c r="J40" i="94"/>
  <c r="J34" i="94"/>
  <c r="J32" i="94"/>
  <c r="J18" i="94"/>
  <c r="J62" i="94"/>
  <c r="J36" i="94"/>
  <c r="J19" i="94"/>
  <c r="J17" i="94"/>
  <c r="J63" i="94"/>
  <c r="J45" i="94"/>
  <c r="H21" i="94"/>
  <c r="J28" i="94"/>
  <c r="J27" i="94"/>
  <c r="J24" i="94"/>
  <c r="J57" i="94"/>
  <c r="J56" i="94"/>
  <c r="J49" i="94"/>
  <c r="J48" i="94"/>
  <c r="J39" i="94"/>
  <c r="J31" i="94"/>
  <c r="X14" i="94"/>
  <c r="D21" i="94"/>
  <c r="F21" i="94" s="1"/>
  <c r="R23" i="94"/>
  <c r="F28" i="94"/>
  <c r="F55" i="94"/>
  <c r="F19" i="91"/>
  <c r="V27" i="91"/>
  <c r="V35" i="91"/>
  <c r="Z53" i="92"/>
  <c r="X75" i="92"/>
  <c r="Z75" i="92" s="1"/>
  <c r="N12" i="93"/>
  <c r="X16" i="93"/>
  <c r="H19" i="93"/>
  <c r="F23" i="93"/>
  <c r="J24" i="93"/>
  <c r="J27" i="93"/>
  <c r="J29" i="93"/>
  <c r="F30" i="93"/>
  <c r="J32" i="93"/>
  <c r="L12" i="94"/>
  <c r="N12" i="94" s="1"/>
  <c r="Z14" i="94"/>
  <c r="J30" i="94"/>
  <c r="Z23" i="94"/>
  <c r="Z69" i="94"/>
  <c r="N78" i="94"/>
  <c r="V22" i="93"/>
  <c r="V26" i="93"/>
  <c r="V34" i="93"/>
  <c r="V38" i="93"/>
  <c r="V40" i="93"/>
  <c r="V45" i="93"/>
  <c r="N43" i="94"/>
  <c r="Z47" i="94"/>
  <c r="Z49" i="94"/>
  <c r="V23" i="93"/>
  <c r="V31" i="93"/>
  <c r="R89" i="94"/>
  <c r="R83" i="94"/>
  <c r="R80" i="94"/>
  <c r="R71" i="94"/>
  <c r="R63" i="94"/>
  <c r="R35" i="94"/>
  <c r="R31" i="94"/>
  <c r="R24" i="94"/>
  <c r="R19" i="94"/>
  <c r="R70" i="94"/>
  <c r="R67" i="94"/>
  <c r="R59" i="94"/>
  <c r="R54" i="94"/>
  <c r="R51" i="94"/>
  <c r="R46" i="94"/>
  <c r="R43" i="94"/>
  <c r="R30" i="94"/>
  <c r="R18" i="94"/>
  <c r="R82" i="94"/>
  <c r="R77" i="94"/>
  <c r="R62" i="94"/>
  <c r="R76" i="94"/>
  <c r="R79" i="94"/>
  <c r="R75" i="94"/>
  <c r="R39" i="94"/>
  <c r="R85" i="94"/>
  <c r="R74" i="94"/>
  <c r="R66" i="94"/>
  <c r="R58" i="94"/>
  <c r="R55" i="94"/>
  <c r="R50" i="94"/>
  <c r="R47" i="94"/>
  <c r="R42" i="94"/>
  <c r="R38" i="94"/>
  <c r="R72" i="94"/>
  <c r="R68" i="94"/>
  <c r="R64" i="94"/>
  <c r="R60" i="94"/>
  <c r="R57" i="94"/>
  <c r="N23" i="94"/>
  <c r="R29" i="94"/>
  <c r="R44" i="94"/>
  <c r="N51" i="94"/>
  <c r="R78" i="94"/>
  <c r="Z23" i="95"/>
  <c r="Z12" i="93"/>
  <c r="T19" i="93"/>
  <c r="V24" i="93"/>
  <c r="V32" i="93"/>
  <c r="P21" i="94"/>
  <c r="R26" i="94"/>
  <c r="R27" i="94"/>
  <c r="R28" i="94"/>
  <c r="R85" i="95"/>
  <c r="R79" i="95"/>
  <c r="R76" i="95"/>
  <c r="R60" i="95"/>
  <c r="R55" i="95"/>
  <c r="R52" i="95"/>
  <c r="R47" i="95"/>
  <c r="R44" i="95"/>
  <c r="R39" i="95"/>
  <c r="R67" i="95"/>
  <c r="R63" i="95"/>
  <c r="R38" i="95"/>
  <c r="R78" i="95"/>
  <c r="R73" i="95"/>
  <c r="R57" i="95"/>
  <c r="R54" i="95"/>
  <c r="R49" i="95"/>
  <c r="R46" i="95"/>
  <c r="R41" i="95"/>
  <c r="R37" i="95"/>
  <c r="R33" i="95"/>
  <c r="R25" i="95"/>
  <c r="R23" i="95"/>
  <c r="R72" i="95"/>
  <c r="R36" i="95"/>
  <c r="R32" i="95"/>
  <c r="R75" i="95"/>
  <c r="R71" i="95"/>
  <c r="R59" i="95"/>
  <c r="R56" i="95"/>
  <c r="R51" i="95"/>
  <c r="R48" i="95"/>
  <c r="R43" i="95"/>
  <c r="R40" i="95"/>
  <c r="R35" i="95"/>
  <c r="R31" i="95"/>
  <c r="R24" i="95"/>
  <c r="R68" i="95"/>
  <c r="R64" i="95"/>
  <c r="R28" i="95"/>
  <c r="R77" i="95"/>
  <c r="R62" i="95"/>
  <c r="R58" i="95"/>
  <c r="R45" i="95"/>
  <c r="R17" i="95"/>
  <c r="R81" i="95"/>
  <c r="R74" i="95"/>
  <c r="R69" i="95"/>
  <c r="R53" i="95"/>
  <c r="R42" i="95"/>
  <c r="R30" i="95"/>
  <c r="R29" i="95"/>
  <c r="R70" i="95"/>
  <c r="R34" i="95"/>
  <c r="R26" i="95"/>
  <c r="P21" i="95"/>
  <c r="R21" i="95" s="1"/>
  <c r="R50" i="95"/>
  <c r="R27" i="95"/>
  <c r="R65" i="95"/>
  <c r="R19" i="95"/>
  <c r="R18" i="95"/>
  <c r="R61" i="95"/>
  <c r="V19" i="93"/>
  <c r="V21" i="93"/>
  <c r="X12" i="94"/>
  <c r="Z12" i="94" s="1"/>
  <c r="R21" i="94"/>
  <c r="R25" i="94"/>
  <c r="N34" i="94"/>
  <c r="R45" i="94"/>
  <c r="N49" i="94"/>
  <c r="R52" i="94"/>
  <c r="N57" i="94"/>
  <c r="R61" i="94"/>
  <c r="H12" i="95"/>
  <c r="N15" i="95"/>
  <c r="L15" i="95"/>
  <c r="N60" i="95"/>
  <c r="L60" i="95"/>
  <c r="F31" i="95"/>
  <c r="F38" i="95"/>
  <c r="F49" i="95"/>
  <c r="Z58" i="95"/>
  <c r="X58" i="95"/>
  <c r="F60" i="95"/>
  <c r="N20" i="96"/>
  <c r="V22" i="97"/>
  <c r="V52" i="97"/>
  <c r="T12" i="95"/>
  <c r="X12" i="95" s="1"/>
  <c r="F26" i="95"/>
  <c r="F41" i="95"/>
  <c r="R26" i="96"/>
  <c r="P16" i="96"/>
  <c r="R31" i="96"/>
  <c r="R24" i="96"/>
  <c r="R21" i="96"/>
  <c r="R18" i="96"/>
  <c r="R14" i="96"/>
  <c r="X12" i="96"/>
  <c r="R20" i="96"/>
  <c r="R16" i="96"/>
  <c r="P20" i="96"/>
  <c r="X20" i="96" s="1"/>
  <c r="Z20" i="96" s="1"/>
  <c r="X22" i="96"/>
  <c r="J61" i="97"/>
  <c r="J55" i="97"/>
  <c r="J45" i="97"/>
  <c r="J64" i="97"/>
  <c r="J58" i="97"/>
  <c r="J52" i="97"/>
  <c r="J36" i="97"/>
  <c r="J51" i="97"/>
  <c r="J47" i="97"/>
  <c r="J41" i="97"/>
  <c r="J68" i="97"/>
  <c r="J60" i="97"/>
  <c r="J54" i="97"/>
  <c r="J50" i="97"/>
  <c r="J44" i="97"/>
  <c r="J38" i="97"/>
  <c r="J63" i="97"/>
  <c r="J59" i="97"/>
  <c r="J53" i="97"/>
  <c r="J43" i="97"/>
  <c r="J37" i="97"/>
  <c r="J46" i="97"/>
  <c r="J23" i="97"/>
  <c r="L12" i="97"/>
  <c r="J48" i="97"/>
  <c r="J22" i="97"/>
  <c r="J49" i="97"/>
  <c r="J39" i="97"/>
  <c r="J29" i="97"/>
  <c r="J21" i="97"/>
  <c r="J40" i="97"/>
  <c r="J34" i="97"/>
  <c r="J33" i="97"/>
  <c r="J32" i="97"/>
  <c r="J28" i="97"/>
  <c r="H17" i="97"/>
  <c r="J17" i="97" s="1"/>
  <c r="J56" i="97"/>
  <c r="J35" i="97"/>
  <c r="J31" i="97"/>
  <c r="J27" i="97"/>
  <c r="J19" i="97"/>
  <c r="J30" i="97"/>
  <c r="J24" i="97"/>
  <c r="N12" i="97"/>
  <c r="L19" i="97"/>
  <c r="L20" i="97"/>
  <c r="N20" i="97" s="1"/>
  <c r="J42" i="97"/>
  <c r="L22" i="99"/>
  <c r="F25" i="95"/>
  <c r="F33" i="95"/>
  <c r="F73" i="95"/>
  <c r="V21" i="96"/>
  <c r="V18" i="96"/>
  <c r="V14" i="96"/>
  <c r="V28" i="96"/>
  <c r="V22" i="96"/>
  <c r="Z12" i="96"/>
  <c r="V31" i="96"/>
  <c r="V26" i="96"/>
  <c r="V24" i="96"/>
  <c r="D24" i="96"/>
  <c r="L16" i="96"/>
  <c r="N19" i="97"/>
  <c r="Z50" i="95"/>
  <c r="X50" i="95"/>
  <c r="N63" i="95"/>
  <c r="Z22" i="96"/>
  <c r="V29" i="97"/>
  <c r="Z30" i="97"/>
  <c r="F41" i="97"/>
  <c r="F78" i="95"/>
  <c r="F75" i="95"/>
  <c r="F71" i="95"/>
  <c r="F59" i="95"/>
  <c r="F54" i="95"/>
  <c r="F51" i="95"/>
  <c r="F46" i="95"/>
  <c r="F43" i="95"/>
  <c r="F35" i="95"/>
  <c r="F70" i="95"/>
  <c r="F66" i="95"/>
  <c r="F62" i="95"/>
  <c r="F30" i="95"/>
  <c r="F77" i="95"/>
  <c r="F69" i="95"/>
  <c r="F65" i="95"/>
  <c r="F61" i="95"/>
  <c r="F56" i="95"/>
  <c r="F53" i="95"/>
  <c r="F48" i="95"/>
  <c r="F45" i="95"/>
  <c r="F40" i="95"/>
  <c r="F29" i="95"/>
  <c r="F24" i="95"/>
  <c r="F23" i="95"/>
  <c r="F81" i="95"/>
  <c r="F68" i="95"/>
  <c r="F64" i="95"/>
  <c r="F28" i="95"/>
  <c r="F85" i="95"/>
  <c r="F79" i="95"/>
  <c r="F74" i="95"/>
  <c r="F58" i="95"/>
  <c r="F55" i="95"/>
  <c r="F50" i="95"/>
  <c r="F47" i="95"/>
  <c r="F42" i="95"/>
  <c r="F39" i="95"/>
  <c r="F34" i="95"/>
  <c r="F27" i="95"/>
  <c r="F72" i="95"/>
  <c r="F67" i="95"/>
  <c r="F63" i="95"/>
  <c r="F36" i="95"/>
  <c r="F32" i="95"/>
  <c r="F18" i="95"/>
  <c r="Z34" i="95"/>
  <c r="L44" i="95"/>
  <c r="N46" i="95"/>
  <c r="N52" i="95"/>
  <c r="L52" i="95"/>
  <c r="F57" i="95"/>
  <c r="L67" i="95"/>
  <c r="F76" i="95"/>
  <c r="T16" i="96"/>
  <c r="H24" i="96"/>
  <c r="X19" i="97"/>
  <c r="J25" i="97"/>
  <c r="N37" i="97"/>
  <c r="L37" i="97"/>
  <c r="F19" i="95"/>
  <c r="D21" i="95"/>
  <c r="Z42" i="95"/>
  <c r="F44" i="95"/>
  <c r="Z74" i="95"/>
  <c r="X74" i="95"/>
  <c r="N76" i="95"/>
  <c r="L76" i="95"/>
  <c r="V16" i="96"/>
  <c r="R28" i="96"/>
  <c r="P12" i="97"/>
  <c r="L12" i="95"/>
  <c r="Z52" i="95"/>
  <c r="V57" i="97"/>
  <c r="V53" i="97"/>
  <c r="V49" i="97"/>
  <c r="V56" i="97"/>
  <c r="V48" i="97"/>
  <c r="V40" i="97"/>
  <c r="V32" i="97"/>
  <c r="V59" i="97"/>
  <c r="V55" i="97"/>
  <c r="V43" i="97"/>
  <c r="V39" i="97"/>
  <c r="V64" i="97"/>
  <c r="V58" i="97"/>
  <c r="V42" i="97"/>
  <c r="V51" i="97"/>
  <c r="V47" i="97"/>
  <c r="V35" i="97"/>
  <c r="V41" i="97"/>
  <c r="V38" i="97"/>
  <c r="V37" i="97"/>
  <c r="V34" i="97"/>
  <c r="V33" i="97"/>
  <c r="V31" i="97"/>
  <c r="V27" i="97"/>
  <c r="V15" i="97"/>
  <c r="V30" i="97"/>
  <c r="V26" i="97"/>
  <c r="V68" i="97"/>
  <c r="V50" i="97"/>
  <c r="V36" i="97"/>
  <c r="V25" i="97"/>
  <c r="V24" i="97"/>
  <c r="V46" i="97"/>
  <c r="V44" i="97"/>
  <c r="V23" i="97"/>
  <c r="V19" i="97"/>
  <c r="V17" i="97"/>
  <c r="V61" i="97"/>
  <c r="V54" i="97"/>
  <c r="V45" i="97"/>
  <c r="V28" i="97"/>
  <c r="V20" i="97"/>
  <c r="L17" i="97"/>
  <c r="N12" i="96"/>
  <c r="J14" i="96"/>
  <c r="J18" i="96"/>
  <c r="F24" i="96"/>
  <c r="F31" i="96"/>
  <c r="L13" i="97"/>
  <c r="N13" i="97" s="1"/>
  <c r="F19" i="97"/>
  <c r="F20" i="97"/>
  <c r="F25" i="97"/>
  <c r="F57" i="97"/>
  <c r="L64" i="97"/>
  <c r="N64" i="97" s="1"/>
  <c r="D63" i="97"/>
  <c r="L63" i="97" s="1"/>
  <c r="N63" i="97" s="1"/>
  <c r="F26" i="96"/>
  <c r="F17" i="97"/>
  <c r="F28" i="97"/>
  <c r="F32" i="97"/>
  <c r="F33" i="97"/>
  <c r="F34" i="97"/>
  <c r="F38" i="97"/>
  <c r="X64" i="97"/>
  <c r="F68" i="97"/>
  <c r="N13" i="99"/>
  <c r="L13" i="99"/>
  <c r="J16" i="96"/>
  <c r="J20" i="96"/>
  <c r="F22" i="96"/>
  <c r="J26" i="96"/>
  <c r="F28" i="96"/>
  <c r="F21" i="97"/>
  <c r="F29" i="97"/>
  <c r="X58" i="97"/>
  <c r="Z58" i="97" s="1"/>
  <c r="R21" i="98"/>
  <c r="R18" i="98"/>
  <c r="R36" i="98"/>
  <c r="R33" i="98"/>
  <c r="R29" i="98"/>
  <c r="R25" i="98"/>
  <c r="P18" i="98"/>
  <c r="R15" i="98"/>
  <c r="R22" i="98"/>
  <c r="X12" i="98"/>
  <c r="R20" i="98"/>
  <c r="R16" i="98"/>
  <c r="R24" i="98"/>
  <c r="X24" i="98"/>
  <c r="F63" i="97"/>
  <c r="F53" i="97"/>
  <c r="F42" i="97"/>
  <c r="F61" i="97"/>
  <c r="F48" i="97"/>
  <c r="F45" i="97"/>
  <c r="F55" i="97"/>
  <c r="F52" i="97"/>
  <c r="F39" i="97"/>
  <c r="F64" i="97"/>
  <c r="F58" i="97"/>
  <c r="F51" i="97"/>
  <c r="F47" i="97"/>
  <c r="F35" i="97"/>
  <c r="F56" i="97"/>
  <c r="F40" i="97"/>
  <c r="F22" i="97"/>
  <c r="F46" i="97"/>
  <c r="F54" i="97"/>
  <c r="F60" i="97"/>
  <c r="Z64" i="97"/>
  <c r="T63" i="97"/>
  <c r="V63" i="97" s="1"/>
  <c r="F34" i="100"/>
  <c r="F31" i="100"/>
  <c r="F27" i="100"/>
  <c r="F24" i="100"/>
  <c r="F21" i="100"/>
  <c r="F18" i="100"/>
  <c r="F36" i="100"/>
  <c r="F33" i="100"/>
  <c r="F29" i="100"/>
  <c r="F25" i="100"/>
  <c r="D18" i="100"/>
  <c r="F15" i="100"/>
  <c r="L12" i="100"/>
  <c r="F22" i="100"/>
  <c r="F20" i="100"/>
  <c r="F16" i="100"/>
  <c r="F14" i="96"/>
  <c r="J22" i="96"/>
  <c r="F23" i="97"/>
  <c r="F30" i="97"/>
  <c r="Z41" i="97"/>
  <c r="F44" i="97"/>
  <c r="L53" i="97"/>
  <c r="F59" i="97"/>
  <c r="N60" i="97"/>
  <c r="L60" i="97"/>
  <c r="R27" i="98"/>
  <c r="R31" i="98"/>
  <c r="L20" i="100"/>
  <c r="F24" i="97"/>
  <c r="F43" i="97"/>
  <c r="N44" i="97"/>
  <c r="L44" i="97"/>
  <c r="X22" i="100"/>
  <c r="N12" i="98"/>
  <c r="V18" i="98"/>
  <c r="J22" i="98"/>
  <c r="J16" i="99"/>
  <c r="J20" i="99"/>
  <c r="F22" i="99"/>
  <c r="V22" i="99"/>
  <c r="Z12" i="100"/>
  <c r="V16" i="100"/>
  <c r="V20" i="100"/>
  <c r="R22" i="100"/>
  <c r="J24" i="100"/>
  <c r="V24" i="98"/>
  <c r="J16" i="100"/>
  <c r="J20" i="100"/>
  <c r="P63" i="97"/>
  <c r="J21" i="98"/>
  <c r="F27" i="98"/>
  <c r="V27" i="98"/>
  <c r="F31" i="98"/>
  <c r="V31" i="98"/>
  <c r="F34" i="98"/>
  <c r="V34" i="98"/>
  <c r="J15" i="99"/>
  <c r="H18" i="99"/>
  <c r="F21" i="99"/>
  <c r="V21" i="99"/>
  <c r="J25" i="99"/>
  <c r="R27" i="99"/>
  <c r="J29" i="99"/>
  <c r="R31" i="99"/>
  <c r="J33" i="99"/>
  <c r="R34" i="99"/>
  <c r="J36" i="99"/>
  <c r="V15" i="100"/>
  <c r="T18" i="100"/>
  <c r="R21" i="100"/>
  <c r="V25" i="100"/>
  <c r="V29" i="100"/>
  <c r="V33" i="100"/>
  <c r="V36" i="100"/>
  <c r="Z12" i="98"/>
  <c r="F16" i="98"/>
  <c r="V16" i="98"/>
  <c r="F20" i="98"/>
  <c r="V20" i="98"/>
  <c r="J24" i="98"/>
  <c r="R16" i="99"/>
  <c r="J18" i="99"/>
  <c r="R20" i="99"/>
  <c r="F24" i="99"/>
  <c r="V24" i="99"/>
  <c r="N12" i="100"/>
  <c r="V18" i="100"/>
  <c r="J22" i="100"/>
  <c r="R24" i="100"/>
  <c r="J27" i="98"/>
  <c r="J31" i="98"/>
  <c r="J34" i="98"/>
  <c r="X12" i="99"/>
  <c r="J21" i="99"/>
  <c r="F27" i="99"/>
  <c r="V27" i="99"/>
  <c r="F31" i="99"/>
  <c r="V31" i="99"/>
  <c r="F34" i="99"/>
  <c r="J15" i="100"/>
  <c r="H18" i="100"/>
  <c r="V21" i="100"/>
  <c r="J25" i="100"/>
  <c r="R27" i="100"/>
  <c r="J29" i="100"/>
  <c r="R31" i="100"/>
  <c r="J33" i="100"/>
  <c r="J36" i="100"/>
  <c r="J16" i="98"/>
  <c r="V22" i="98"/>
  <c r="J24" i="99"/>
  <c r="J18" i="100"/>
  <c r="V24" i="100"/>
  <c r="V15" i="98"/>
  <c r="D18" i="98"/>
  <c r="T18" i="98"/>
  <c r="F25" i="98"/>
  <c r="V25" i="98"/>
  <c r="F29" i="98"/>
  <c r="V29" i="98"/>
  <c r="F33" i="98"/>
  <c r="V33" i="98"/>
  <c r="R25" i="99"/>
  <c r="J27" i="99"/>
  <c r="R29" i="99"/>
  <c r="J31" i="99"/>
  <c r="R33" i="99"/>
  <c r="X12" i="100"/>
  <c r="V27" i="100"/>
  <c r="V31" i="100"/>
  <c r="X18" i="24" l="1"/>
  <c r="Z18" i="52"/>
  <c r="Z18" i="26"/>
  <c r="Z18" i="32"/>
  <c r="N18" i="44"/>
  <c r="X18" i="4"/>
  <c r="L18" i="24"/>
  <c r="X18" i="50"/>
  <c r="X18" i="33"/>
  <c r="X18" i="8"/>
  <c r="Z18" i="11"/>
  <c r="T27" i="17"/>
  <c r="X27" i="17" s="1"/>
  <c r="H27" i="5"/>
  <c r="N27" i="5" s="1"/>
  <c r="L18" i="11"/>
  <c r="L18" i="50"/>
  <c r="L18" i="23"/>
  <c r="N31" i="11"/>
  <c r="Z18" i="23"/>
  <c r="X18" i="17"/>
  <c r="N18" i="11"/>
  <c r="N27" i="11"/>
  <c r="L18" i="16"/>
  <c r="X18" i="99"/>
  <c r="N18" i="22"/>
  <c r="X18" i="5"/>
  <c r="Z18" i="99"/>
  <c r="Z18" i="14"/>
  <c r="T27" i="99"/>
  <c r="T31" i="99" s="1"/>
  <c r="Z18" i="19"/>
  <c r="Z18" i="50"/>
  <c r="T27" i="22"/>
  <c r="T31" i="22" s="1"/>
  <c r="H27" i="37"/>
  <c r="H31" i="37" s="1"/>
  <c r="L31" i="37" s="1"/>
  <c r="N18" i="98"/>
  <c r="L18" i="41"/>
  <c r="L18" i="27"/>
  <c r="Z18" i="7"/>
  <c r="N18" i="43"/>
  <c r="H27" i="46"/>
  <c r="H31" i="46" s="1"/>
  <c r="L18" i="32"/>
  <c r="Z18" i="40"/>
  <c r="Z27" i="40"/>
  <c r="X18" i="40"/>
  <c r="N27" i="7"/>
  <c r="X18" i="14"/>
  <c r="P31" i="5"/>
  <c r="P36" i="5" s="1"/>
  <c r="T27" i="5"/>
  <c r="X27" i="5" s="1"/>
  <c r="X18" i="100"/>
  <c r="P27" i="14"/>
  <c r="P31" i="14" s="1"/>
  <c r="L18" i="37"/>
  <c r="P27" i="40"/>
  <c r="P31" i="40" s="1"/>
  <c r="T27" i="37"/>
  <c r="T31" i="37" s="1"/>
  <c r="L18" i="7"/>
  <c r="N31" i="7"/>
  <c r="T27" i="29"/>
  <c r="Z18" i="29"/>
  <c r="N18" i="7"/>
  <c r="R89" i="71"/>
  <c r="R86" i="71"/>
  <c r="R99" i="71"/>
  <c r="R96" i="71"/>
  <c r="R93" i="71"/>
  <c r="R77" i="71"/>
  <c r="R72" i="71"/>
  <c r="R68" i="71"/>
  <c r="R64" i="71"/>
  <c r="R56" i="71"/>
  <c r="R54" i="71"/>
  <c r="P52" i="71"/>
  <c r="R44" i="71"/>
  <c r="R105" i="71"/>
  <c r="R88" i="71"/>
  <c r="R83" i="71"/>
  <c r="R80" i="71"/>
  <c r="R67" i="71"/>
  <c r="R63" i="71"/>
  <c r="R43" i="71"/>
  <c r="R36" i="71"/>
  <c r="R95" i="71"/>
  <c r="R100" i="71"/>
  <c r="R85" i="71"/>
  <c r="R82" i="71"/>
  <c r="R61" i="71"/>
  <c r="R49" i="71"/>
  <c r="R41" i="71"/>
  <c r="R92" i="71"/>
  <c r="R76" i="71"/>
  <c r="R73" i="71"/>
  <c r="R65" i="71"/>
  <c r="R60" i="71"/>
  <c r="R48" i="71"/>
  <c r="R40" i="71"/>
  <c r="R98" i="71"/>
  <c r="R91" i="71"/>
  <c r="R87" i="71"/>
  <c r="R84" i="71"/>
  <c r="R79" i="71"/>
  <c r="R59" i="71"/>
  <c r="R47" i="71"/>
  <c r="R39" i="71"/>
  <c r="R101" i="71"/>
  <c r="R94" i="71"/>
  <c r="R90" i="71"/>
  <c r="R78" i="71"/>
  <c r="R75" i="71"/>
  <c r="R70" i="71"/>
  <c r="R58" i="71"/>
  <c r="R46" i="71"/>
  <c r="R38" i="71"/>
  <c r="R50" i="71"/>
  <c r="R71" i="71"/>
  <c r="X12" i="71"/>
  <c r="R45" i="71"/>
  <c r="R42" i="71"/>
  <c r="R37" i="71"/>
  <c r="R62" i="71"/>
  <c r="R57" i="71"/>
  <c r="R52" i="71"/>
  <c r="R69" i="71"/>
  <c r="R81" i="71"/>
  <c r="R66" i="71"/>
  <c r="R74" i="71"/>
  <c r="R55" i="71"/>
  <c r="P22" i="54"/>
  <c r="X16" i="54"/>
  <c r="T87" i="94"/>
  <c r="V21" i="94"/>
  <c r="H32" i="88"/>
  <c r="N16" i="88"/>
  <c r="H84" i="79"/>
  <c r="N20" i="79"/>
  <c r="J61" i="48"/>
  <c r="J55" i="48"/>
  <c r="J45" i="48"/>
  <c r="J39" i="48"/>
  <c r="J25" i="48"/>
  <c r="J15" i="48"/>
  <c r="J64" i="48"/>
  <c r="J58" i="48"/>
  <c r="J52" i="48"/>
  <c r="J36" i="48"/>
  <c r="J30" i="48"/>
  <c r="J24" i="48"/>
  <c r="N12" i="48"/>
  <c r="J51" i="48"/>
  <c r="J47" i="48"/>
  <c r="J41" i="48"/>
  <c r="J35" i="48"/>
  <c r="J23" i="48"/>
  <c r="L12" i="48"/>
  <c r="J68" i="48"/>
  <c r="J60" i="48"/>
  <c r="J54" i="48"/>
  <c r="J50" i="48"/>
  <c r="J44" i="48"/>
  <c r="J38" i="48"/>
  <c r="J34" i="48"/>
  <c r="J22" i="48"/>
  <c r="J57" i="48"/>
  <c r="J49" i="48"/>
  <c r="J33" i="48"/>
  <c r="J29" i="48"/>
  <c r="J21" i="48"/>
  <c r="J17" i="48"/>
  <c r="J56" i="48"/>
  <c r="J46" i="48"/>
  <c r="J40" i="48"/>
  <c r="J32" i="48"/>
  <c r="J28" i="48"/>
  <c r="H17" i="48"/>
  <c r="J63" i="48"/>
  <c r="J59" i="48"/>
  <c r="J53" i="48"/>
  <c r="J43" i="48"/>
  <c r="J37" i="48"/>
  <c r="J31" i="48"/>
  <c r="J27" i="48"/>
  <c r="J19" i="48"/>
  <c r="J20" i="48"/>
  <c r="J26" i="48"/>
  <c r="J48" i="48"/>
  <c r="J42" i="48"/>
  <c r="D74" i="56"/>
  <c r="D70" i="48"/>
  <c r="F66" i="48"/>
  <c r="X18" i="19"/>
  <c r="P27" i="19"/>
  <c r="H27" i="19"/>
  <c r="N18" i="19"/>
  <c r="J152" i="28"/>
  <c r="J146" i="28"/>
  <c r="J126" i="28"/>
  <c r="J120" i="28"/>
  <c r="J114" i="28"/>
  <c r="J159" i="28"/>
  <c r="J151" i="28"/>
  <c r="J145" i="28"/>
  <c r="J119" i="28"/>
  <c r="J153" i="28"/>
  <c r="J133" i="28"/>
  <c r="J131" i="28"/>
  <c r="J125" i="28"/>
  <c r="J118" i="28"/>
  <c r="J105" i="28"/>
  <c r="J101" i="28"/>
  <c r="J89" i="28"/>
  <c r="J77" i="28"/>
  <c r="J69" i="28"/>
  <c r="J61" i="28"/>
  <c r="J163" i="28"/>
  <c r="J148" i="28"/>
  <c r="J147" i="28"/>
  <c r="J130" i="28"/>
  <c r="J124" i="28"/>
  <c r="J117" i="28"/>
  <c r="J110" i="28"/>
  <c r="J100" i="28"/>
  <c r="J96" i="28"/>
  <c r="H85" i="28"/>
  <c r="J76" i="28"/>
  <c r="J68" i="28"/>
  <c r="J60" i="28"/>
  <c r="J150" i="28"/>
  <c r="J149" i="28"/>
  <c r="J144" i="28"/>
  <c r="J143" i="28"/>
  <c r="J142" i="28"/>
  <c r="J129" i="28"/>
  <c r="J113" i="28"/>
  <c r="J107" i="28"/>
  <c r="J99" i="28"/>
  <c r="J95" i="28"/>
  <c r="J87" i="28"/>
  <c r="J83" i="28"/>
  <c r="J75" i="28"/>
  <c r="J67" i="28"/>
  <c r="J59" i="28"/>
  <c r="J158" i="28"/>
  <c r="J157" i="28"/>
  <c r="J156" i="28"/>
  <c r="J141" i="28"/>
  <c r="J116" i="28"/>
  <c r="J109" i="28"/>
  <c r="J93" i="28"/>
  <c r="J81" i="28"/>
  <c r="J73" i="28"/>
  <c r="J65" i="28"/>
  <c r="J161" i="28"/>
  <c r="J136" i="28"/>
  <c r="J128" i="28"/>
  <c r="J115" i="28"/>
  <c r="J112" i="28"/>
  <c r="J106" i="28"/>
  <c r="J92" i="28"/>
  <c r="J80" i="28"/>
  <c r="J72" i="28"/>
  <c r="J64" i="28"/>
  <c r="J164" i="28"/>
  <c r="J155" i="28"/>
  <c r="J154" i="28"/>
  <c r="J137" i="28"/>
  <c r="J135" i="28"/>
  <c r="J127" i="28"/>
  <c r="J121" i="28"/>
  <c r="J111" i="28"/>
  <c r="J103" i="28"/>
  <c r="J97" i="28"/>
  <c r="J91" i="28"/>
  <c r="J79" i="28"/>
  <c r="J71" i="28"/>
  <c r="J63" i="28"/>
  <c r="J57" i="28"/>
  <c r="J108" i="28"/>
  <c r="J132" i="28"/>
  <c r="J104" i="28"/>
  <c r="J98" i="28"/>
  <c r="J62" i="28"/>
  <c r="J123" i="28"/>
  <c r="J90" i="28"/>
  <c r="J139" i="28"/>
  <c r="J88" i="28"/>
  <c r="J82" i="28"/>
  <c r="J70" i="28"/>
  <c r="J168" i="28"/>
  <c r="J162" i="28"/>
  <c r="J74" i="28"/>
  <c r="J140" i="28"/>
  <c r="J122" i="28"/>
  <c r="J102" i="28"/>
  <c r="J66" i="28"/>
  <c r="J58" i="28"/>
  <c r="J94" i="28"/>
  <c r="J78" i="28"/>
  <c r="J134" i="28"/>
  <c r="J138" i="28"/>
  <c r="D31" i="14"/>
  <c r="R230" i="12"/>
  <c r="R215" i="12"/>
  <c r="R208" i="12"/>
  <c r="R191" i="12"/>
  <c r="R188" i="12"/>
  <c r="R171" i="12"/>
  <c r="R168" i="12"/>
  <c r="R233" i="12"/>
  <c r="R218" i="12"/>
  <c r="R214" i="12"/>
  <c r="R199" i="12"/>
  <c r="R195" i="12"/>
  <c r="R182" i="12"/>
  <c r="R179" i="12"/>
  <c r="R158" i="12"/>
  <c r="R155" i="12"/>
  <c r="R150" i="12"/>
  <c r="R146" i="12"/>
  <c r="R138" i="12"/>
  <c r="R126" i="12"/>
  <c r="R118" i="12"/>
  <c r="R110" i="12"/>
  <c r="R102" i="12"/>
  <c r="R94" i="12"/>
  <c r="R228" i="12"/>
  <c r="R217" i="12"/>
  <c r="R213" i="12"/>
  <c r="R237" i="12"/>
  <c r="R223" i="12"/>
  <c r="R216" i="12"/>
  <c r="R211" i="12"/>
  <c r="R207" i="12"/>
  <c r="R203" i="12"/>
  <c r="R187" i="12"/>
  <c r="R175" i="12"/>
  <c r="R172" i="12"/>
  <c r="R167" i="12"/>
  <c r="R163" i="12"/>
  <c r="R160" i="12"/>
  <c r="R143" i="12"/>
  <c r="R136" i="12"/>
  <c r="R131" i="12"/>
  <c r="R123" i="12"/>
  <c r="R115" i="12"/>
  <c r="R107" i="12"/>
  <c r="R99" i="12"/>
  <c r="R91" i="12"/>
  <c r="R229" i="12"/>
  <c r="R226" i="12"/>
  <c r="R222" i="12"/>
  <c r="R219" i="12"/>
  <c r="R210" i="12"/>
  <c r="R206" i="12"/>
  <c r="R202" i="12"/>
  <c r="R198" i="12"/>
  <c r="R194" i="12"/>
  <c r="R183" i="12"/>
  <c r="R178" i="12"/>
  <c r="R166" i="12"/>
  <c r="R154" i="12"/>
  <c r="R147" i="12"/>
  <c r="R142" i="12"/>
  <c r="R130" i="12"/>
  <c r="R122" i="12"/>
  <c r="R114" i="12"/>
  <c r="R106" i="12"/>
  <c r="R232" i="12"/>
  <c r="R209" i="12"/>
  <c r="R201" i="12"/>
  <c r="R197" i="12"/>
  <c r="R193" i="12"/>
  <c r="R189" i="12"/>
  <c r="R186" i="12"/>
  <c r="R174" i="12"/>
  <c r="R169" i="12"/>
  <c r="R162" i="12"/>
  <c r="R153" i="12"/>
  <c r="R141" i="12"/>
  <c r="R129" i="12"/>
  <c r="R121" i="12"/>
  <c r="R113" i="12"/>
  <c r="R212" i="12"/>
  <c r="R180" i="12"/>
  <c r="R156" i="12"/>
  <c r="R144" i="12"/>
  <c r="R90" i="12"/>
  <c r="R89" i="12"/>
  <c r="R88" i="12"/>
  <c r="R225" i="12"/>
  <c r="R181" i="12"/>
  <c r="R173" i="12"/>
  <c r="R157" i="12"/>
  <c r="R145" i="12"/>
  <c r="R116" i="12"/>
  <c r="R104" i="12"/>
  <c r="R103" i="12"/>
  <c r="R93" i="12"/>
  <c r="R224" i="12"/>
  <c r="R205" i="12"/>
  <c r="R152" i="12"/>
  <c r="R151" i="12"/>
  <c r="R137" i="12"/>
  <c r="R135" i="12"/>
  <c r="P133" i="12"/>
  <c r="R133" i="12" s="1"/>
  <c r="R128" i="12"/>
  <c r="R127" i="12"/>
  <c r="R117" i="12"/>
  <c r="R112" i="12"/>
  <c r="R111" i="12"/>
  <c r="R105" i="12"/>
  <c r="R96" i="12"/>
  <c r="R92" i="12"/>
  <c r="R221" i="12"/>
  <c r="R204" i="12"/>
  <c r="R98" i="12"/>
  <c r="R97" i="12"/>
  <c r="R95" i="12"/>
  <c r="X12" i="12"/>
  <c r="R231" i="12"/>
  <c r="R190" i="12"/>
  <c r="R177" i="12"/>
  <c r="R165" i="12"/>
  <c r="R161" i="12"/>
  <c r="R159" i="12"/>
  <c r="R148" i="12"/>
  <c r="R220" i="12"/>
  <c r="R196" i="12"/>
  <c r="R170" i="12"/>
  <c r="R149" i="12"/>
  <c r="R124" i="12"/>
  <c r="R101" i="12"/>
  <c r="R100" i="12"/>
  <c r="R200" i="12"/>
  <c r="R192" i="12"/>
  <c r="R184" i="12"/>
  <c r="R176" i="12"/>
  <c r="R125" i="12"/>
  <c r="R120" i="12"/>
  <c r="R119" i="12"/>
  <c r="R109" i="12"/>
  <c r="R108" i="12"/>
  <c r="R185" i="12"/>
  <c r="R139" i="12"/>
  <c r="R164" i="12"/>
  <c r="R140" i="12"/>
  <c r="H272" i="3"/>
  <c r="N162" i="3"/>
  <c r="H27" i="99"/>
  <c r="L27" i="99" s="1"/>
  <c r="N18" i="99"/>
  <c r="P27" i="98"/>
  <c r="X18" i="98"/>
  <c r="D31" i="99"/>
  <c r="D83" i="95"/>
  <c r="R77" i="92"/>
  <c r="R68" i="92"/>
  <c r="R64" i="92"/>
  <c r="R60" i="92"/>
  <c r="R57" i="92"/>
  <c r="R52" i="92"/>
  <c r="R49" i="92"/>
  <c r="R44" i="92"/>
  <c r="R67" i="92"/>
  <c r="R63" i="92"/>
  <c r="R74" i="92"/>
  <c r="R59" i="92"/>
  <c r="R54" i="92"/>
  <c r="R51" i="92"/>
  <c r="R80" i="92"/>
  <c r="R73" i="92"/>
  <c r="R66" i="92"/>
  <c r="R62" i="92"/>
  <c r="R78" i="92"/>
  <c r="R76" i="92"/>
  <c r="R48" i="92"/>
  <c r="R39" i="92"/>
  <c r="R27" i="92"/>
  <c r="R69" i="92"/>
  <c r="R53" i="92"/>
  <c r="R47" i="92"/>
  <c r="R42" i="92"/>
  <c r="R38" i="92"/>
  <c r="R26" i="92"/>
  <c r="R70" i="92"/>
  <c r="R58" i="92"/>
  <c r="R46" i="92"/>
  <c r="R45" i="92"/>
  <c r="R37" i="92"/>
  <c r="R33" i="92"/>
  <c r="R25" i="92"/>
  <c r="R23" i="92"/>
  <c r="P21" i="92"/>
  <c r="R21" i="92" s="1"/>
  <c r="R84" i="92"/>
  <c r="R61" i="92"/>
  <c r="R56" i="92"/>
  <c r="R55" i="92"/>
  <c r="R41" i="92"/>
  <c r="R36" i="92"/>
  <c r="R32" i="92"/>
  <c r="X12" i="92"/>
  <c r="R71" i="92"/>
  <c r="R35" i="92"/>
  <c r="R31" i="92"/>
  <c r="R24" i="92"/>
  <c r="R19" i="92"/>
  <c r="R72" i="92"/>
  <c r="R50" i="92"/>
  <c r="R43" i="92"/>
  <c r="R30" i="92"/>
  <c r="R18" i="92"/>
  <c r="R75" i="92"/>
  <c r="R28" i="92"/>
  <c r="R29" i="92"/>
  <c r="R17" i="92"/>
  <c r="R40" i="92"/>
  <c r="R34" i="92"/>
  <c r="R65" i="92"/>
  <c r="J71" i="92"/>
  <c r="J53" i="92"/>
  <c r="J45" i="92"/>
  <c r="J84" i="92"/>
  <c r="J78" i="92"/>
  <c r="J70" i="92"/>
  <c r="J58" i="92"/>
  <c r="J50" i="92"/>
  <c r="J75" i="92"/>
  <c r="J69" i="92"/>
  <c r="J65" i="92"/>
  <c r="J61" i="92"/>
  <c r="J55" i="92"/>
  <c r="J68" i="92"/>
  <c r="J64" i="92"/>
  <c r="J60" i="92"/>
  <c r="J73" i="92"/>
  <c r="J72" i="92"/>
  <c r="J67" i="92"/>
  <c r="J66" i="92"/>
  <c r="J30" i="92"/>
  <c r="J24" i="92"/>
  <c r="J18" i="92"/>
  <c r="J77" i="92"/>
  <c r="J74" i="92"/>
  <c r="J49" i="92"/>
  <c r="J43" i="92"/>
  <c r="J29" i="92"/>
  <c r="J80" i="92"/>
  <c r="J40" i="92"/>
  <c r="J34" i="92"/>
  <c r="J28" i="92"/>
  <c r="J76" i="92"/>
  <c r="J48" i="92"/>
  <c r="J47" i="92"/>
  <c r="J39" i="92"/>
  <c r="J27" i="92"/>
  <c r="J17" i="92"/>
  <c r="J63" i="92"/>
  <c r="J62" i="92"/>
  <c r="J59" i="92"/>
  <c r="J57" i="92"/>
  <c r="J42" i="92"/>
  <c r="J38" i="92"/>
  <c r="J26" i="92"/>
  <c r="J54" i="92"/>
  <c r="J52" i="92"/>
  <c r="J46" i="92"/>
  <c r="J37" i="92"/>
  <c r="J33" i="92"/>
  <c r="J25" i="92"/>
  <c r="J21" i="92"/>
  <c r="J23" i="92"/>
  <c r="J31" i="92"/>
  <c r="J56" i="92"/>
  <c r="J44" i="92"/>
  <c r="J35" i="92"/>
  <c r="J36" i="92"/>
  <c r="J41" i="92"/>
  <c r="H21" i="92"/>
  <c r="J51" i="92"/>
  <c r="J32" i="92"/>
  <c r="J19" i="92"/>
  <c r="X16" i="81"/>
  <c r="P80" i="81"/>
  <c r="D32" i="80"/>
  <c r="L16" i="80"/>
  <c r="D38" i="83"/>
  <c r="L16" i="83"/>
  <c r="F72" i="85"/>
  <c r="F79" i="85"/>
  <c r="F71" i="85"/>
  <c r="F83" i="85"/>
  <c r="F81" i="85"/>
  <c r="F76" i="85"/>
  <c r="F69" i="85"/>
  <c r="F84" i="85"/>
  <c r="F78" i="85"/>
  <c r="F75" i="85"/>
  <c r="F74" i="85"/>
  <c r="F73" i="85"/>
  <c r="F64" i="85"/>
  <c r="F60" i="85"/>
  <c r="F43" i="85"/>
  <c r="F40" i="85"/>
  <c r="F63" i="85"/>
  <c r="F59" i="85"/>
  <c r="F54" i="85"/>
  <c r="F51" i="85"/>
  <c r="F35" i="85"/>
  <c r="F31" i="85"/>
  <c r="F88" i="85"/>
  <c r="F80" i="85"/>
  <c r="F70" i="85"/>
  <c r="F68" i="85"/>
  <c r="F62" i="85"/>
  <c r="F45" i="85"/>
  <c r="F42" i="85"/>
  <c r="F34" i="85"/>
  <c r="F30" i="85"/>
  <c r="D20" i="85"/>
  <c r="F18" i="85"/>
  <c r="F67" i="85"/>
  <c r="F56" i="85"/>
  <c r="F53" i="85"/>
  <c r="F48" i="85"/>
  <c r="F29" i="85"/>
  <c r="F17" i="85"/>
  <c r="F77" i="85"/>
  <c r="F44" i="85"/>
  <c r="F39" i="85"/>
  <c r="F28" i="85"/>
  <c r="F23" i="85"/>
  <c r="F22" i="85"/>
  <c r="F66" i="85"/>
  <c r="F58" i="85"/>
  <c r="F55" i="85"/>
  <c r="F50" i="85"/>
  <c r="F47" i="85"/>
  <c r="F27" i="85"/>
  <c r="F65" i="85"/>
  <c r="F57" i="85"/>
  <c r="F52" i="85"/>
  <c r="F49" i="85"/>
  <c r="F37" i="85"/>
  <c r="F25" i="85"/>
  <c r="F16" i="85"/>
  <c r="F61" i="85"/>
  <c r="F41" i="85"/>
  <c r="L12" i="85"/>
  <c r="N12" i="85" s="1"/>
  <c r="F46" i="85"/>
  <c r="F38" i="85"/>
  <c r="F32" i="85"/>
  <c r="F36" i="85"/>
  <c r="F24" i="85"/>
  <c r="F26" i="85"/>
  <c r="F33" i="85"/>
  <c r="J16" i="78"/>
  <c r="J28" i="78"/>
  <c r="J24" i="78"/>
  <c r="N12" i="78"/>
  <c r="J32" i="78"/>
  <c r="J26" i="78"/>
  <c r="J22" i="78"/>
  <c r="J18" i="78"/>
  <c r="J23" i="78"/>
  <c r="J17" i="78"/>
  <c r="J25" i="78"/>
  <c r="H20" i="78"/>
  <c r="J20" i="78" s="1"/>
  <c r="R25" i="75"/>
  <c r="R20" i="75"/>
  <c r="X12" i="75"/>
  <c r="R19" i="75"/>
  <c r="R18" i="75"/>
  <c r="P23" i="75"/>
  <c r="R27" i="75"/>
  <c r="R23" i="75"/>
  <c r="R31" i="75"/>
  <c r="R21" i="75"/>
  <c r="F18" i="75"/>
  <c r="F27" i="75"/>
  <c r="F23" i="75"/>
  <c r="F31" i="75"/>
  <c r="D23" i="75"/>
  <c r="F21" i="75"/>
  <c r="F19" i="75"/>
  <c r="F25" i="75"/>
  <c r="F20" i="75"/>
  <c r="L12" i="75"/>
  <c r="J100" i="71"/>
  <c r="J92" i="71"/>
  <c r="J82" i="71"/>
  <c r="J91" i="71"/>
  <c r="J87" i="71"/>
  <c r="J79" i="71"/>
  <c r="J73" i="71"/>
  <c r="J65" i="71"/>
  <c r="J59" i="71"/>
  <c r="J47" i="71"/>
  <c r="J39" i="71"/>
  <c r="J98" i="71"/>
  <c r="J94" i="71"/>
  <c r="J90" i="71"/>
  <c r="J84" i="71"/>
  <c r="J78" i="71"/>
  <c r="J70" i="71"/>
  <c r="J58" i="71"/>
  <c r="J46" i="71"/>
  <c r="J38" i="71"/>
  <c r="J101" i="71"/>
  <c r="J89" i="71"/>
  <c r="J81" i="71"/>
  <c r="J75" i="71"/>
  <c r="J96" i="71"/>
  <c r="J86" i="71"/>
  <c r="J72" i="71"/>
  <c r="J68" i="71"/>
  <c r="J64" i="71"/>
  <c r="J56" i="71"/>
  <c r="J44" i="71"/>
  <c r="J105" i="71"/>
  <c r="J99" i="71"/>
  <c r="J93" i="71"/>
  <c r="J83" i="71"/>
  <c r="J77" i="71"/>
  <c r="J67" i="71"/>
  <c r="J63" i="71"/>
  <c r="H52" i="71"/>
  <c r="J43" i="71"/>
  <c r="J88" i="71"/>
  <c r="J80" i="71"/>
  <c r="J74" i="71"/>
  <c r="J66" i="71"/>
  <c r="J62" i="71"/>
  <c r="J54" i="71"/>
  <c r="J50" i="71"/>
  <c r="J42" i="71"/>
  <c r="J36" i="71"/>
  <c r="J95" i="71"/>
  <c r="J85" i="71"/>
  <c r="J71" i="71"/>
  <c r="J61" i="71"/>
  <c r="J55" i="71"/>
  <c r="J49" i="71"/>
  <c r="J41" i="71"/>
  <c r="J69" i="71"/>
  <c r="J60" i="71"/>
  <c r="J76" i="71"/>
  <c r="J48" i="71"/>
  <c r="J45" i="71"/>
  <c r="J40" i="71"/>
  <c r="J37" i="71"/>
  <c r="J57" i="71"/>
  <c r="L80" i="70"/>
  <c r="D81" i="73"/>
  <c r="T149" i="69"/>
  <c r="J107" i="66"/>
  <c r="J91" i="66"/>
  <c r="J85" i="66"/>
  <c r="J79" i="66"/>
  <c r="J67" i="66"/>
  <c r="J55" i="66"/>
  <c r="J47" i="66"/>
  <c r="J114" i="66"/>
  <c r="J110" i="66"/>
  <c r="J100" i="66"/>
  <c r="J96" i="66"/>
  <c r="J90" i="66"/>
  <c r="J78" i="66"/>
  <c r="J72" i="66"/>
  <c r="J66" i="66"/>
  <c r="J54" i="66"/>
  <c r="J46" i="66"/>
  <c r="J40" i="66"/>
  <c r="J117" i="66"/>
  <c r="J103" i="66"/>
  <c r="J93" i="66"/>
  <c r="J87" i="66"/>
  <c r="J81" i="66"/>
  <c r="J77" i="66"/>
  <c r="J65" i="66"/>
  <c r="J53" i="66"/>
  <c r="J45" i="66"/>
  <c r="J112" i="66"/>
  <c r="J106" i="66"/>
  <c r="J84" i="66"/>
  <c r="J76" i="66"/>
  <c r="J64" i="66"/>
  <c r="J52" i="66"/>
  <c r="J44" i="66"/>
  <c r="J121" i="66"/>
  <c r="J115" i="66"/>
  <c r="J109" i="66"/>
  <c r="J99" i="66"/>
  <c r="J95" i="66"/>
  <c r="J89" i="66"/>
  <c r="J83" i="66"/>
  <c r="J75" i="66"/>
  <c r="J71" i="66"/>
  <c r="J63" i="66"/>
  <c r="J51" i="66"/>
  <c r="J43" i="66"/>
  <c r="J102" i="66"/>
  <c r="J98" i="66"/>
  <c r="J92" i="66"/>
  <c r="J86" i="66"/>
  <c r="J80" i="66"/>
  <c r="J74" i="66"/>
  <c r="J70" i="66"/>
  <c r="H59" i="66"/>
  <c r="J50" i="66"/>
  <c r="J42" i="66"/>
  <c r="J111" i="66"/>
  <c r="J105" i="66"/>
  <c r="J101" i="66"/>
  <c r="J97" i="66"/>
  <c r="J73" i="66"/>
  <c r="J69" i="66"/>
  <c r="J61" i="66"/>
  <c r="J57" i="66"/>
  <c r="J49" i="66"/>
  <c r="J41" i="66"/>
  <c r="J116" i="66"/>
  <c r="J108" i="66"/>
  <c r="J104" i="66"/>
  <c r="J94" i="66"/>
  <c r="J88" i="66"/>
  <c r="J82" i="66"/>
  <c r="J68" i="66"/>
  <c r="J62" i="66"/>
  <c r="J56" i="66"/>
  <c r="J48" i="66"/>
  <c r="P46" i="61"/>
  <c r="X16" i="61"/>
  <c r="X98" i="51"/>
  <c r="Z98" i="51" s="1"/>
  <c r="H54" i="60"/>
  <c r="T34" i="55"/>
  <c r="P73" i="58"/>
  <c r="R51" i="65"/>
  <c r="R47" i="65"/>
  <c r="R27" i="65"/>
  <c r="R57" i="65"/>
  <c r="R50" i="65"/>
  <c r="R43" i="65"/>
  <c r="R38" i="65"/>
  <c r="R35" i="65"/>
  <c r="R30" i="65"/>
  <c r="R26" i="65"/>
  <c r="R24" i="65"/>
  <c r="P22" i="65"/>
  <c r="R53" i="65"/>
  <c r="R46" i="65"/>
  <c r="R29" i="65"/>
  <c r="R61" i="65"/>
  <c r="R55" i="65"/>
  <c r="R52" i="65"/>
  <c r="R28" i="65"/>
  <c r="R19" i="65"/>
  <c r="R42" i="65"/>
  <c r="R39" i="65"/>
  <c r="R34" i="65"/>
  <c r="R31" i="65"/>
  <c r="R54" i="65"/>
  <c r="R45" i="65"/>
  <c r="R18" i="65"/>
  <c r="R48" i="65"/>
  <c r="R44" i="65"/>
  <c r="R41" i="65"/>
  <c r="R36" i="65"/>
  <c r="R33" i="65"/>
  <c r="R37" i="65"/>
  <c r="R32" i="65"/>
  <c r="R25" i="65"/>
  <c r="R49" i="65"/>
  <c r="R40" i="65"/>
  <c r="R20" i="65"/>
  <c r="X12" i="65"/>
  <c r="N16" i="56"/>
  <c r="H67" i="56"/>
  <c r="L18" i="53"/>
  <c r="D27" i="53"/>
  <c r="X18" i="49"/>
  <c r="P27" i="49"/>
  <c r="L18" i="44"/>
  <c r="D27" i="44"/>
  <c r="H30" i="55"/>
  <c r="N16" i="55"/>
  <c r="D36" i="47"/>
  <c r="T27" i="38"/>
  <c r="Z18" i="38"/>
  <c r="N27" i="44"/>
  <c r="H31" i="44"/>
  <c r="T27" i="35"/>
  <c r="Z18" i="35"/>
  <c r="X18" i="35"/>
  <c r="D27" i="35"/>
  <c r="L18" i="35"/>
  <c r="D118" i="36"/>
  <c r="F27" i="36"/>
  <c r="X18" i="23"/>
  <c r="P27" i="23"/>
  <c r="Z18" i="27"/>
  <c r="T27" i="27"/>
  <c r="Z27" i="22"/>
  <c r="T27" i="24"/>
  <c r="X27" i="24" s="1"/>
  <c r="Z18" i="24"/>
  <c r="H27" i="20"/>
  <c r="N18" i="20"/>
  <c r="R245" i="18"/>
  <c r="R238" i="18"/>
  <c r="R234" i="18"/>
  <c r="R226" i="18"/>
  <c r="R218" i="18"/>
  <c r="R202" i="18"/>
  <c r="R190" i="18"/>
  <c r="R187" i="18"/>
  <c r="R178" i="18"/>
  <c r="R166" i="18"/>
  <c r="R162" i="18"/>
  <c r="R154" i="18"/>
  <c r="R152" i="18"/>
  <c r="P150" i="18"/>
  <c r="R142" i="18"/>
  <c r="R134" i="18"/>
  <c r="R126" i="18"/>
  <c r="R118" i="18"/>
  <c r="R110" i="18"/>
  <c r="R102" i="18"/>
  <c r="R248" i="18"/>
  <c r="R237" i="18"/>
  <c r="R230" i="18"/>
  <c r="R225" i="18"/>
  <c r="R221" i="18"/>
  <c r="R217" i="18"/>
  <c r="R213" i="18"/>
  <c r="R209" i="18"/>
  <c r="R198" i="18"/>
  <c r="R193" i="18"/>
  <c r="R181" i="18"/>
  <c r="R174" i="18"/>
  <c r="R165" i="18"/>
  <c r="R161" i="18"/>
  <c r="R141" i="18"/>
  <c r="R133" i="18"/>
  <c r="R125" i="18"/>
  <c r="R117" i="18"/>
  <c r="R109" i="18"/>
  <c r="R101" i="18"/>
  <c r="R243" i="18"/>
  <c r="R240" i="18"/>
  <c r="R236" i="18"/>
  <c r="R233" i="18"/>
  <c r="R224" i="18"/>
  <c r="R220" i="18"/>
  <c r="R216" i="18"/>
  <c r="R212" i="18"/>
  <c r="R208" i="18"/>
  <c r="R204" i="18"/>
  <c r="R201" i="18"/>
  <c r="R192" i="18"/>
  <c r="R189" i="18"/>
  <c r="R184" i="18"/>
  <c r="R180" i="18"/>
  <c r="R177" i="18"/>
  <c r="R160" i="18"/>
  <c r="R153" i="18"/>
  <c r="R148" i="18"/>
  <c r="R140" i="18"/>
  <c r="R132" i="18"/>
  <c r="R124" i="18"/>
  <c r="R116" i="18"/>
  <c r="R108" i="18"/>
  <c r="R100" i="18"/>
  <c r="R249" i="18"/>
  <c r="R239" i="18"/>
  <c r="R235" i="18"/>
  <c r="R219" i="18"/>
  <c r="R206" i="18"/>
  <c r="R203" i="18"/>
  <c r="R191" i="18"/>
  <c r="R186" i="18"/>
  <c r="R179" i="18"/>
  <c r="R170" i="18"/>
  <c r="R158" i="18"/>
  <c r="R146" i="18"/>
  <c r="R138" i="18"/>
  <c r="R130" i="18"/>
  <c r="R122" i="18"/>
  <c r="R114" i="18"/>
  <c r="R106" i="18"/>
  <c r="R244" i="18"/>
  <c r="R229" i="18"/>
  <c r="R222" i="18"/>
  <c r="R214" i="18"/>
  <c r="R210" i="18"/>
  <c r="R197" i="18"/>
  <c r="R194" i="18"/>
  <c r="R182" i="18"/>
  <c r="R173" i="18"/>
  <c r="R169" i="18"/>
  <c r="R157" i="18"/>
  <c r="R145" i="18"/>
  <c r="R137" i="18"/>
  <c r="R129" i="18"/>
  <c r="R121" i="18"/>
  <c r="R113" i="18"/>
  <c r="R105" i="18"/>
  <c r="R98" i="18"/>
  <c r="R247" i="18"/>
  <c r="R232" i="18"/>
  <c r="R228" i="18"/>
  <c r="R205" i="18"/>
  <c r="R200" i="18"/>
  <c r="R188" i="18"/>
  <c r="R185" i="18"/>
  <c r="R176" i="18"/>
  <c r="R168" i="18"/>
  <c r="R156" i="18"/>
  <c r="R144" i="18"/>
  <c r="R136" i="18"/>
  <c r="R128" i="18"/>
  <c r="R120" i="18"/>
  <c r="R112" i="18"/>
  <c r="R104" i="18"/>
  <c r="R242" i="18"/>
  <c r="R155" i="18"/>
  <c r="R99" i="18"/>
  <c r="R172" i="18"/>
  <c r="R171" i="18"/>
  <c r="R163" i="18"/>
  <c r="R143" i="18"/>
  <c r="R131" i="18"/>
  <c r="R115" i="18"/>
  <c r="R211" i="18"/>
  <c r="R207" i="18"/>
  <c r="R199" i="18"/>
  <c r="R183" i="18"/>
  <c r="R164" i="18"/>
  <c r="R135" i="18"/>
  <c r="R123" i="18"/>
  <c r="R196" i="18"/>
  <c r="R147" i="18"/>
  <c r="R119" i="18"/>
  <c r="R103" i="18"/>
  <c r="X12" i="18"/>
  <c r="Z12" i="18" s="1"/>
  <c r="R231" i="18"/>
  <c r="R195" i="18"/>
  <c r="R159" i="18"/>
  <c r="R253" i="18"/>
  <c r="R175" i="18"/>
  <c r="R127" i="18"/>
  <c r="R111" i="18"/>
  <c r="R227" i="18"/>
  <c r="R246" i="18"/>
  <c r="R139" i="18"/>
  <c r="R107" i="18"/>
  <c r="R223" i="18"/>
  <c r="R215" i="18"/>
  <c r="R167" i="18"/>
  <c r="R150" i="18"/>
  <c r="T27" i="33"/>
  <c r="Z18" i="33"/>
  <c r="L18" i="13"/>
  <c r="D27" i="13"/>
  <c r="L18" i="10"/>
  <c r="D27" i="10"/>
  <c r="X242" i="18"/>
  <c r="V243" i="18"/>
  <c r="V237" i="18"/>
  <c r="V233" i="18"/>
  <c r="V225" i="18"/>
  <c r="V221" i="18"/>
  <c r="V217" i="18"/>
  <c r="V213" i="18"/>
  <c r="V209" i="18"/>
  <c r="V201" i="18"/>
  <c r="V193" i="18"/>
  <c r="V189" i="18"/>
  <c r="V181" i="18"/>
  <c r="V177" i="18"/>
  <c r="V165" i="18"/>
  <c r="V161" i="18"/>
  <c r="V153" i="18"/>
  <c r="V141" i="18"/>
  <c r="V133" i="18"/>
  <c r="V125" i="18"/>
  <c r="V117" i="18"/>
  <c r="V109" i="18"/>
  <c r="V101" i="18"/>
  <c r="V246" i="18"/>
  <c r="V240" i="18"/>
  <c r="V236" i="18"/>
  <c r="V224" i="18"/>
  <c r="V220" i="18"/>
  <c r="V216" i="18"/>
  <c r="V212" i="18"/>
  <c r="V208" i="18"/>
  <c r="V204" i="18"/>
  <c r="V192" i="18"/>
  <c r="V184" i="18"/>
  <c r="V180" i="18"/>
  <c r="V164" i="18"/>
  <c r="V160" i="18"/>
  <c r="V148" i="18"/>
  <c r="V140" i="18"/>
  <c r="V132" i="18"/>
  <c r="V124" i="18"/>
  <c r="V116" i="18"/>
  <c r="V108" i="18"/>
  <c r="V100" i="18"/>
  <c r="V249" i="18"/>
  <c r="V239" i="18"/>
  <c r="V235" i="18"/>
  <c r="V223" i="18"/>
  <c r="V219" i="18"/>
  <c r="V215" i="18"/>
  <c r="V211" i="18"/>
  <c r="V207" i="18"/>
  <c r="V203" i="18"/>
  <c r="V195" i="18"/>
  <c r="V191" i="18"/>
  <c r="V183" i="18"/>
  <c r="V179" i="18"/>
  <c r="V171" i="18"/>
  <c r="V159" i="18"/>
  <c r="V147" i="18"/>
  <c r="V139" i="18"/>
  <c r="V131" i="18"/>
  <c r="V123" i="18"/>
  <c r="V115" i="18"/>
  <c r="V107" i="18"/>
  <c r="V99" i="18"/>
  <c r="V247" i="18"/>
  <c r="V229" i="18"/>
  <c r="V205" i="18"/>
  <c r="V197" i="18"/>
  <c r="V185" i="18"/>
  <c r="V173" i="18"/>
  <c r="V169" i="18"/>
  <c r="V157" i="18"/>
  <c r="V145" i="18"/>
  <c r="V137" i="18"/>
  <c r="V129" i="18"/>
  <c r="V121" i="18"/>
  <c r="V113" i="18"/>
  <c r="V105" i="18"/>
  <c r="V242" i="18"/>
  <c r="V232" i="18"/>
  <c r="V228" i="18"/>
  <c r="V200" i="18"/>
  <c r="V196" i="18"/>
  <c r="V188" i="18"/>
  <c r="V176" i="18"/>
  <c r="V172" i="18"/>
  <c r="V168" i="18"/>
  <c r="V156" i="18"/>
  <c r="V152" i="18"/>
  <c r="V144" i="18"/>
  <c r="V136" i="18"/>
  <c r="V128" i="18"/>
  <c r="V120" i="18"/>
  <c r="V112" i="18"/>
  <c r="V104" i="18"/>
  <c r="V253" i="18"/>
  <c r="V245" i="18"/>
  <c r="V231" i="18"/>
  <c r="V227" i="18"/>
  <c r="V199" i="18"/>
  <c r="V187" i="18"/>
  <c r="V175" i="18"/>
  <c r="V167" i="18"/>
  <c r="V163" i="18"/>
  <c r="V155" i="18"/>
  <c r="T150" i="18"/>
  <c r="V143" i="18"/>
  <c r="V135" i="18"/>
  <c r="V127" i="18"/>
  <c r="V119" i="18"/>
  <c r="V111" i="18"/>
  <c r="V103" i="18"/>
  <c r="V214" i="18"/>
  <c r="V210" i="18"/>
  <c r="V206" i="18"/>
  <c r="V202" i="18"/>
  <c r="V186" i="18"/>
  <c r="V244" i="18"/>
  <c r="V226" i="18"/>
  <c r="V190" i="18"/>
  <c r="V166" i="18"/>
  <c r="V134" i="18"/>
  <c r="V110" i="18"/>
  <c r="V230" i="18"/>
  <c r="V194" i="18"/>
  <c r="V146" i="18"/>
  <c r="V118" i="18"/>
  <c r="V102" i="18"/>
  <c r="V234" i="18"/>
  <c r="V174" i="18"/>
  <c r="V126" i="18"/>
  <c r="V222" i="18"/>
  <c r="V218" i="18"/>
  <c r="V138" i="18"/>
  <c r="V106" i="18"/>
  <c r="V98" i="18"/>
  <c r="V238" i="18"/>
  <c r="V178" i="18"/>
  <c r="V170" i="18"/>
  <c r="V154" i="18"/>
  <c r="V114" i="18"/>
  <c r="V198" i="18"/>
  <c r="V130" i="18"/>
  <c r="V162" i="18"/>
  <c r="V142" i="18"/>
  <c r="V122" i="18"/>
  <c r="V248" i="18"/>
  <c r="V158" i="18"/>
  <c r="V182" i="18"/>
  <c r="H27" i="4"/>
  <c r="N18" i="4"/>
  <c r="N218" i="15"/>
  <c r="T27" i="8"/>
  <c r="Z18" i="8"/>
  <c r="H28" i="96"/>
  <c r="Z19" i="93"/>
  <c r="T38" i="93"/>
  <c r="X16" i="88"/>
  <c r="P32" i="88"/>
  <c r="T84" i="81"/>
  <c r="P30" i="78"/>
  <c r="T44" i="74"/>
  <c r="J27" i="75"/>
  <c r="H23" i="75"/>
  <c r="J23" i="75" s="1"/>
  <c r="J31" i="75"/>
  <c r="J21" i="75"/>
  <c r="J20" i="75"/>
  <c r="N12" i="75"/>
  <c r="J25" i="75"/>
  <c r="J18" i="75"/>
  <c r="J19" i="75"/>
  <c r="D51" i="74"/>
  <c r="T83" i="70"/>
  <c r="Z30" i="70"/>
  <c r="T101" i="62"/>
  <c r="Z18" i="62"/>
  <c r="F111" i="39"/>
  <c r="F100" i="39"/>
  <c r="F87" i="39"/>
  <c r="F84" i="39"/>
  <c r="F68" i="39"/>
  <c r="F63" i="39"/>
  <c r="F48" i="39"/>
  <c r="F44" i="39"/>
  <c r="F116" i="39"/>
  <c r="F107" i="39"/>
  <c r="F99" i="39"/>
  <c r="F94" i="39"/>
  <c r="F91" i="39"/>
  <c r="F83" i="39"/>
  <c r="F79" i="39"/>
  <c r="F74" i="39"/>
  <c r="F71" i="39"/>
  <c r="F59" i="39"/>
  <c r="F54" i="39"/>
  <c r="F47" i="39"/>
  <c r="F43" i="39"/>
  <c r="D33" i="39"/>
  <c r="F31" i="39"/>
  <c r="F110" i="39"/>
  <c r="F98" i="39"/>
  <c r="F90" i="39"/>
  <c r="F86" i="39"/>
  <c r="F82" i="39"/>
  <c r="F65" i="39"/>
  <c r="F62" i="39"/>
  <c r="F42" i="39"/>
  <c r="F30" i="39"/>
  <c r="F117" i="39"/>
  <c r="F112" i="39"/>
  <c r="F96" i="39"/>
  <c r="F88" i="39"/>
  <c r="F67" i="39"/>
  <c r="F64" i="39"/>
  <c r="F52" i="39"/>
  <c r="F40" i="39"/>
  <c r="L12" i="39"/>
  <c r="F121" i="39"/>
  <c r="F106" i="39"/>
  <c r="F103" i="39"/>
  <c r="F95" i="39"/>
  <c r="F78" i="39"/>
  <c r="F75" i="39"/>
  <c r="F70" i="39"/>
  <c r="F58" i="39"/>
  <c r="F55" i="39"/>
  <c r="F51" i="39"/>
  <c r="F46" i="39"/>
  <c r="F39" i="39"/>
  <c r="F115" i="39"/>
  <c r="F102" i="39"/>
  <c r="F85" i="39"/>
  <c r="F66" i="39"/>
  <c r="F50" i="39"/>
  <c r="F38" i="39"/>
  <c r="F108" i="39"/>
  <c r="F105" i="39"/>
  <c r="F101" i="39"/>
  <c r="F92" i="39"/>
  <c r="F80" i="39"/>
  <c r="F77" i="39"/>
  <c r="F72" i="39"/>
  <c r="F69" i="39"/>
  <c r="F60" i="39"/>
  <c r="F57" i="39"/>
  <c r="F49" i="39"/>
  <c r="F45" i="39"/>
  <c r="F37" i="39"/>
  <c r="F28" i="39"/>
  <c r="F114" i="39"/>
  <c r="F56" i="39"/>
  <c r="F104" i="39"/>
  <c r="F53" i="39"/>
  <c r="F61" i="39"/>
  <c r="F109" i="39"/>
  <c r="F97" i="39"/>
  <c r="F89" i="39"/>
  <c r="F76" i="39"/>
  <c r="F73" i="39"/>
  <c r="F41" i="39"/>
  <c r="F81" i="39"/>
  <c r="F36" i="39"/>
  <c r="F35" i="39"/>
  <c r="F29" i="39"/>
  <c r="F93" i="39"/>
  <c r="R68" i="97"/>
  <c r="R54" i="97"/>
  <c r="R50" i="97"/>
  <c r="R57" i="97"/>
  <c r="R49" i="97"/>
  <c r="R46" i="97"/>
  <c r="R33" i="97"/>
  <c r="R63" i="97"/>
  <c r="R56" i="97"/>
  <c r="R53" i="97"/>
  <c r="R40" i="97"/>
  <c r="R37" i="97"/>
  <c r="R59" i="97"/>
  <c r="R48" i="97"/>
  <c r="R43" i="97"/>
  <c r="R52" i="97"/>
  <c r="R41" i="97"/>
  <c r="R36" i="97"/>
  <c r="R61" i="97"/>
  <c r="R45" i="97"/>
  <c r="R32" i="97"/>
  <c r="R28" i="97"/>
  <c r="R38" i="97"/>
  <c r="R35" i="97"/>
  <c r="R34" i="97"/>
  <c r="R31" i="97"/>
  <c r="R27" i="97"/>
  <c r="R20" i="97"/>
  <c r="R26" i="97"/>
  <c r="R15" i="97"/>
  <c r="R64" i="97"/>
  <c r="R42" i="97"/>
  <c r="R30" i="97"/>
  <c r="R25" i="97"/>
  <c r="R58" i="97"/>
  <c r="R51" i="97"/>
  <c r="R24" i="97"/>
  <c r="X12" i="97"/>
  <c r="Z12" i="97" s="1"/>
  <c r="R60" i="97"/>
  <c r="R55" i="97"/>
  <c r="R47" i="97"/>
  <c r="R39" i="97"/>
  <c r="R29" i="97"/>
  <c r="R21" i="97"/>
  <c r="R19" i="97"/>
  <c r="P17" i="97"/>
  <c r="R17" i="97" s="1"/>
  <c r="R44" i="97"/>
  <c r="R22" i="97"/>
  <c r="R23" i="97"/>
  <c r="P38" i="83"/>
  <c r="X16" i="83"/>
  <c r="T37" i="84"/>
  <c r="D39" i="82"/>
  <c r="N80" i="70"/>
  <c r="Z29" i="72"/>
  <c r="X29" i="72"/>
  <c r="X18" i="52"/>
  <c r="P27" i="52"/>
  <c r="P119" i="66"/>
  <c r="X59" i="66"/>
  <c r="Z103" i="42"/>
  <c r="R93" i="45"/>
  <c r="R82" i="45"/>
  <c r="R75" i="45"/>
  <c r="R42" i="45"/>
  <c r="R30" i="45"/>
  <c r="R19" i="45"/>
  <c r="R85" i="45"/>
  <c r="R81" i="45"/>
  <c r="R61" i="45"/>
  <c r="R58" i="45"/>
  <c r="R53" i="45"/>
  <c r="R50" i="45"/>
  <c r="R45" i="45"/>
  <c r="R41" i="45"/>
  <c r="R29" i="45"/>
  <c r="R80" i="45"/>
  <c r="R72" i="45"/>
  <c r="R40" i="45"/>
  <c r="R28" i="45"/>
  <c r="R23" i="45"/>
  <c r="R97" i="45"/>
  <c r="R91" i="45"/>
  <c r="R87" i="45"/>
  <c r="R84" i="45"/>
  <c r="R79" i="45"/>
  <c r="R71" i="45"/>
  <c r="R67" i="45"/>
  <c r="R63" i="45"/>
  <c r="R60" i="45"/>
  <c r="R55" i="45"/>
  <c r="R52" i="45"/>
  <c r="R47" i="45"/>
  <c r="R44" i="45"/>
  <c r="R39" i="45"/>
  <c r="R35" i="45"/>
  <c r="R27" i="45"/>
  <c r="R25" i="45"/>
  <c r="P23" i="45"/>
  <c r="R90" i="45"/>
  <c r="R78" i="45"/>
  <c r="R74" i="45"/>
  <c r="R70" i="45"/>
  <c r="R66" i="45"/>
  <c r="R38" i="45"/>
  <c r="R34" i="45"/>
  <c r="R89" i="45"/>
  <c r="R86" i="45"/>
  <c r="R77" i="45"/>
  <c r="R69" i="45"/>
  <c r="R65" i="45"/>
  <c r="R62" i="45"/>
  <c r="R57" i="45"/>
  <c r="R54" i="45"/>
  <c r="R49" i="45"/>
  <c r="R46" i="45"/>
  <c r="R37" i="45"/>
  <c r="R33" i="45"/>
  <c r="R26" i="45"/>
  <c r="R21" i="45"/>
  <c r="R76" i="45"/>
  <c r="R73" i="45"/>
  <c r="R32" i="45"/>
  <c r="R20" i="45"/>
  <c r="X12" i="45"/>
  <c r="Z12" i="45" s="1"/>
  <c r="R68" i="45"/>
  <c r="R51" i="45"/>
  <c r="R48" i="45"/>
  <c r="R83" i="45"/>
  <c r="R36" i="45"/>
  <c r="R59" i="45"/>
  <c r="R64" i="45"/>
  <c r="R56" i="45"/>
  <c r="R31" i="45"/>
  <c r="R88" i="45"/>
  <c r="R43" i="45"/>
  <c r="L18" i="33"/>
  <c r="D27" i="33"/>
  <c r="R73" i="31"/>
  <c r="R69" i="31"/>
  <c r="R66" i="31"/>
  <c r="R62" i="31"/>
  <c r="R37" i="31"/>
  <c r="R32" i="31"/>
  <c r="R83" i="31"/>
  <c r="R80" i="31"/>
  <c r="R77" i="31"/>
  <c r="R72" i="31"/>
  <c r="R56" i="31"/>
  <c r="R53" i="31"/>
  <c r="R48" i="31"/>
  <c r="R36" i="31"/>
  <c r="R34" i="31"/>
  <c r="P32" i="31"/>
  <c r="R71" i="31"/>
  <c r="R68" i="31"/>
  <c r="R84" i="31"/>
  <c r="R70" i="31"/>
  <c r="R65" i="31"/>
  <c r="R61" i="31"/>
  <c r="R45" i="31"/>
  <c r="R41" i="31"/>
  <c r="R29" i="31"/>
  <c r="R76" i="31"/>
  <c r="R64" i="31"/>
  <c r="R57" i="31"/>
  <c r="R52" i="31"/>
  <c r="R49" i="31"/>
  <c r="R40" i="31"/>
  <c r="R28" i="31"/>
  <c r="X12" i="31"/>
  <c r="R82" i="31"/>
  <c r="R75" i="31"/>
  <c r="R67" i="31"/>
  <c r="R63" i="31"/>
  <c r="R60" i="31"/>
  <c r="R44" i="31"/>
  <c r="R39" i="31"/>
  <c r="R74" i="31"/>
  <c r="R46" i="31"/>
  <c r="R51" i="31"/>
  <c r="R47" i="31"/>
  <c r="R38" i="31"/>
  <c r="R27" i="31"/>
  <c r="R78" i="31"/>
  <c r="R79" i="31"/>
  <c r="R59" i="31"/>
  <c r="R50" i="31"/>
  <c r="R35" i="31"/>
  <c r="R88" i="31"/>
  <c r="R42" i="31"/>
  <c r="R55" i="31"/>
  <c r="R54" i="31"/>
  <c r="R43" i="31"/>
  <c r="R30" i="31"/>
  <c r="R58" i="31"/>
  <c r="T27" i="13"/>
  <c r="Z18" i="13"/>
  <c r="T27" i="10"/>
  <c r="Z18" i="10"/>
  <c r="D90" i="9"/>
  <c r="L16" i="9"/>
  <c r="P36" i="8"/>
  <c r="X63" i="97"/>
  <c r="N27" i="98"/>
  <c r="H31" i="98"/>
  <c r="L18" i="99"/>
  <c r="J70" i="95"/>
  <c r="J66" i="95"/>
  <c r="J62" i="95"/>
  <c r="J56" i="95"/>
  <c r="J48" i="95"/>
  <c r="J40" i="95"/>
  <c r="J87" i="95"/>
  <c r="J81" i="95"/>
  <c r="J77" i="95"/>
  <c r="J69" i="95"/>
  <c r="J65" i="95"/>
  <c r="J61" i="95"/>
  <c r="J53" i="95"/>
  <c r="J45" i="95"/>
  <c r="J29" i="95"/>
  <c r="J74" i="95"/>
  <c r="J68" i="95"/>
  <c r="J64" i="95"/>
  <c r="J58" i="95"/>
  <c r="J50" i="95"/>
  <c r="J42" i="95"/>
  <c r="J34" i="95"/>
  <c r="J28" i="95"/>
  <c r="J85" i="95"/>
  <c r="J79" i="95"/>
  <c r="J55" i="95"/>
  <c r="J47" i="95"/>
  <c r="J39" i="95"/>
  <c r="J27" i="95"/>
  <c r="J76" i="95"/>
  <c r="J60" i="95"/>
  <c r="J52" i="95"/>
  <c r="J44" i="95"/>
  <c r="J38" i="95"/>
  <c r="J26" i="95"/>
  <c r="J75" i="95"/>
  <c r="J71" i="95"/>
  <c r="J59" i="95"/>
  <c r="J51" i="95"/>
  <c r="J43" i="95"/>
  <c r="J35" i="95"/>
  <c r="J31" i="95"/>
  <c r="J67" i="95"/>
  <c r="J19" i="95"/>
  <c r="J78" i="95"/>
  <c r="J57" i="95"/>
  <c r="J46" i="95"/>
  <c r="J32" i="95"/>
  <c r="J23" i="95"/>
  <c r="J18" i="95"/>
  <c r="J72" i="95"/>
  <c r="J63" i="95"/>
  <c r="J73" i="95"/>
  <c r="J54" i="95"/>
  <c r="J36" i="95"/>
  <c r="J33" i="95"/>
  <c r="J25" i="95"/>
  <c r="J41" i="95"/>
  <c r="J24" i="95"/>
  <c r="J17" i="95"/>
  <c r="J90" i="95"/>
  <c r="J37" i="95"/>
  <c r="J30" i="95"/>
  <c r="J83" i="95"/>
  <c r="H21" i="95"/>
  <c r="N12" i="95"/>
  <c r="J21" i="95"/>
  <c r="J49" i="95"/>
  <c r="T66" i="97"/>
  <c r="H49" i="91"/>
  <c r="N16" i="91"/>
  <c r="D32" i="88"/>
  <c r="L16" i="88"/>
  <c r="H32" i="80"/>
  <c r="N16" i="80"/>
  <c r="X16" i="80"/>
  <c r="P32" i="80"/>
  <c r="D80" i="81"/>
  <c r="L16" i="81"/>
  <c r="D84" i="79"/>
  <c r="L20" i="79"/>
  <c r="P44" i="74"/>
  <c r="X17" i="74"/>
  <c r="Z17" i="74" s="1"/>
  <c r="D79" i="76"/>
  <c r="X23" i="73"/>
  <c r="P77" i="73"/>
  <c r="R23" i="73"/>
  <c r="L29" i="72"/>
  <c r="H50" i="67"/>
  <c r="N21" i="67"/>
  <c r="F145" i="69"/>
  <c r="F139" i="69"/>
  <c r="F136" i="69"/>
  <c r="F131" i="69"/>
  <c r="F124" i="69"/>
  <c r="F115" i="69"/>
  <c r="F103" i="69"/>
  <c r="F92" i="69"/>
  <c r="F87" i="69"/>
  <c r="F86" i="69"/>
  <c r="F80" i="69"/>
  <c r="F72" i="69"/>
  <c r="F64" i="69"/>
  <c r="F135" i="69"/>
  <c r="F127" i="69"/>
  <c r="F123" i="69"/>
  <c r="F111" i="69"/>
  <c r="F91" i="69"/>
  <c r="F79" i="69"/>
  <c r="F71" i="69"/>
  <c r="F63" i="69"/>
  <c r="F141" i="69"/>
  <c r="F138" i="69"/>
  <c r="F134" i="69"/>
  <c r="F130" i="69"/>
  <c r="F126" i="69"/>
  <c r="F117" i="69"/>
  <c r="F114" i="69"/>
  <c r="F105" i="69"/>
  <c r="F102" i="69"/>
  <c r="F90" i="69"/>
  <c r="F78" i="69"/>
  <c r="F70" i="69"/>
  <c r="F62" i="69"/>
  <c r="F57" i="69"/>
  <c r="F146" i="69"/>
  <c r="F133" i="69"/>
  <c r="F129" i="69"/>
  <c r="F120" i="69"/>
  <c r="F113" i="69"/>
  <c r="F108" i="69"/>
  <c r="F101" i="69"/>
  <c r="F96" i="69"/>
  <c r="F89" i="69"/>
  <c r="F77" i="69"/>
  <c r="F69" i="69"/>
  <c r="F61" i="69"/>
  <c r="F140" i="69"/>
  <c r="F132" i="69"/>
  <c r="F116" i="69"/>
  <c r="F104" i="69"/>
  <c r="F100" i="69"/>
  <c r="F88" i="69"/>
  <c r="F76" i="69"/>
  <c r="F68" i="69"/>
  <c r="F60" i="69"/>
  <c r="L12" i="69"/>
  <c r="F144" i="69"/>
  <c r="F122" i="69"/>
  <c r="F119" i="69"/>
  <c r="F110" i="69"/>
  <c r="F107" i="69"/>
  <c r="F99" i="69"/>
  <c r="F95" i="69"/>
  <c r="F84" i="69"/>
  <c r="F75" i="69"/>
  <c r="F67" i="69"/>
  <c r="F59" i="69"/>
  <c r="F147" i="69"/>
  <c r="F142" i="69"/>
  <c r="F137" i="69"/>
  <c r="F125" i="69"/>
  <c r="F118" i="69"/>
  <c r="F106" i="69"/>
  <c r="F98" i="69"/>
  <c r="F94" i="69"/>
  <c r="D84" i="69"/>
  <c r="F82" i="69"/>
  <c r="F74" i="69"/>
  <c r="F66" i="69"/>
  <c r="F58" i="69"/>
  <c r="F151" i="69"/>
  <c r="F128" i="69"/>
  <c r="F121" i="69"/>
  <c r="F112" i="69"/>
  <c r="F109" i="69"/>
  <c r="F97" i="69"/>
  <c r="F93" i="69"/>
  <c r="F81" i="69"/>
  <c r="F73" i="69"/>
  <c r="F65" i="69"/>
  <c r="R57" i="67"/>
  <c r="R50" i="67"/>
  <c r="R54" i="67"/>
  <c r="R48" i="67"/>
  <c r="R52" i="67"/>
  <c r="R29" i="67"/>
  <c r="R18" i="67"/>
  <c r="R44" i="67"/>
  <c r="R41" i="67"/>
  <c r="R36" i="67"/>
  <c r="R33" i="67"/>
  <c r="R28" i="67"/>
  <c r="R27" i="67"/>
  <c r="R43" i="67"/>
  <c r="R38" i="67"/>
  <c r="R35" i="67"/>
  <c r="R26" i="67"/>
  <c r="R21" i="67"/>
  <c r="R25" i="67"/>
  <c r="R23" i="67"/>
  <c r="P21" i="67"/>
  <c r="R46" i="67"/>
  <c r="R45" i="67"/>
  <c r="R40" i="67"/>
  <c r="R37" i="67"/>
  <c r="R32" i="67"/>
  <c r="X12" i="67"/>
  <c r="R31" i="67"/>
  <c r="R24" i="67"/>
  <c r="R19" i="67"/>
  <c r="R42" i="67"/>
  <c r="R39" i="67"/>
  <c r="R34" i="67"/>
  <c r="R30" i="67"/>
  <c r="D59" i="65"/>
  <c r="L22" i="65"/>
  <c r="V50" i="65"/>
  <c r="V46" i="65"/>
  <c r="V38" i="65"/>
  <c r="V30" i="65"/>
  <c r="V26" i="65"/>
  <c r="V53" i="65"/>
  <c r="V49" i="65"/>
  <c r="V37" i="65"/>
  <c r="V29" i="65"/>
  <c r="V25" i="65"/>
  <c r="V52" i="65"/>
  <c r="V40" i="65"/>
  <c r="V32" i="65"/>
  <c r="V28" i="65"/>
  <c r="V20" i="65"/>
  <c r="Z12" i="65"/>
  <c r="V66" i="65"/>
  <c r="V61" i="65"/>
  <c r="V59" i="65"/>
  <c r="V54" i="65"/>
  <c r="V42" i="65"/>
  <c r="V34" i="65"/>
  <c r="V18" i="65"/>
  <c r="V45" i="65"/>
  <c r="V41" i="65"/>
  <c r="V33" i="65"/>
  <c r="V48" i="65"/>
  <c r="V44" i="65"/>
  <c r="V36" i="65"/>
  <c r="V24" i="65"/>
  <c r="V22" i="65"/>
  <c r="V63" i="65"/>
  <c r="V57" i="65"/>
  <c r="V51" i="65"/>
  <c r="V47" i="65"/>
  <c r="V43" i="65"/>
  <c r="V35" i="65"/>
  <c r="V27" i="65"/>
  <c r="T22" i="65"/>
  <c r="V55" i="65"/>
  <c r="V39" i="65"/>
  <c r="V19" i="65"/>
  <c r="V31" i="65"/>
  <c r="F79" i="64"/>
  <c r="F75" i="64"/>
  <c r="F66" i="64"/>
  <c r="F63" i="64"/>
  <c r="F82" i="64"/>
  <c r="F86" i="64"/>
  <c r="F74" i="64"/>
  <c r="F67" i="64"/>
  <c r="F62" i="64"/>
  <c r="F81" i="64"/>
  <c r="F70" i="64"/>
  <c r="F76" i="64"/>
  <c r="F73" i="64"/>
  <c r="F69" i="64"/>
  <c r="F64" i="64"/>
  <c r="F61" i="64"/>
  <c r="F83" i="64"/>
  <c r="F80" i="64"/>
  <c r="F72" i="64"/>
  <c r="F90" i="64"/>
  <c r="F53" i="64"/>
  <c r="F49" i="64"/>
  <c r="D39" i="64"/>
  <c r="F37" i="64"/>
  <c r="F29" i="64"/>
  <c r="F84" i="64"/>
  <c r="F71" i="64"/>
  <c r="F59" i="64"/>
  <c r="F56" i="64"/>
  <c r="F52" i="64"/>
  <c r="F48" i="64"/>
  <c r="F36" i="64"/>
  <c r="F28" i="64"/>
  <c r="L12" i="64"/>
  <c r="F51" i="64"/>
  <c r="F47" i="64"/>
  <c r="F42" i="64"/>
  <c r="F41" i="64"/>
  <c r="F35" i="64"/>
  <c r="F58" i="64"/>
  <c r="F46" i="64"/>
  <c r="F34" i="64"/>
  <c r="F45" i="64"/>
  <c r="F33" i="64"/>
  <c r="F77" i="64"/>
  <c r="F65" i="64"/>
  <c r="F60" i="64"/>
  <c r="F55" i="64"/>
  <c r="F44" i="64"/>
  <c r="F32" i="64"/>
  <c r="F27" i="64"/>
  <c r="F68" i="64"/>
  <c r="F57" i="64"/>
  <c r="F54" i="64"/>
  <c r="F39" i="64"/>
  <c r="F30" i="64"/>
  <c r="F78" i="64"/>
  <c r="F43" i="64"/>
  <c r="F31" i="64"/>
  <c r="F50" i="64"/>
  <c r="T50" i="61"/>
  <c r="H22" i="54"/>
  <c r="N16" i="54"/>
  <c r="H27" i="47"/>
  <c r="N18" i="47"/>
  <c r="P30" i="55"/>
  <c r="X16" i="55"/>
  <c r="J89" i="45"/>
  <c r="J77" i="45"/>
  <c r="J69" i="45"/>
  <c r="J65" i="45"/>
  <c r="J57" i="45"/>
  <c r="J49" i="45"/>
  <c r="J37" i="45"/>
  <c r="J33" i="45"/>
  <c r="J25" i="45"/>
  <c r="J21" i="45"/>
  <c r="J86" i="45"/>
  <c r="J76" i="45"/>
  <c r="J62" i="45"/>
  <c r="J54" i="45"/>
  <c r="J46" i="45"/>
  <c r="J32" i="45"/>
  <c r="J26" i="45"/>
  <c r="J20" i="45"/>
  <c r="J83" i="45"/>
  <c r="J73" i="45"/>
  <c r="J59" i="45"/>
  <c r="J51" i="45"/>
  <c r="J43" i="45"/>
  <c r="J31" i="45"/>
  <c r="J88" i="45"/>
  <c r="J82" i="45"/>
  <c r="J68" i="45"/>
  <c r="J64" i="45"/>
  <c r="J56" i="45"/>
  <c r="J48" i="45"/>
  <c r="J42" i="45"/>
  <c r="J36" i="45"/>
  <c r="J30" i="45"/>
  <c r="J93" i="45"/>
  <c r="J85" i="45"/>
  <c r="J81" i="45"/>
  <c r="J75" i="45"/>
  <c r="J61" i="45"/>
  <c r="J53" i="45"/>
  <c r="J45" i="45"/>
  <c r="J41" i="45"/>
  <c r="J29" i="45"/>
  <c r="J19" i="45"/>
  <c r="J80" i="45"/>
  <c r="J72" i="45"/>
  <c r="J58" i="45"/>
  <c r="J50" i="45"/>
  <c r="J40" i="45"/>
  <c r="J28" i="45"/>
  <c r="J97" i="45"/>
  <c r="J91" i="45"/>
  <c r="J87" i="45"/>
  <c r="J79" i="45"/>
  <c r="J71" i="45"/>
  <c r="J67" i="45"/>
  <c r="J63" i="45"/>
  <c r="J55" i="45"/>
  <c r="J47" i="45"/>
  <c r="J39" i="45"/>
  <c r="J35" i="45"/>
  <c r="J27" i="45"/>
  <c r="J70" i="45"/>
  <c r="J60" i="45"/>
  <c r="J90" i="45"/>
  <c r="J38" i="45"/>
  <c r="J44" i="45"/>
  <c r="J84" i="45"/>
  <c r="J78" i="45"/>
  <c r="J66" i="45"/>
  <c r="J34" i="45"/>
  <c r="J74" i="45"/>
  <c r="J52" i="45"/>
  <c r="H23" i="45"/>
  <c r="X18" i="46"/>
  <c r="P27" i="46"/>
  <c r="H27" i="49"/>
  <c r="N18" i="49"/>
  <c r="D34" i="55"/>
  <c r="L30" i="55"/>
  <c r="T27" i="41"/>
  <c r="Z18" i="41"/>
  <c r="T27" i="47"/>
  <c r="Z18" i="47"/>
  <c r="T95" i="45"/>
  <c r="L18" i="38"/>
  <c r="D27" i="38"/>
  <c r="Z18" i="44"/>
  <c r="T27" i="44"/>
  <c r="H27" i="41"/>
  <c r="L27" i="41" s="1"/>
  <c r="N18" i="41"/>
  <c r="F101" i="51"/>
  <c r="F96" i="51"/>
  <c r="F99" i="51"/>
  <c r="F95" i="51"/>
  <c r="F98" i="51"/>
  <c r="F86" i="51"/>
  <c r="F83" i="51"/>
  <c r="F67" i="51"/>
  <c r="F63" i="51"/>
  <c r="F43" i="51"/>
  <c r="F93" i="51"/>
  <c r="F77" i="51"/>
  <c r="F74" i="51"/>
  <c r="F66" i="51"/>
  <c r="F62" i="51"/>
  <c r="D52" i="51"/>
  <c r="F52" i="51" s="1"/>
  <c r="F50" i="51"/>
  <c r="F42" i="51"/>
  <c r="F88" i="51"/>
  <c r="F85" i="51"/>
  <c r="F80" i="51"/>
  <c r="F61" i="51"/>
  <c r="F49" i="51"/>
  <c r="F41" i="51"/>
  <c r="F36" i="51"/>
  <c r="F92" i="51"/>
  <c r="F76" i="51"/>
  <c r="F71" i="51"/>
  <c r="F60" i="51"/>
  <c r="F55" i="51"/>
  <c r="F54" i="51"/>
  <c r="F48" i="51"/>
  <c r="F40" i="51"/>
  <c r="F91" i="51"/>
  <c r="F87" i="51"/>
  <c r="F82" i="51"/>
  <c r="F79" i="51"/>
  <c r="F59" i="51"/>
  <c r="F47" i="51"/>
  <c r="F39" i="51"/>
  <c r="F105" i="51"/>
  <c r="F90" i="51"/>
  <c r="F78" i="51"/>
  <c r="F73" i="51"/>
  <c r="F70" i="51"/>
  <c r="F65" i="51"/>
  <c r="F58" i="51"/>
  <c r="F46" i="51"/>
  <c r="F38" i="51"/>
  <c r="F89" i="51"/>
  <c r="F84" i="51"/>
  <c r="F81" i="51"/>
  <c r="F69" i="51"/>
  <c r="F57" i="51"/>
  <c r="F45" i="51"/>
  <c r="F37" i="51"/>
  <c r="F100" i="51"/>
  <c r="F94" i="51"/>
  <c r="F75" i="51"/>
  <c r="F64" i="51"/>
  <c r="F56" i="51"/>
  <c r="F68" i="51"/>
  <c r="F44" i="51"/>
  <c r="L12" i="51"/>
  <c r="F72" i="51"/>
  <c r="H27" i="40"/>
  <c r="N18" i="40"/>
  <c r="D108" i="42"/>
  <c r="T70" i="48"/>
  <c r="V66" i="48"/>
  <c r="L18" i="40"/>
  <c r="D27" i="40"/>
  <c r="X18" i="32"/>
  <c r="P27" i="32"/>
  <c r="R68" i="48"/>
  <c r="R54" i="48"/>
  <c r="R50" i="48"/>
  <c r="R38" i="48"/>
  <c r="R34" i="48"/>
  <c r="R22" i="48"/>
  <c r="R57" i="48"/>
  <c r="R49" i="48"/>
  <c r="R46" i="48"/>
  <c r="R33" i="48"/>
  <c r="R29" i="48"/>
  <c r="R21" i="48"/>
  <c r="R19" i="48"/>
  <c r="P17" i="48"/>
  <c r="R63" i="48"/>
  <c r="R56" i="48"/>
  <c r="R53" i="48"/>
  <c r="R40" i="48"/>
  <c r="R37" i="48"/>
  <c r="R32" i="48"/>
  <c r="R28" i="48"/>
  <c r="R59" i="48"/>
  <c r="R48" i="48"/>
  <c r="R43" i="48"/>
  <c r="R31" i="48"/>
  <c r="R27" i="48"/>
  <c r="R20" i="48"/>
  <c r="R55" i="48"/>
  <c r="R42" i="48"/>
  <c r="R39" i="48"/>
  <c r="R26" i="48"/>
  <c r="R15" i="48"/>
  <c r="R64" i="48"/>
  <c r="R61" i="48"/>
  <c r="R58" i="48"/>
  <c r="R45" i="48"/>
  <c r="R30" i="48"/>
  <c r="R25" i="48"/>
  <c r="R52" i="48"/>
  <c r="R41" i="48"/>
  <c r="R36" i="48"/>
  <c r="R24" i="48"/>
  <c r="X12" i="48"/>
  <c r="Z12" i="48" s="1"/>
  <c r="R60" i="48"/>
  <c r="R23" i="48"/>
  <c r="R35" i="48"/>
  <c r="R51" i="48"/>
  <c r="R47" i="48"/>
  <c r="R44" i="48"/>
  <c r="V80" i="31"/>
  <c r="V72" i="31"/>
  <c r="V68" i="31"/>
  <c r="V56" i="31"/>
  <c r="V48" i="31"/>
  <c r="V36" i="31"/>
  <c r="V79" i="31"/>
  <c r="V71" i="31"/>
  <c r="V59" i="31"/>
  <c r="V55" i="31"/>
  <c r="V47" i="31"/>
  <c r="V43" i="31"/>
  <c r="V35" i="31"/>
  <c r="V84" i="31"/>
  <c r="V70" i="31"/>
  <c r="V82" i="31"/>
  <c r="V76" i="31"/>
  <c r="V64" i="31"/>
  <c r="V60" i="31"/>
  <c r="V52" i="31"/>
  <c r="V44" i="31"/>
  <c r="V40" i="31"/>
  <c r="V28" i="31"/>
  <c r="Z12" i="31"/>
  <c r="V75" i="31"/>
  <c r="V67" i="31"/>
  <c r="V63" i="31"/>
  <c r="V51" i="31"/>
  <c r="V39" i="31"/>
  <c r="V27" i="31"/>
  <c r="V88" i="31"/>
  <c r="V78" i="31"/>
  <c r="V74" i="31"/>
  <c r="V66" i="31"/>
  <c r="V62" i="31"/>
  <c r="V54" i="31"/>
  <c r="V38" i="31"/>
  <c r="V34" i="31"/>
  <c r="V77" i="31"/>
  <c r="V73" i="31"/>
  <c r="V57" i="31"/>
  <c r="V46" i="31"/>
  <c r="T32" i="31"/>
  <c r="V58" i="31"/>
  <c r="V41" i="31"/>
  <c r="V37" i="31"/>
  <c r="V83" i="31"/>
  <c r="V53" i="31"/>
  <c r="V42" i="31"/>
  <c r="V69" i="31"/>
  <c r="V65" i="31"/>
  <c r="V61" i="31"/>
  <c r="V30" i="31"/>
  <c r="V29" i="31"/>
  <c r="V49" i="31"/>
  <c r="V50" i="31"/>
  <c r="V45" i="31"/>
  <c r="P27" i="37"/>
  <c r="X18" i="37"/>
  <c r="Z27" i="32"/>
  <c r="T31" i="32"/>
  <c r="L113" i="36"/>
  <c r="V165" i="34"/>
  <c r="V171" i="34"/>
  <c r="V166" i="34"/>
  <c r="V161" i="34"/>
  <c r="V153" i="34"/>
  <c r="V129" i="34"/>
  <c r="V121" i="34"/>
  <c r="V117" i="34"/>
  <c r="V109" i="34"/>
  <c r="V101" i="34"/>
  <c r="V97" i="34"/>
  <c r="V85" i="34"/>
  <c r="V77" i="34"/>
  <c r="V69" i="34"/>
  <c r="V61" i="34"/>
  <c r="V156" i="34"/>
  <c r="V152" i="34"/>
  <c r="V144" i="34"/>
  <c r="V136" i="34"/>
  <c r="V132" i="34"/>
  <c r="V120" i="34"/>
  <c r="V108" i="34"/>
  <c r="V100" i="34"/>
  <c r="V96" i="34"/>
  <c r="V84" i="34"/>
  <c r="V76" i="34"/>
  <c r="V68" i="34"/>
  <c r="V60" i="34"/>
  <c r="Z12" i="34"/>
  <c r="V155" i="34"/>
  <c r="V151" i="34"/>
  <c r="V147" i="34"/>
  <c r="V143" i="34"/>
  <c r="V139" i="34"/>
  <c r="V135" i="34"/>
  <c r="V131" i="34"/>
  <c r="V123" i="34"/>
  <c r="V119" i="34"/>
  <c r="V111" i="34"/>
  <c r="V99" i="34"/>
  <c r="V95" i="34"/>
  <c r="V83" i="34"/>
  <c r="V75" i="34"/>
  <c r="V67" i="34"/>
  <c r="V59" i="34"/>
  <c r="V157" i="34"/>
  <c r="V149" i="34"/>
  <c r="V145" i="34"/>
  <c r="V141" i="34"/>
  <c r="V137" i="34"/>
  <c r="V133" i="34"/>
  <c r="V125" i="34"/>
  <c r="V113" i="34"/>
  <c r="V105" i="34"/>
  <c r="V93" i="34"/>
  <c r="V89" i="34"/>
  <c r="V81" i="34"/>
  <c r="V73" i="34"/>
  <c r="V65" i="34"/>
  <c r="V160" i="34"/>
  <c r="V148" i="34"/>
  <c r="V140" i="34"/>
  <c r="V128" i="34"/>
  <c r="V124" i="34"/>
  <c r="V116" i="34"/>
  <c r="V112" i="34"/>
  <c r="V104" i="34"/>
  <c r="V92" i="34"/>
  <c r="T87" i="34"/>
  <c r="V87" i="34" s="1"/>
  <c r="V80" i="34"/>
  <c r="V72" i="34"/>
  <c r="V64" i="34"/>
  <c r="V159" i="34"/>
  <c r="V127" i="34"/>
  <c r="V115" i="34"/>
  <c r="V107" i="34"/>
  <c r="V103" i="34"/>
  <c r="V91" i="34"/>
  <c r="V79" i="34"/>
  <c r="V71" i="34"/>
  <c r="V63" i="34"/>
  <c r="V106" i="34"/>
  <c r="V102" i="34"/>
  <c r="V164" i="34"/>
  <c r="V74" i="34"/>
  <c r="V122" i="34"/>
  <c r="V90" i="34"/>
  <c r="V78" i="34"/>
  <c r="V66" i="34"/>
  <c r="V118" i="34"/>
  <c r="V150" i="34"/>
  <c r="V98" i="34"/>
  <c r="V158" i="34"/>
  <c r="V154" i="34"/>
  <c r="V142" i="34"/>
  <c r="V114" i="34"/>
  <c r="V82" i="34"/>
  <c r="V162" i="34"/>
  <c r="V146" i="34"/>
  <c r="V126" i="34"/>
  <c r="V70" i="34"/>
  <c r="V167" i="34"/>
  <c r="V62" i="34"/>
  <c r="V110" i="34"/>
  <c r="V134" i="34"/>
  <c r="V138" i="34"/>
  <c r="V130" i="34"/>
  <c r="V94" i="34"/>
  <c r="H27" i="29"/>
  <c r="N18" i="29"/>
  <c r="P31" i="17"/>
  <c r="F68" i="31"/>
  <c r="F65" i="31"/>
  <c r="F61" i="31"/>
  <c r="F45" i="31"/>
  <c r="F41" i="31"/>
  <c r="F29" i="31"/>
  <c r="F79" i="31"/>
  <c r="F76" i="31"/>
  <c r="F64" i="31"/>
  <c r="F55" i="31"/>
  <c r="F52" i="31"/>
  <c r="F40" i="31"/>
  <c r="F35" i="31"/>
  <c r="F34" i="31"/>
  <c r="F28" i="31"/>
  <c r="L12" i="31"/>
  <c r="N12" i="31" s="1"/>
  <c r="F84" i="31"/>
  <c r="F75" i="31"/>
  <c r="F70" i="31"/>
  <c r="F82" i="31"/>
  <c r="F73" i="31"/>
  <c r="F69" i="31"/>
  <c r="F60" i="31"/>
  <c r="F44" i="31"/>
  <c r="F37" i="31"/>
  <c r="F80" i="31"/>
  <c r="F72" i="31"/>
  <c r="F56" i="31"/>
  <c r="F51" i="31"/>
  <c r="F48" i="31"/>
  <c r="F36" i="31"/>
  <c r="F27" i="31"/>
  <c r="F71" i="31"/>
  <c r="F66" i="31"/>
  <c r="F62" i="31"/>
  <c r="F59" i="31"/>
  <c r="F47" i="31"/>
  <c r="F43" i="31"/>
  <c r="F88" i="31"/>
  <c r="F83" i="31"/>
  <c r="F49" i="31"/>
  <c r="F53" i="31"/>
  <c r="F63" i="31"/>
  <c r="F54" i="31"/>
  <c r="F30" i="31"/>
  <c r="F74" i="31"/>
  <c r="F46" i="31"/>
  <c r="F77" i="31"/>
  <c r="F58" i="31"/>
  <c r="F57" i="31"/>
  <c r="F78" i="31"/>
  <c r="F38" i="31"/>
  <c r="F42" i="31"/>
  <c r="F67" i="31"/>
  <c r="F50" i="31"/>
  <c r="F39" i="31"/>
  <c r="D32" i="31"/>
  <c r="F32" i="31" s="1"/>
  <c r="D36" i="27"/>
  <c r="R117" i="25"/>
  <c r="R110" i="25"/>
  <c r="R103" i="25"/>
  <c r="R90" i="25"/>
  <c r="R87" i="25"/>
  <c r="R78" i="25"/>
  <c r="R66" i="25"/>
  <c r="R54" i="25"/>
  <c r="R46" i="25"/>
  <c r="R106" i="25"/>
  <c r="R93" i="25"/>
  <c r="R81" i="25"/>
  <c r="R77" i="25"/>
  <c r="R65" i="25"/>
  <c r="R53" i="25"/>
  <c r="R45" i="25"/>
  <c r="R115" i="25"/>
  <c r="R112" i="25"/>
  <c r="R109" i="25"/>
  <c r="R89" i="25"/>
  <c r="R84" i="25"/>
  <c r="R76" i="25"/>
  <c r="R64" i="25"/>
  <c r="R59" i="25"/>
  <c r="R52" i="25"/>
  <c r="R44" i="25"/>
  <c r="X12" i="25"/>
  <c r="Z12" i="25" s="1"/>
  <c r="R111" i="25"/>
  <c r="R102" i="25"/>
  <c r="R98" i="25"/>
  <c r="R86" i="25"/>
  <c r="R74" i="25"/>
  <c r="R70" i="25"/>
  <c r="R50" i="25"/>
  <c r="R42" i="25"/>
  <c r="R116" i="25"/>
  <c r="R105" i="25"/>
  <c r="R101" i="25"/>
  <c r="R97" i="25"/>
  <c r="R94" i="25"/>
  <c r="R82" i="25"/>
  <c r="R73" i="25"/>
  <c r="R69" i="25"/>
  <c r="R62" i="25"/>
  <c r="R57" i="25"/>
  <c r="R49" i="25"/>
  <c r="R41" i="25"/>
  <c r="R108" i="25"/>
  <c r="R104" i="25"/>
  <c r="R88" i="25"/>
  <c r="R85" i="25"/>
  <c r="R68" i="25"/>
  <c r="R56" i="25"/>
  <c r="R48" i="25"/>
  <c r="R67" i="25"/>
  <c r="R92" i="25"/>
  <c r="R91" i="25"/>
  <c r="R47" i="25"/>
  <c r="R114" i="25"/>
  <c r="R80" i="25"/>
  <c r="R79" i="25"/>
  <c r="R55" i="25"/>
  <c r="R100" i="25"/>
  <c r="R99" i="25"/>
  <c r="R63" i="25"/>
  <c r="R61" i="25"/>
  <c r="R107" i="25"/>
  <c r="R96" i="25"/>
  <c r="R95" i="25"/>
  <c r="R72" i="25"/>
  <c r="R71" i="25"/>
  <c r="P59" i="25"/>
  <c r="R121" i="25"/>
  <c r="R51" i="25"/>
  <c r="R43" i="25"/>
  <c r="R75" i="25"/>
  <c r="R40" i="25"/>
  <c r="R83" i="25"/>
  <c r="N242" i="18"/>
  <c r="V87" i="21"/>
  <c r="V88" i="21"/>
  <c r="V84" i="21"/>
  <c r="V80" i="21"/>
  <c r="V72" i="21"/>
  <c r="V64" i="21"/>
  <c r="V91" i="21"/>
  <c r="V83" i="21"/>
  <c r="V79" i="21"/>
  <c r="V75" i="21"/>
  <c r="V71" i="21"/>
  <c r="V63" i="21"/>
  <c r="V93" i="21"/>
  <c r="V68" i="21"/>
  <c r="V61" i="21"/>
  <c r="V53" i="21"/>
  <c r="V45" i="21"/>
  <c r="V41" i="21"/>
  <c r="V33" i="21"/>
  <c r="V99" i="21"/>
  <c r="V52" i="21"/>
  <c r="V44" i="21"/>
  <c r="V40" i="21"/>
  <c r="V28" i="21"/>
  <c r="V89" i="21"/>
  <c r="V86" i="21"/>
  <c r="V85" i="21"/>
  <c r="V66" i="21"/>
  <c r="V65" i="21"/>
  <c r="V55" i="21"/>
  <c r="V43" i="21"/>
  <c r="V39" i="21"/>
  <c r="V27" i="21"/>
  <c r="V78" i="21"/>
  <c r="V77" i="21"/>
  <c r="V70" i="21"/>
  <c r="V69" i="21"/>
  <c r="V57" i="21"/>
  <c r="V49" i="21"/>
  <c r="V37" i="21"/>
  <c r="V25" i="21"/>
  <c r="V60" i="21"/>
  <c r="V56" i="21"/>
  <c r="V48" i="21"/>
  <c r="V36" i="21"/>
  <c r="V32" i="21"/>
  <c r="V30" i="21"/>
  <c r="V82" i="21"/>
  <c r="V81" i="21"/>
  <c r="V73" i="21"/>
  <c r="V59" i="21"/>
  <c r="V51" i="21"/>
  <c r="V47" i="21"/>
  <c r="V35" i="21"/>
  <c r="T30" i="21"/>
  <c r="V95" i="21"/>
  <c r="V46" i="21"/>
  <c r="V42" i="21"/>
  <c r="V76" i="21"/>
  <c r="V26" i="21"/>
  <c r="V67" i="21"/>
  <c r="V62" i="21"/>
  <c r="V58" i="21"/>
  <c r="V54" i="21"/>
  <c r="V34" i="21"/>
  <c r="V74" i="21"/>
  <c r="V50" i="21"/>
  <c r="V38" i="21"/>
  <c r="V92" i="21"/>
  <c r="V90" i="21"/>
  <c r="X18" i="7"/>
  <c r="P27" i="7"/>
  <c r="R222" i="15"/>
  <c r="R199" i="15"/>
  <c r="R191" i="15"/>
  <c r="R187" i="15"/>
  <c r="R183" i="15"/>
  <c r="R171" i="15"/>
  <c r="R159" i="15"/>
  <c r="R147" i="15"/>
  <c r="R140" i="15"/>
  <c r="R135" i="15"/>
  <c r="R123" i="15"/>
  <c r="R115" i="15"/>
  <c r="R107" i="15"/>
  <c r="R99" i="15"/>
  <c r="R91" i="15"/>
  <c r="R215" i="15"/>
  <c r="R211" i="15"/>
  <c r="R195" i="15"/>
  <c r="R182" i="15"/>
  <c r="R179" i="15"/>
  <c r="R167" i="15"/>
  <c r="R162" i="15"/>
  <c r="R155" i="15"/>
  <c r="R146" i="15"/>
  <c r="R134" i="15"/>
  <c r="R122" i="15"/>
  <c r="R114" i="15"/>
  <c r="R106" i="15"/>
  <c r="R98" i="15"/>
  <c r="R90" i="15"/>
  <c r="R83" i="15"/>
  <c r="R220" i="15"/>
  <c r="R205" i="15"/>
  <c r="R198" i="15"/>
  <c r="R190" i="15"/>
  <c r="R186" i="15"/>
  <c r="R173" i="15"/>
  <c r="R170" i="15"/>
  <c r="R158" i="15"/>
  <c r="R149" i="15"/>
  <c r="R145" i="15"/>
  <c r="R133" i="15"/>
  <c r="R121" i="15"/>
  <c r="R113" i="15"/>
  <c r="R105" i="15"/>
  <c r="R97" i="15"/>
  <c r="R89" i="15"/>
  <c r="R218" i="15"/>
  <c r="R207" i="15"/>
  <c r="R203" i="15"/>
  <c r="R175" i="15"/>
  <c r="R172" i="15"/>
  <c r="R151" i="15"/>
  <c r="R148" i="15"/>
  <c r="R143" i="15"/>
  <c r="R139" i="15"/>
  <c r="R131" i="15"/>
  <c r="R119" i="15"/>
  <c r="R111" i="15"/>
  <c r="R103" i="15"/>
  <c r="R95" i="15"/>
  <c r="R87" i="15"/>
  <c r="R221" i="15"/>
  <c r="R214" i="15"/>
  <c r="R210" i="15"/>
  <c r="R202" i="15"/>
  <c r="R194" i="15"/>
  <c r="R178" i="15"/>
  <c r="R166" i="15"/>
  <c r="R163" i="15"/>
  <c r="R154" i="15"/>
  <c r="R142" i="15"/>
  <c r="R138" i="15"/>
  <c r="R130" i="15"/>
  <c r="R128" i="15"/>
  <c r="P126" i="15"/>
  <c r="R126" i="15" s="1"/>
  <c r="R118" i="15"/>
  <c r="R110" i="15"/>
  <c r="R102" i="15"/>
  <c r="R94" i="15"/>
  <c r="R86" i="15"/>
  <c r="R227" i="15"/>
  <c r="R213" i="15"/>
  <c r="R206" i="15"/>
  <c r="R201" i="15"/>
  <c r="R197" i="15"/>
  <c r="R193" i="15"/>
  <c r="R189" i="15"/>
  <c r="R185" i="15"/>
  <c r="R174" i="15"/>
  <c r="R169" i="15"/>
  <c r="R157" i="15"/>
  <c r="R150" i="15"/>
  <c r="R141" i="15"/>
  <c r="R137" i="15"/>
  <c r="R117" i="15"/>
  <c r="R109" i="15"/>
  <c r="R101" i="15"/>
  <c r="R93" i="15"/>
  <c r="R85" i="15"/>
  <c r="R188" i="15"/>
  <c r="R184" i="15"/>
  <c r="R84" i="15"/>
  <c r="R209" i="15"/>
  <c r="R204" i="15"/>
  <c r="R192" i="15"/>
  <c r="R108" i="15"/>
  <c r="R100" i="15"/>
  <c r="X12" i="15"/>
  <c r="R208" i="15"/>
  <c r="R180" i="15"/>
  <c r="R160" i="15"/>
  <c r="R156" i="15"/>
  <c r="R129" i="15"/>
  <c r="R120" i="15"/>
  <c r="R196" i="15"/>
  <c r="R181" i="15"/>
  <c r="R161" i="15"/>
  <c r="R219" i="15"/>
  <c r="R200" i="15"/>
  <c r="R168" i="15"/>
  <c r="R153" i="15"/>
  <c r="R132" i="15"/>
  <c r="R124" i="15"/>
  <c r="R112" i="15"/>
  <c r="R152" i="15"/>
  <c r="R116" i="15"/>
  <c r="R104" i="15"/>
  <c r="R96" i="15"/>
  <c r="R88" i="15"/>
  <c r="R223" i="15"/>
  <c r="R212" i="15"/>
  <c r="R177" i="15"/>
  <c r="R165" i="15"/>
  <c r="R136" i="15"/>
  <c r="R164" i="15"/>
  <c r="R144" i="15"/>
  <c r="R216" i="15"/>
  <c r="R176" i="15"/>
  <c r="R92" i="15"/>
  <c r="R269" i="3"/>
  <c r="R261" i="3"/>
  <c r="R250" i="3"/>
  <c r="R246" i="3"/>
  <c r="R239" i="3"/>
  <c r="R222" i="3"/>
  <c r="R219" i="3"/>
  <c r="R214" i="3"/>
  <c r="R202" i="3"/>
  <c r="R199" i="3"/>
  <c r="R264" i="3"/>
  <c r="R257" i="3"/>
  <c r="R253" i="3"/>
  <c r="R245" i="3"/>
  <c r="R230" i="3"/>
  <c r="R226" i="3"/>
  <c r="R213" i="3"/>
  <c r="R210" i="3"/>
  <c r="R205" i="3"/>
  <c r="R193" i="3"/>
  <c r="R186" i="3"/>
  <c r="R177" i="3"/>
  <c r="R173" i="3"/>
  <c r="R267" i="3"/>
  <c r="R256" i="3"/>
  <c r="R249" i="3"/>
  <c r="R244" i="3"/>
  <c r="R221" i="3"/>
  <c r="R216" i="3"/>
  <c r="R204" i="3"/>
  <c r="R265" i="3"/>
  <c r="R242" i="3"/>
  <c r="R238" i="3"/>
  <c r="R234" i="3"/>
  <c r="R218" i="3"/>
  <c r="R215" i="3"/>
  <c r="R203" i="3"/>
  <c r="R198" i="3"/>
  <c r="R191" i="3"/>
  <c r="R182" i="3"/>
  <c r="R170" i="3"/>
  <c r="R158" i="3"/>
  <c r="R268" i="3"/>
  <c r="R258" i="3"/>
  <c r="R254" i="3"/>
  <c r="R241" i="3"/>
  <c r="R237" i="3"/>
  <c r="R233" i="3"/>
  <c r="R229" i="3"/>
  <c r="R225" i="3"/>
  <c r="R274" i="3"/>
  <c r="R263" i="3"/>
  <c r="R248" i="3"/>
  <c r="R240" i="3"/>
  <c r="R232" i="3"/>
  <c r="R228" i="3"/>
  <c r="R224" i="3"/>
  <c r="R220" i="3"/>
  <c r="R217" i="3"/>
  <c r="R278" i="3"/>
  <c r="R212" i="3"/>
  <c r="R211" i="3"/>
  <c r="R209" i="3"/>
  <c r="R192" i="3"/>
  <c r="R176" i="3"/>
  <c r="R172" i="3"/>
  <c r="R169" i="3"/>
  <c r="R168" i="3"/>
  <c r="R166" i="3"/>
  <c r="R165" i="3"/>
  <c r="R150" i="3"/>
  <c r="R142" i="3"/>
  <c r="R134" i="3"/>
  <c r="R126" i="3"/>
  <c r="R118" i="3"/>
  <c r="R110" i="3"/>
  <c r="R119" i="3"/>
  <c r="R279" i="3"/>
  <c r="R259" i="3"/>
  <c r="R255" i="3"/>
  <c r="R243" i="3"/>
  <c r="R201" i="3"/>
  <c r="R185" i="3"/>
  <c r="R184" i="3"/>
  <c r="R179" i="3"/>
  <c r="R171" i="3"/>
  <c r="R162" i="3"/>
  <c r="R149" i="3"/>
  <c r="R141" i="3"/>
  <c r="R133" i="3"/>
  <c r="R125" i="3"/>
  <c r="R117" i="3"/>
  <c r="R109" i="3"/>
  <c r="R231" i="3"/>
  <c r="R270" i="3"/>
  <c r="R181" i="3"/>
  <c r="R180" i="3"/>
  <c r="R178" i="3"/>
  <c r="R175" i="3"/>
  <c r="P162" i="3"/>
  <c r="R148" i="3"/>
  <c r="R140" i="3"/>
  <c r="R132" i="3"/>
  <c r="R124" i="3"/>
  <c r="R116" i="3"/>
  <c r="X12" i="3"/>
  <c r="Z12" i="3" s="1"/>
  <c r="R167" i="3"/>
  <c r="R151" i="3"/>
  <c r="R143" i="3"/>
  <c r="R135" i="3"/>
  <c r="R223" i="3"/>
  <c r="R200" i="3"/>
  <c r="R174" i="3"/>
  <c r="R160" i="3"/>
  <c r="R147" i="3"/>
  <c r="R139" i="3"/>
  <c r="R131" i="3"/>
  <c r="R123" i="3"/>
  <c r="R115" i="3"/>
  <c r="R108" i="3"/>
  <c r="R266" i="3"/>
  <c r="R188" i="3"/>
  <c r="R252" i="3"/>
  <c r="R251" i="3"/>
  <c r="R247" i="3"/>
  <c r="R236" i="3"/>
  <c r="R235" i="3"/>
  <c r="R197" i="3"/>
  <c r="R190" i="3"/>
  <c r="R189" i="3"/>
  <c r="R183" i="3"/>
  <c r="R164" i="3"/>
  <c r="R159" i="3"/>
  <c r="R157" i="3"/>
  <c r="R146" i="3"/>
  <c r="R138" i="3"/>
  <c r="R130" i="3"/>
  <c r="R122" i="3"/>
  <c r="R114" i="3"/>
  <c r="R262" i="3"/>
  <c r="R227" i="3"/>
  <c r="R206" i="3"/>
  <c r="R196" i="3"/>
  <c r="R156" i="3"/>
  <c r="R155" i="3"/>
  <c r="R145" i="3"/>
  <c r="R137" i="3"/>
  <c r="R129" i="3"/>
  <c r="R121" i="3"/>
  <c r="R113" i="3"/>
  <c r="R207" i="3"/>
  <c r="R194" i="3"/>
  <c r="R111" i="3"/>
  <c r="R208" i="3"/>
  <c r="R195" i="3"/>
  <c r="R187" i="3"/>
  <c r="R154" i="3"/>
  <c r="R153" i="3"/>
  <c r="R152" i="3"/>
  <c r="R144" i="3"/>
  <c r="R136" i="3"/>
  <c r="R128" i="3"/>
  <c r="R120" i="3"/>
  <c r="R112" i="3"/>
  <c r="R127" i="3"/>
  <c r="Z27" i="7"/>
  <c r="T31" i="7"/>
  <c r="Z27" i="11"/>
  <c r="T31" i="11"/>
  <c r="L18" i="90"/>
  <c r="D47" i="90"/>
  <c r="Z16" i="58"/>
  <c r="T69" i="58"/>
  <c r="T27" i="43"/>
  <c r="Z18" i="43"/>
  <c r="T66" i="57"/>
  <c r="H27" i="38"/>
  <c r="N18" i="38"/>
  <c r="R103" i="36"/>
  <c r="R99" i="36"/>
  <c r="R92" i="36"/>
  <c r="R84" i="36"/>
  <c r="R55" i="36"/>
  <c r="R52" i="36"/>
  <c r="R47" i="36"/>
  <c r="R40" i="36"/>
  <c r="R35" i="36"/>
  <c r="R113" i="36"/>
  <c r="R98" i="36"/>
  <c r="R116" i="36"/>
  <c r="R109" i="36"/>
  <c r="R105" i="36"/>
  <c r="R102" i="36"/>
  <c r="R97" i="36"/>
  <c r="R81" i="36"/>
  <c r="R54" i="36"/>
  <c r="R49" i="36"/>
  <c r="R45" i="36"/>
  <c r="R33" i="36"/>
  <c r="R114" i="36"/>
  <c r="R111" i="36"/>
  <c r="R107" i="36"/>
  <c r="R104" i="36"/>
  <c r="R95" i="36"/>
  <c r="R91" i="36"/>
  <c r="R87" i="36"/>
  <c r="R83" i="36"/>
  <c r="R79" i="36"/>
  <c r="R51" i="36"/>
  <c r="R48" i="36"/>
  <c r="R43" i="36"/>
  <c r="R39" i="36"/>
  <c r="R31" i="36"/>
  <c r="R29" i="36"/>
  <c r="P27" i="36"/>
  <c r="R120" i="36"/>
  <c r="R94" i="36"/>
  <c r="R90" i="36"/>
  <c r="R86" i="36"/>
  <c r="R78" i="36"/>
  <c r="R75" i="36"/>
  <c r="R70" i="36"/>
  <c r="R67" i="36"/>
  <c r="R62" i="36"/>
  <c r="R59" i="36"/>
  <c r="R110" i="36"/>
  <c r="R106" i="36"/>
  <c r="R101" i="36"/>
  <c r="R93" i="36"/>
  <c r="R85" i="36"/>
  <c r="R82" i="36"/>
  <c r="R53" i="36"/>
  <c r="R50" i="36"/>
  <c r="R41" i="36"/>
  <c r="R37" i="36"/>
  <c r="R30" i="36"/>
  <c r="R25" i="36"/>
  <c r="R115" i="36"/>
  <c r="R100" i="36"/>
  <c r="R89" i="36"/>
  <c r="R77" i="36"/>
  <c r="R72" i="36"/>
  <c r="R69" i="36"/>
  <c r="R64" i="36"/>
  <c r="R61" i="36"/>
  <c r="R56" i="36"/>
  <c r="R36" i="36"/>
  <c r="R24" i="36"/>
  <c r="R80" i="36"/>
  <c r="R71" i="36"/>
  <c r="X12" i="36"/>
  <c r="R66" i="36"/>
  <c r="R34" i="36"/>
  <c r="R73" i="36"/>
  <c r="R44" i="36"/>
  <c r="R96" i="36"/>
  <c r="R74" i="36"/>
  <c r="R57" i="36"/>
  <c r="R42" i="36"/>
  <c r="R38" i="36"/>
  <c r="R32" i="36"/>
  <c r="R23" i="36"/>
  <c r="R88" i="36"/>
  <c r="R27" i="36"/>
  <c r="R76" i="36"/>
  <c r="R60" i="36"/>
  <c r="R58" i="36"/>
  <c r="R108" i="36"/>
  <c r="R68" i="36"/>
  <c r="R65" i="36"/>
  <c r="R46" i="36"/>
  <c r="R63" i="36"/>
  <c r="T27" i="30"/>
  <c r="X27" i="30" s="1"/>
  <c r="Z18" i="30"/>
  <c r="D31" i="41"/>
  <c r="J155" i="34"/>
  <c r="J149" i="34"/>
  <c r="J141" i="34"/>
  <c r="J131" i="34"/>
  <c r="J125" i="34"/>
  <c r="J119" i="34"/>
  <c r="J113" i="34"/>
  <c r="J105" i="34"/>
  <c r="J99" i="34"/>
  <c r="J93" i="34"/>
  <c r="J81" i="34"/>
  <c r="J73" i="34"/>
  <c r="J65" i="34"/>
  <c r="J59" i="34"/>
  <c r="J164" i="34"/>
  <c r="J160" i="34"/>
  <c r="J128" i="34"/>
  <c r="J122" i="34"/>
  <c r="J116" i="34"/>
  <c r="J110" i="34"/>
  <c r="J104" i="34"/>
  <c r="J92" i="34"/>
  <c r="J80" i="34"/>
  <c r="J72" i="34"/>
  <c r="J64" i="34"/>
  <c r="J167" i="34"/>
  <c r="J157" i="34"/>
  <c r="J145" i="34"/>
  <c r="J137" i="34"/>
  <c r="J133" i="34"/>
  <c r="J127" i="34"/>
  <c r="J107" i="34"/>
  <c r="J103" i="34"/>
  <c r="J91" i="34"/>
  <c r="J79" i="34"/>
  <c r="J71" i="34"/>
  <c r="J63" i="34"/>
  <c r="J166" i="34"/>
  <c r="J159" i="34"/>
  <c r="J153" i="34"/>
  <c r="J121" i="34"/>
  <c r="J115" i="34"/>
  <c r="J109" i="34"/>
  <c r="J101" i="34"/>
  <c r="J97" i="34"/>
  <c r="J89" i="34"/>
  <c r="J85" i="34"/>
  <c r="J77" i="34"/>
  <c r="J69" i="34"/>
  <c r="J61" i="34"/>
  <c r="J171" i="34"/>
  <c r="J156" i="34"/>
  <c r="J152" i="34"/>
  <c r="J144" i="34"/>
  <c r="J136" i="34"/>
  <c r="J132" i="34"/>
  <c r="J126" i="34"/>
  <c r="J120" i="34"/>
  <c r="J106" i="34"/>
  <c r="J100" i="34"/>
  <c r="J96" i="34"/>
  <c r="J90" i="34"/>
  <c r="J84" i="34"/>
  <c r="J76" i="34"/>
  <c r="J68" i="34"/>
  <c r="J60" i="34"/>
  <c r="N12" i="34"/>
  <c r="J165" i="34"/>
  <c r="J161" i="34"/>
  <c r="J151" i="34"/>
  <c r="J147" i="34"/>
  <c r="J143" i="34"/>
  <c r="J139" i="34"/>
  <c r="J135" i="34"/>
  <c r="J129" i="34"/>
  <c r="J123" i="34"/>
  <c r="J117" i="34"/>
  <c r="J111" i="34"/>
  <c r="J95" i="34"/>
  <c r="J83" i="34"/>
  <c r="J75" i="34"/>
  <c r="J67" i="34"/>
  <c r="J162" i="34"/>
  <c r="J158" i="34"/>
  <c r="J154" i="34"/>
  <c r="J142" i="34"/>
  <c r="J114" i="34"/>
  <c r="J82" i="34"/>
  <c r="J146" i="34"/>
  <c r="J70" i="34"/>
  <c r="J62" i="34"/>
  <c r="J148" i="34"/>
  <c r="J138" i="34"/>
  <c r="J134" i="34"/>
  <c r="J130" i="34"/>
  <c r="J102" i="34"/>
  <c r="J94" i="34"/>
  <c r="J140" i="34"/>
  <c r="J112" i="34"/>
  <c r="H87" i="34"/>
  <c r="J87" i="34" s="1"/>
  <c r="J74" i="34"/>
  <c r="J78" i="34"/>
  <c r="J66" i="34"/>
  <c r="J124" i="34"/>
  <c r="J118" i="34"/>
  <c r="J108" i="34"/>
  <c r="J98" i="34"/>
  <c r="J150" i="34"/>
  <c r="D31" i="50"/>
  <c r="P24" i="96"/>
  <c r="X16" i="96"/>
  <c r="T32" i="88"/>
  <c r="Z16" i="88"/>
  <c r="P47" i="90"/>
  <c r="V19" i="75"/>
  <c r="V18" i="75"/>
  <c r="V27" i="75"/>
  <c r="T23" i="75"/>
  <c r="V31" i="75"/>
  <c r="V25" i="75"/>
  <c r="V21" i="75"/>
  <c r="Z12" i="75"/>
  <c r="V20" i="75"/>
  <c r="D27" i="43"/>
  <c r="L18" i="43"/>
  <c r="P36" i="35"/>
  <c r="F165" i="34"/>
  <c r="F166" i="34"/>
  <c r="F161" i="34"/>
  <c r="F158" i="34"/>
  <c r="F150" i="34"/>
  <c r="F146" i="34"/>
  <c r="F142" i="34"/>
  <c r="F138" i="34"/>
  <c r="F134" i="34"/>
  <c r="F129" i="34"/>
  <c r="F117" i="34"/>
  <c r="F114" i="34"/>
  <c r="F94" i="34"/>
  <c r="F82" i="34"/>
  <c r="F74" i="34"/>
  <c r="F66" i="34"/>
  <c r="F149" i="34"/>
  <c r="F141" i="34"/>
  <c r="F125" i="34"/>
  <c r="F113" i="34"/>
  <c r="F108" i="34"/>
  <c r="F105" i="34"/>
  <c r="F93" i="34"/>
  <c r="F81" i="34"/>
  <c r="F73" i="34"/>
  <c r="F65" i="34"/>
  <c r="F160" i="34"/>
  <c r="F155" i="34"/>
  <c r="F131" i="34"/>
  <c r="F128" i="34"/>
  <c r="F119" i="34"/>
  <c r="F116" i="34"/>
  <c r="F104" i="34"/>
  <c r="F99" i="34"/>
  <c r="F92" i="34"/>
  <c r="F80" i="34"/>
  <c r="F72" i="34"/>
  <c r="F64" i="34"/>
  <c r="F59" i="34"/>
  <c r="F167" i="34"/>
  <c r="F162" i="34"/>
  <c r="F157" i="34"/>
  <c r="F154" i="34"/>
  <c r="F145" i="34"/>
  <c r="F137" i="34"/>
  <c r="F133" i="34"/>
  <c r="F130" i="34"/>
  <c r="F118" i="34"/>
  <c r="F102" i="34"/>
  <c r="F98" i="34"/>
  <c r="F78" i="34"/>
  <c r="F70" i="34"/>
  <c r="F62" i="34"/>
  <c r="F153" i="34"/>
  <c r="F148" i="34"/>
  <c r="F140" i="34"/>
  <c r="F124" i="34"/>
  <c r="F121" i="34"/>
  <c r="F112" i="34"/>
  <c r="F109" i="34"/>
  <c r="F101" i="34"/>
  <c r="F97" i="34"/>
  <c r="D87" i="34"/>
  <c r="F85" i="34"/>
  <c r="F77" i="34"/>
  <c r="F69" i="34"/>
  <c r="F61" i="34"/>
  <c r="F171" i="34"/>
  <c r="F159" i="34"/>
  <c r="F156" i="34"/>
  <c r="F152" i="34"/>
  <c r="F144" i="34"/>
  <c r="F136" i="34"/>
  <c r="F132" i="34"/>
  <c r="F120" i="34"/>
  <c r="F115" i="34"/>
  <c r="F100" i="34"/>
  <c r="F96" i="34"/>
  <c r="F84" i="34"/>
  <c r="F76" i="34"/>
  <c r="F68" i="34"/>
  <c r="F60" i="34"/>
  <c r="L12" i="34"/>
  <c r="F91" i="34"/>
  <c r="F89" i="34"/>
  <c r="F151" i="34"/>
  <c r="F143" i="34"/>
  <c r="F83" i="34"/>
  <c r="F71" i="34"/>
  <c r="F164" i="34"/>
  <c r="F147" i="34"/>
  <c r="F126" i="34"/>
  <c r="F63" i="34"/>
  <c r="F139" i="34"/>
  <c r="F135" i="34"/>
  <c r="F127" i="34"/>
  <c r="F111" i="34"/>
  <c r="F110" i="34"/>
  <c r="F103" i="34"/>
  <c r="F95" i="34"/>
  <c r="F106" i="34"/>
  <c r="F107" i="34"/>
  <c r="F79" i="34"/>
  <c r="F75" i="34"/>
  <c r="F90" i="34"/>
  <c r="F122" i="34"/>
  <c r="F123" i="34"/>
  <c r="F67" i="34"/>
  <c r="T27" i="20"/>
  <c r="Z18" i="20"/>
  <c r="L18" i="17"/>
  <c r="D27" i="17"/>
  <c r="J218" i="15"/>
  <c r="J214" i="15"/>
  <c r="J210" i="15"/>
  <c r="J202" i="15"/>
  <c r="J194" i="15"/>
  <c r="J178" i="15"/>
  <c r="J172" i="15"/>
  <c r="J166" i="15"/>
  <c r="J154" i="15"/>
  <c r="J148" i="15"/>
  <c r="J142" i="15"/>
  <c r="J138" i="15"/>
  <c r="J130" i="15"/>
  <c r="J126" i="15"/>
  <c r="J118" i="15"/>
  <c r="J110" i="15"/>
  <c r="J102" i="15"/>
  <c r="J94" i="15"/>
  <c r="J86" i="15"/>
  <c r="J227" i="15"/>
  <c r="J221" i="15"/>
  <c r="J213" i="15"/>
  <c r="J201" i="15"/>
  <c r="J197" i="15"/>
  <c r="J193" i="15"/>
  <c r="J189" i="15"/>
  <c r="J185" i="15"/>
  <c r="J169" i="15"/>
  <c r="J163" i="15"/>
  <c r="J157" i="15"/>
  <c r="J141" i="15"/>
  <c r="J137" i="15"/>
  <c r="H126" i="15"/>
  <c r="J117" i="15"/>
  <c r="J109" i="15"/>
  <c r="J101" i="15"/>
  <c r="J93" i="15"/>
  <c r="J85" i="15"/>
  <c r="J216" i="15"/>
  <c r="J212" i="15"/>
  <c r="J206" i="15"/>
  <c r="J200" i="15"/>
  <c r="J196" i="15"/>
  <c r="J192" i="15"/>
  <c r="J188" i="15"/>
  <c r="J184" i="15"/>
  <c r="J180" i="15"/>
  <c r="J174" i="15"/>
  <c r="J168" i="15"/>
  <c r="J160" i="15"/>
  <c r="J156" i="15"/>
  <c r="J150" i="15"/>
  <c r="J136" i="15"/>
  <c r="J128" i="15"/>
  <c r="J124" i="15"/>
  <c r="J116" i="15"/>
  <c r="J108" i="15"/>
  <c r="J100" i="15"/>
  <c r="J92" i="15"/>
  <c r="J84" i="15"/>
  <c r="J222" i="15"/>
  <c r="J182" i="15"/>
  <c r="J162" i="15"/>
  <c r="J146" i="15"/>
  <c r="J140" i="15"/>
  <c r="J134" i="15"/>
  <c r="J122" i="15"/>
  <c r="J114" i="15"/>
  <c r="J106" i="15"/>
  <c r="J98" i="15"/>
  <c r="J90" i="15"/>
  <c r="J215" i="15"/>
  <c r="J211" i="15"/>
  <c r="J205" i="15"/>
  <c r="J195" i="15"/>
  <c r="J179" i="15"/>
  <c r="J173" i="15"/>
  <c r="J167" i="15"/>
  <c r="J155" i="15"/>
  <c r="J149" i="15"/>
  <c r="J145" i="15"/>
  <c r="J133" i="15"/>
  <c r="J121" i="15"/>
  <c r="J113" i="15"/>
  <c r="J105" i="15"/>
  <c r="J97" i="15"/>
  <c r="J89" i="15"/>
  <c r="J83" i="15"/>
  <c r="J220" i="15"/>
  <c r="J208" i="15"/>
  <c r="J204" i="15"/>
  <c r="J198" i="15"/>
  <c r="J190" i="15"/>
  <c r="J186" i="15"/>
  <c r="J176" i="15"/>
  <c r="J170" i="15"/>
  <c r="J164" i="15"/>
  <c r="J158" i="15"/>
  <c r="J152" i="15"/>
  <c r="J144" i="15"/>
  <c r="J132" i="15"/>
  <c r="J120" i="15"/>
  <c r="J112" i="15"/>
  <c r="J104" i="15"/>
  <c r="J96" i="15"/>
  <c r="J88" i="15"/>
  <c r="J223" i="15"/>
  <c r="J135" i="15"/>
  <c r="J91" i="15"/>
  <c r="J203" i="15"/>
  <c r="J191" i="15"/>
  <c r="J177" i="15"/>
  <c r="J165" i="15"/>
  <c r="J107" i="15"/>
  <c r="J99" i="15"/>
  <c r="J207" i="15"/>
  <c r="J187" i="15"/>
  <c r="J183" i="15"/>
  <c r="J119" i="15"/>
  <c r="J147" i="15"/>
  <c r="J139" i="15"/>
  <c r="J131" i="15"/>
  <c r="J209" i="15"/>
  <c r="J159" i="15"/>
  <c r="J123" i="15"/>
  <c r="J95" i="15"/>
  <c r="J87" i="15"/>
  <c r="J199" i="15"/>
  <c r="J181" i="15"/>
  <c r="J161" i="15"/>
  <c r="J151" i="15"/>
  <c r="J129" i="15"/>
  <c r="J111" i="15"/>
  <c r="J103" i="15"/>
  <c r="J171" i="15"/>
  <c r="J219" i="15"/>
  <c r="J175" i="15"/>
  <c r="J153" i="15"/>
  <c r="J115" i="15"/>
  <c r="J143" i="15"/>
  <c r="P22" i="6"/>
  <c r="X16" i="6"/>
  <c r="H90" i="9"/>
  <c r="N16" i="9"/>
  <c r="P31" i="99"/>
  <c r="P30" i="89"/>
  <c r="X16" i="89"/>
  <c r="N16" i="89"/>
  <c r="H30" i="89"/>
  <c r="D56" i="91"/>
  <c r="J23" i="87"/>
  <c r="J30" i="87"/>
  <c r="J24" i="87"/>
  <c r="H18" i="87"/>
  <c r="J22" i="87"/>
  <c r="J21" i="87"/>
  <c r="J16" i="87"/>
  <c r="N12" i="87"/>
  <c r="J26" i="87"/>
  <c r="J20" i="87"/>
  <c r="J18" i="87"/>
  <c r="P49" i="91"/>
  <c r="X16" i="91"/>
  <c r="D74" i="86"/>
  <c r="P86" i="85"/>
  <c r="X20" i="85"/>
  <c r="N18" i="84"/>
  <c r="H37" i="84"/>
  <c r="V18" i="84"/>
  <c r="R77" i="79"/>
  <c r="R74" i="79"/>
  <c r="R69" i="79"/>
  <c r="R61" i="79"/>
  <c r="R68" i="79"/>
  <c r="R60" i="79"/>
  <c r="R56" i="79"/>
  <c r="R44" i="79"/>
  <c r="R41" i="79"/>
  <c r="R82" i="79"/>
  <c r="R79" i="79"/>
  <c r="R76" i="79"/>
  <c r="R67" i="79"/>
  <c r="R63" i="79"/>
  <c r="R59" i="79"/>
  <c r="R55" i="79"/>
  <c r="R52" i="79"/>
  <c r="R47" i="79"/>
  <c r="R66" i="79"/>
  <c r="R58" i="79"/>
  <c r="R86" i="79"/>
  <c r="R72" i="79"/>
  <c r="R57" i="79"/>
  <c r="R40" i="79"/>
  <c r="R75" i="79"/>
  <c r="R71" i="79"/>
  <c r="R64" i="79"/>
  <c r="R51" i="79"/>
  <c r="R48" i="79"/>
  <c r="R45" i="79"/>
  <c r="R42" i="79"/>
  <c r="R33" i="79"/>
  <c r="R29" i="79"/>
  <c r="R17" i="79"/>
  <c r="R70" i="79"/>
  <c r="R49" i="79"/>
  <c r="R39" i="79"/>
  <c r="R38" i="79"/>
  <c r="R28" i="79"/>
  <c r="R50" i="79"/>
  <c r="R37" i="79"/>
  <c r="R32" i="79"/>
  <c r="R27" i="79"/>
  <c r="R16" i="79"/>
  <c r="R81" i="79"/>
  <c r="R62" i="79"/>
  <c r="R26" i="79"/>
  <c r="R78" i="79"/>
  <c r="R54" i="79"/>
  <c r="R25" i="79"/>
  <c r="R36" i="79"/>
  <c r="R24" i="79"/>
  <c r="R22" i="79"/>
  <c r="P20" i="79"/>
  <c r="X12" i="79"/>
  <c r="R73" i="79"/>
  <c r="R65" i="79"/>
  <c r="R34" i="79"/>
  <c r="R30" i="79"/>
  <c r="R23" i="79"/>
  <c r="R18" i="79"/>
  <c r="R46" i="79"/>
  <c r="R53" i="79"/>
  <c r="R35" i="79"/>
  <c r="R43" i="79"/>
  <c r="R31" i="79"/>
  <c r="T38" i="83"/>
  <c r="Z16" i="83"/>
  <c r="P32" i="72"/>
  <c r="X18" i="72"/>
  <c r="H44" i="74"/>
  <c r="N17" i="74"/>
  <c r="V104" i="77"/>
  <c r="V80" i="77"/>
  <c r="V72" i="77"/>
  <c r="V56" i="77"/>
  <c r="V44" i="77"/>
  <c r="Z12" i="77"/>
  <c r="V113" i="77"/>
  <c r="V107" i="77"/>
  <c r="V83" i="77"/>
  <c r="V75" i="77"/>
  <c r="V67" i="77"/>
  <c r="V55" i="77"/>
  <c r="V51" i="77"/>
  <c r="V43" i="77"/>
  <c r="V101" i="77"/>
  <c r="V93" i="77"/>
  <c r="V89" i="77"/>
  <c r="V85" i="77"/>
  <c r="V77" i="77"/>
  <c r="V69" i="77"/>
  <c r="V65" i="77"/>
  <c r="V53" i="77"/>
  <c r="V41" i="77"/>
  <c r="V100" i="77"/>
  <c r="V96" i="77"/>
  <c r="V92" i="77"/>
  <c r="V88" i="77"/>
  <c r="V84" i="77"/>
  <c r="V76" i="77"/>
  <c r="V68" i="77"/>
  <c r="V64" i="77"/>
  <c r="V60" i="77"/>
  <c r="V52" i="77"/>
  <c r="V40" i="77"/>
  <c r="V102" i="77"/>
  <c r="V98" i="77"/>
  <c r="V94" i="77"/>
  <c r="V90" i="77"/>
  <c r="V86" i="77"/>
  <c r="V78" i="77"/>
  <c r="V70" i="77"/>
  <c r="V62" i="77"/>
  <c r="V58" i="77"/>
  <c r="V46" i="77"/>
  <c r="V38" i="77"/>
  <c r="V109" i="77"/>
  <c r="V81" i="77"/>
  <c r="V59" i="77"/>
  <c r="V45" i="77"/>
  <c r="V105" i="77"/>
  <c r="V99" i="77"/>
  <c r="V61" i="77"/>
  <c r="V42" i="77"/>
  <c r="V47" i="77"/>
  <c r="V39" i="77"/>
  <c r="V97" i="77"/>
  <c r="V95" i="77"/>
  <c r="V91" i="77"/>
  <c r="V82" i="77"/>
  <c r="V79" i="77"/>
  <c r="V66" i="77"/>
  <c r="V63" i="77"/>
  <c r="V57" i="77"/>
  <c r="T49" i="77"/>
  <c r="V87" i="77"/>
  <c r="V54" i="77"/>
  <c r="V71" i="77"/>
  <c r="V103" i="77"/>
  <c r="V106" i="77"/>
  <c r="V74" i="77"/>
  <c r="V73" i="77"/>
  <c r="X80" i="70"/>
  <c r="Z80" i="70" s="1"/>
  <c r="L144" i="69"/>
  <c r="N144" i="69" s="1"/>
  <c r="V30" i="70"/>
  <c r="V80" i="70"/>
  <c r="Z114" i="66"/>
  <c r="X114" i="66"/>
  <c r="V70" i="64"/>
  <c r="V66" i="64"/>
  <c r="V86" i="64"/>
  <c r="V82" i="64"/>
  <c r="V78" i="64"/>
  <c r="V74" i="64"/>
  <c r="V62" i="64"/>
  <c r="V81" i="64"/>
  <c r="V77" i="64"/>
  <c r="V65" i="64"/>
  <c r="V90" i="64"/>
  <c r="V84" i="64"/>
  <c r="V76" i="64"/>
  <c r="V64" i="64"/>
  <c r="V83" i="64"/>
  <c r="V75" i="64"/>
  <c r="V63" i="64"/>
  <c r="V61" i="64"/>
  <c r="V60" i="64"/>
  <c r="V44" i="64"/>
  <c r="T39" i="64"/>
  <c r="V32" i="64"/>
  <c r="V59" i="64"/>
  <c r="V43" i="64"/>
  <c r="V31" i="64"/>
  <c r="V68" i="64"/>
  <c r="V54" i="64"/>
  <c r="V42" i="64"/>
  <c r="V30" i="64"/>
  <c r="V53" i="64"/>
  <c r="V49" i="64"/>
  <c r="V37" i="64"/>
  <c r="V29" i="64"/>
  <c r="V71" i="64"/>
  <c r="V69" i="64"/>
  <c r="V67" i="64"/>
  <c r="V56" i="64"/>
  <c r="V52" i="64"/>
  <c r="V48" i="64"/>
  <c r="V36" i="64"/>
  <c r="V28" i="64"/>
  <c r="Z12" i="64"/>
  <c r="V72" i="64"/>
  <c r="V55" i="64"/>
  <c r="V51" i="64"/>
  <c r="V47" i="64"/>
  <c r="V35" i="64"/>
  <c r="V27" i="64"/>
  <c r="V80" i="64"/>
  <c r="V73" i="64"/>
  <c r="V57" i="64"/>
  <c r="V45" i="64"/>
  <c r="V41" i="64"/>
  <c r="V39" i="64"/>
  <c r="V33" i="64"/>
  <c r="V58" i="64"/>
  <c r="V50" i="64"/>
  <c r="V79" i="64"/>
  <c r="V46" i="64"/>
  <c r="V34" i="64"/>
  <c r="H50" i="61"/>
  <c r="H69" i="58"/>
  <c r="N16" i="58"/>
  <c r="L16" i="54"/>
  <c r="T31" i="52"/>
  <c r="Z27" i="52"/>
  <c r="H27" i="50"/>
  <c r="L27" i="50" s="1"/>
  <c r="N18" i="50"/>
  <c r="Z27" i="50"/>
  <c r="T31" i="50"/>
  <c r="L18" i="47"/>
  <c r="V23" i="45"/>
  <c r="X18" i="43"/>
  <c r="P27" i="43"/>
  <c r="X103" i="42"/>
  <c r="J105" i="51"/>
  <c r="J99" i="51"/>
  <c r="J95" i="51"/>
  <c r="J100" i="51"/>
  <c r="J96" i="51"/>
  <c r="J88" i="51"/>
  <c r="J80" i="51"/>
  <c r="J74" i="51"/>
  <c r="J66" i="51"/>
  <c r="J62" i="51"/>
  <c r="J54" i="51"/>
  <c r="J50" i="51"/>
  <c r="J42" i="51"/>
  <c r="J36" i="51"/>
  <c r="J85" i="51"/>
  <c r="J71" i="51"/>
  <c r="J61" i="51"/>
  <c r="J55" i="51"/>
  <c r="J49" i="51"/>
  <c r="J41" i="51"/>
  <c r="J92" i="51"/>
  <c r="J82" i="51"/>
  <c r="J76" i="51"/>
  <c r="J60" i="51"/>
  <c r="J48" i="51"/>
  <c r="J40" i="51"/>
  <c r="J91" i="51"/>
  <c r="J87" i="51"/>
  <c r="J79" i="51"/>
  <c r="J73" i="51"/>
  <c r="J65" i="51"/>
  <c r="J59" i="51"/>
  <c r="J47" i="51"/>
  <c r="J39" i="51"/>
  <c r="J98" i="51"/>
  <c r="J90" i="51"/>
  <c r="J84" i="51"/>
  <c r="J78" i="51"/>
  <c r="J70" i="51"/>
  <c r="J58" i="51"/>
  <c r="J46" i="51"/>
  <c r="J38" i="51"/>
  <c r="J89" i="51"/>
  <c r="J81" i="51"/>
  <c r="J75" i="51"/>
  <c r="J69" i="51"/>
  <c r="J57" i="51"/>
  <c r="J45" i="51"/>
  <c r="J37" i="51"/>
  <c r="J101" i="51"/>
  <c r="J94" i="51"/>
  <c r="J86" i="51"/>
  <c r="J72" i="51"/>
  <c r="J68" i="51"/>
  <c r="J64" i="51"/>
  <c r="J56" i="51"/>
  <c r="J52" i="51"/>
  <c r="J44" i="51"/>
  <c r="N12" i="51"/>
  <c r="J93" i="51"/>
  <c r="J83" i="51"/>
  <c r="J77" i="51"/>
  <c r="J67" i="51"/>
  <c r="J43" i="51"/>
  <c r="H52" i="51"/>
  <c r="J63" i="51"/>
  <c r="Z164" i="34"/>
  <c r="P31" i="33"/>
  <c r="X164" i="34"/>
  <c r="H27" i="26"/>
  <c r="L27" i="26" s="1"/>
  <c r="N18" i="26"/>
  <c r="H27" i="35"/>
  <c r="N18" i="35"/>
  <c r="R167" i="34"/>
  <c r="R165" i="34"/>
  <c r="R171" i="34"/>
  <c r="R162" i="34"/>
  <c r="R159" i="34"/>
  <c r="R154" i="34"/>
  <c r="R130" i="34"/>
  <c r="R118" i="34"/>
  <c r="R115" i="34"/>
  <c r="R102" i="34"/>
  <c r="R98" i="34"/>
  <c r="R78" i="34"/>
  <c r="R70" i="34"/>
  <c r="R62" i="34"/>
  <c r="R166" i="34"/>
  <c r="R153" i="34"/>
  <c r="R126" i="34"/>
  <c r="R121" i="34"/>
  <c r="R109" i="34"/>
  <c r="R106" i="34"/>
  <c r="R101" i="34"/>
  <c r="R97" i="34"/>
  <c r="R90" i="34"/>
  <c r="R85" i="34"/>
  <c r="R77" i="34"/>
  <c r="R69" i="34"/>
  <c r="R61" i="34"/>
  <c r="R161" i="34"/>
  <c r="R156" i="34"/>
  <c r="R152" i="34"/>
  <c r="R144" i="34"/>
  <c r="R136" i="34"/>
  <c r="R132" i="34"/>
  <c r="R129" i="34"/>
  <c r="R120" i="34"/>
  <c r="R117" i="34"/>
  <c r="R100" i="34"/>
  <c r="R96" i="34"/>
  <c r="R84" i="34"/>
  <c r="R76" i="34"/>
  <c r="R68" i="34"/>
  <c r="R60" i="34"/>
  <c r="X12" i="34"/>
  <c r="R158" i="34"/>
  <c r="R155" i="34"/>
  <c r="R150" i="34"/>
  <c r="R146" i="34"/>
  <c r="R142" i="34"/>
  <c r="R138" i="34"/>
  <c r="R134" i="34"/>
  <c r="R131" i="34"/>
  <c r="R119" i="34"/>
  <c r="R114" i="34"/>
  <c r="R99" i="34"/>
  <c r="R94" i="34"/>
  <c r="R82" i="34"/>
  <c r="R74" i="34"/>
  <c r="R66" i="34"/>
  <c r="R59" i="34"/>
  <c r="R164" i="34"/>
  <c r="R149" i="34"/>
  <c r="R141" i="34"/>
  <c r="R125" i="34"/>
  <c r="R122" i="34"/>
  <c r="R113" i="34"/>
  <c r="R110" i="34"/>
  <c r="R105" i="34"/>
  <c r="R93" i="34"/>
  <c r="R81" i="34"/>
  <c r="R73" i="34"/>
  <c r="R65" i="34"/>
  <c r="R160" i="34"/>
  <c r="R157" i="34"/>
  <c r="R145" i="34"/>
  <c r="R137" i="34"/>
  <c r="R133" i="34"/>
  <c r="R128" i="34"/>
  <c r="R116" i="34"/>
  <c r="R104" i="34"/>
  <c r="R92" i="34"/>
  <c r="R87" i="34"/>
  <c r="R80" i="34"/>
  <c r="R72" i="34"/>
  <c r="R64" i="34"/>
  <c r="R147" i="34"/>
  <c r="R143" i="34"/>
  <c r="R140" i="34"/>
  <c r="R63" i="34"/>
  <c r="R139" i="34"/>
  <c r="R135" i="34"/>
  <c r="R127" i="34"/>
  <c r="R112" i="34"/>
  <c r="R103" i="34"/>
  <c r="R111" i="34"/>
  <c r="R95" i="34"/>
  <c r="R124" i="34"/>
  <c r="R107" i="34"/>
  <c r="P87" i="34"/>
  <c r="R79" i="34"/>
  <c r="R75" i="34"/>
  <c r="R123" i="34"/>
  <c r="R108" i="34"/>
  <c r="R89" i="34"/>
  <c r="R91" i="34"/>
  <c r="R67" i="34"/>
  <c r="R151" i="34"/>
  <c r="R71" i="34"/>
  <c r="R148" i="34"/>
  <c r="R83" i="34"/>
  <c r="D31" i="32"/>
  <c r="Z114" i="25"/>
  <c r="D36" i="19"/>
  <c r="H31" i="22"/>
  <c r="N27" i="22"/>
  <c r="Z242" i="18"/>
  <c r="H27" i="17"/>
  <c r="N18" i="17"/>
  <c r="V168" i="28"/>
  <c r="V158" i="28"/>
  <c r="V150" i="28"/>
  <c r="V134" i="28"/>
  <c r="V130" i="28"/>
  <c r="V118" i="28"/>
  <c r="V161" i="28"/>
  <c r="V155" i="28"/>
  <c r="V147" i="28"/>
  <c r="V143" i="28"/>
  <c r="V139" i="28"/>
  <c r="V135" i="28"/>
  <c r="V131" i="28"/>
  <c r="V123" i="28"/>
  <c r="V157" i="28"/>
  <c r="V156" i="28"/>
  <c r="V151" i="28"/>
  <c r="V140" i="28"/>
  <c r="V116" i="28"/>
  <c r="V115" i="28"/>
  <c r="V109" i="28"/>
  <c r="V97" i="28"/>
  <c r="V93" i="28"/>
  <c r="V81" i="28"/>
  <c r="V73" i="28"/>
  <c r="V65" i="28"/>
  <c r="V57" i="28"/>
  <c r="V164" i="28"/>
  <c r="V159" i="28"/>
  <c r="V154" i="28"/>
  <c r="V141" i="28"/>
  <c r="V128" i="28"/>
  <c r="V127" i="28"/>
  <c r="V112" i="28"/>
  <c r="V108" i="28"/>
  <c r="V92" i="28"/>
  <c r="V80" i="28"/>
  <c r="V72" i="28"/>
  <c r="V64" i="28"/>
  <c r="V137" i="28"/>
  <c r="V136" i="28"/>
  <c r="V121" i="28"/>
  <c r="V120" i="28"/>
  <c r="V111" i="28"/>
  <c r="V103" i="28"/>
  <c r="V91" i="28"/>
  <c r="V87" i="28"/>
  <c r="V79" i="28"/>
  <c r="V71" i="28"/>
  <c r="V63" i="28"/>
  <c r="V163" i="28"/>
  <c r="V152" i="28"/>
  <c r="V145" i="28"/>
  <c r="V133" i="28"/>
  <c r="V132" i="28"/>
  <c r="V125" i="28"/>
  <c r="V117" i="28"/>
  <c r="V114" i="28"/>
  <c r="V113" i="28"/>
  <c r="V105" i="28"/>
  <c r="V101" i="28"/>
  <c r="V89" i="28"/>
  <c r="V77" i="28"/>
  <c r="V69" i="28"/>
  <c r="V61" i="28"/>
  <c r="V153" i="28"/>
  <c r="V146" i="28"/>
  <c r="V142" i="28"/>
  <c r="V129" i="28"/>
  <c r="V126" i="28"/>
  <c r="V124" i="28"/>
  <c r="V104" i="28"/>
  <c r="V100" i="28"/>
  <c r="V96" i="28"/>
  <c r="V88" i="28"/>
  <c r="V76" i="28"/>
  <c r="V68" i="28"/>
  <c r="V60" i="28"/>
  <c r="V148" i="28"/>
  <c r="V138" i="28"/>
  <c r="V122" i="28"/>
  <c r="V119" i="28"/>
  <c r="V107" i="28"/>
  <c r="V99" i="28"/>
  <c r="V95" i="28"/>
  <c r="V83" i="28"/>
  <c r="V75" i="28"/>
  <c r="V67" i="28"/>
  <c r="V59" i="28"/>
  <c r="V162" i="28"/>
  <c r="V144" i="28"/>
  <c r="V90" i="28"/>
  <c r="V82" i="28"/>
  <c r="V70" i="28"/>
  <c r="V106" i="28"/>
  <c r="V74" i="28"/>
  <c r="V58" i="28"/>
  <c r="V102" i="28"/>
  <c r="V66" i="28"/>
  <c r="V94" i="28"/>
  <c r="T85" i="28"/>
  <c r="V78" i="28"/>
  <c r="V110" i="28"/>
  <c r="V98" i="28"/>
  <c r="V62" i="28"/>
  <c r="V149" i="28"/>
  <c r="T27" i="16"/>
  <c r="X27" i="16" s="1"/>
  <c r="Z18" i="16"/>
  <c r="X18" i="11"/>
  <c r="P27" i="11"/>
  <c r="L18" i="29"/>
  <c r="D27" i="29"/>
  <c r="X18" i="16"/>
  <c r="N228" i="12"/>
  <c r="V261" i="3"/>
  <c r="L18" i="100"/>
  <c r="D27" i="100"/>
  <c r="D28" i="96"/>
  <c r="L24" i="96"/>
  <c r="N24" i="96" s="1"/>
  <c r="V78" i="95"/>
  <c r="V54" i="95"/>
  <c r="V46" i="95"/>
  <c r="V38" i="95"/>
  <c r="V73" i="95"/>
  <c r="V57" i="95"/>
  <c r="V49" i="95"/>
  <c r="V41" i="95"/>
  <c r="V37" i="95"/>
  <c r="V33" i="95"/>
  <c r="V72" i="95"/>
  <c r="V56" i="95"/>
  <c r="V48" i="95"/>
  <c r="V40" i="95"/>
  <c r="V36" i="95"/>
  <c r="V32" i="95"/>
  <c r="V24" i="95"/>
  <c r="V87" i="95"/>
  <c r="V81" i="95"/>
  <c r="V75" i="95"/>
  <c r="V71" i="95"/>
  <c r="V59" i="95"/>
  <c r="V51" i="95"/>
  <c r="V43" i="95"/>
  <c r="V35" i="95"/>
  <c r="V31" i="95"/>
  <c r="V74" i="95"/>
  <c r="V70" i="95"/>
  <c r="V66" i="95"/>
  <c r="V62" i="95"/>
  <c r="V58" i="95"/>
  <c r="V50" i="95"/>
  <c r="V42" i="95"/>
  <c r="V34" i="95"/>
  <c r="V30" i="95"/>
  <c r="V90" i="95"/>
  <c r="V85" i="95"/>
  <c r="V83" i="95"/>
  <c r="V79" i="95"/>
  <c r="V67" i="95"/>
  <c r="V63" i="95"/>
  <c r="V55" i="95"/>
  <c r="V47" i="95"/>
  <c r="V39" i="95"/>
  <c r="V27" i="95"/>
  <c r="V68" i="95"/>
  <c r="V25" i="95"/>
  <c r="V21" i="95"/>
  <c r="V69" i="95"/>
  <c r="V53" i="95"/>
  <c r="V29" i="95"/>
  <c r="T21" i="95"/>
  <c r="V64" i="95"/>
  <c r="V26" i="95"/>
  <c r="V23" i="95"/>
  <c r="V60" i="95"/>
  <c r="Z12" i="95"/>
  <c r="V65" i="95"/>
  <c r="V19" i="95"/>
  <c r="V61" i="95"/>
  <c r="V44" i="95"/>
  <c r="V18" i="95"/>
  <c r="V77" i="95"/>
  <c r="V52" i="95"/>
  <c r="V45" i="95"/>
  <c r="V76" i="95"/>
  <c r="V28" i="95"/>
  <c r="V17" i="95"/>
  <c r="P87" i="94"/>
  <c r="X21" i="94"/>
  <c r="Z21" i="94" s="1"/>
  <c r="H87" i="94"/>
  <c r="T53" i="91"/>
  <c r="D30" i="89"/>
  <c r="L16" i="89"/>
  <c r="L83" i="85"/>
  <c r="R20" i="85"/>
  <c r="F25" i="78"/>
  <c r="F16" i="78"/>
  <c r="F28" i="78"/>
  <c r="F20" i="78"/>
  <c r="F32" i="78"/>
  <c r="F26" i="78"/>
  <c r="D20" i="78"/>
  <c r="F18" i="78"/>
  <c r="F23" i="78"/>
  <c r="F22" i="78"/>
  <c r="F17" i="78"/>
  <c r="L12" i="78"/>
  <c r="F24" i="78"/>
  <c r="L12" i="87"/>
  <c r="L81" i="79"/>
  <c r="R68" i="76"/>
  <c r="R71" i="76"/>
  <c r="R67" i="76"/>
  <c r="R73" i="76"/>
  <c r="R70" i="76"/>
  <c r="R64" i="76"/>
  <c r="R60" i="76"/>
  <c r="R56" i="76"/>
  <c r="R53" i="76"/>
  <c r="R48" i="76"/>
  <c r="R45" i="76"/>
  <c r="R61" i="76"/>
  <c r="R39" i="76"/>
  <c r="R36" i="76"/>
  <c r="R32" i="76"/>
  <c r="R27" i="76"/>
  <c r="R16" i="76"/>
  <c r="R74" i="76"/>
  <c r="R55" i="76"/>
  <c r="R50" i="76"/>
  <c r="R49" i="76"/>
  <c r="R26" i="76"/>
  <c r="R81" i="76"/>
  <c r="R72" i="76"/>
  <c r="R69" i="76"/>
  <c r="R57" i="76"/>
  <c r="R54" i="76"/>
  <c r="R41" i="76"/>
  <c r="R38" i="76"/>
  <c r="R25" i="76"/>
  <c r="R47" i="76"/>
  <c r="R44" i="76"/>
  <c r="R24" i="76"/>
  <c r="R22" i="76"/>
  <c r="P20" i="76"/>
  <c r="X12" i="76"/>
  <c r="R77" i="76"/>
  <c r="R66" i="76"/>
  <c r="R34" i="76"/>
  <c r="R30" i="76"/>
  <c r="R23" i="76"/>
  <c r="R18" i="76"/>
  <c r="R65" i="76"/>
  <c r="R63" i="76"/>
  <c r="R52" i="76"/>
  <c r="R51" i="76"/>
  <c r="R46" i="76"/>
  <c r="R42" i="76"/>
  <c r="R37" i="76"/>
  <c r="R33" i="76"/>
  <c r="R29" i="76"/>
  <c r="R17" i="76"/>
  <c r="R40" i="76"/>
  <c r="R58" i="76"/>
  <c r="R35" i="76"/>
  <c r="R31" i="76"/>
  <c r="R28" i="76"/>
  <c r="R62" i="76"/>
  <c r="R43" i="76"/>
  <c r="R75" i="76"/>
  <c r="R59" i="76"/>
  <c r="T32" i="72"/>
  <c r="F77" i="70"/>
  <c r="F74" i="70"/>
  <c r="F62" i="70"/>
  <c r="F76" i="70"/>
  <c r="F72" i="70"/>
  <c r="F55" i="70"/>
  <c r="F52" i="70"/>
  <c r="F80" i="70"/>
  <c r="F71" i="70"/>
  <c r="F67" i="70"/>
  <c r="F58" i="70"/>
  <c r="F78" i="70"/>
  <c r="F70" i="70"/>
  <c r="F54" i="70"/>
  <c r="F69" i="70"/>
  <c r="F64" i="70"/>
  <c r="F60" i="70"/>
  <c r="F57" i="70"/>
  <c r="F63" i="70"/>
  <c r="F42" i="70"/>
  <c r="F35" i="70"/>
  <c r="F75" i="70"/>
  <c r="F59" i="70"/>
  <c r="F49" i="70"/>
  <c r="F46" i="70"/>
  <c r="F34" i="70"/>
  <c r="F85" i="70"/>
  <c r="F45" i="70"/>
  <c r="F41" i="70"/>
  <c r="F30" i="70"/>
  <c r="F81" i="70"/>
  <c r="F65" i="70"/>
  <c r="F61" i="70"/>
  <c r="F48" i="70"/>
  <c r="F44" i="70"/>
  <c r="F40" i="70"/>
  <c r="D30" i="70"/>
  <c r="F28" i="70"/>
  <c r="L12" i="70"/>
  <c r="N12" i="70" s="1"/>
  <c r="F73" i="70"/>
  <c r="F66" i="70"/>
  <c r="F43" i="70"/>
  <c r="F39" i="70"/>
  <c r="F68" i="70"/>
  <c r="F38" i="70"/>
  <c r="F33" i="70"/>
  <c r="F32" i="70"/>
  <c r="F56" i="70"/>
  <c r="F53" i="70"/>
  <c r="F51" i="70"/>
  <c r="F50" i="70"/>
  <c r="F37" i="70"/>
  <c r="F47" i="70"/>
  <c r="F36" i="70"/>
  <c r="F27" i="70"/>
  <c r="H56" i="59"/>
  <c r="N16" i="59"/>
  <c r="R76" i="64"/>
  <c r="R67" i="64"/>
  <c r="R64" i="64"/>
  <c r="R83" i="64"/>
  <c r="R86" i="64"/>
  <c r="R79" i="64"/>
  <c r="R75" i="64"/>
  <c r="R68" i="64"/>
  <c r="R63" i="64"/>
  <c r="R82" i="64"/>
  <c r="R78" i="64"/>
  <c r="R71" i="64"/>
  <c r="R77" i="64"/>
  <c r="R74" i="64"/>
  <c r="R65" i="64"/>
  <c r="R62" i="64"/>
  <c r="R90" i="64"/>
  <c r="R84" i="64"/>
  <c r="R81" i="64"/>
  <c r="R80" i="64"/>
  <c r="R73" i="64"/>
  <c r="R50" i="64"/>
  <c r="R45" i="64"/>
  <c r="R33" i="64"/>
  <c r="R61" i="64"/>
  <c r="R60" i="64"/>
  <c r="R57" i="64"/>
  <c r="R44" i="64"/>
  <c r="R32" i="64"/>
  <c r="R43" i="64"/>
  <c r="R41" i="64"/>
  <c r="P39" i="64"/>
  <c r="R31" i="64"/>
  <c r="R66" i="64"/>
  <c r="R59" i="64"/>
  <c r="R54" i="64"/>
  <c r="R30" i="64"/>
  <c r="R53" i="64"/>
  <c r="R49" i="64"/>
  <c r="R42" i="64"/>
  <c r="R37" i="64"/>
  <c r="R29" i="64"/>
  <c r="R69" i="64"/>
  <c r="R56" i="64"/>
  <c r="R52" i="64"/>
  <c r="R48" i="64"/>
  <c r="R36" i="64"/>
  <c r="R28" i="64"/>
  <c r="X12" i="64"/>
  <c r="R58" i="64"/>
  <c r="R55" i="64"/>
  <c r="R46" i="64"/>
  <c r="R34" i="64"/>
  <c r="R27" i="64"/>
  <c r="R72" i="64"/>
  <c r="R51" i="64"/>
  <c r="R47" i="64"/>
  <c r="R35" i="64"/>
  <c r="R70" i="64"/>
  <c r="H105" i="62"/>
  <c r="J92" i="64"/>
  <c r="J86" i="64"/>
  <c r="J82" i="64"/>
  <c r="J78" i="64"/>
  <c r="J68" i="64"/>
  <c r="J90" i="64"/>
  <c r="J84" i="64"/>
  <c r="J95" i="64"/>
  <c r="J88" i="64"/>
  <c r="J76" i="64"/>
  <c r="J70" i="64"/>
  <c r="J64" i="64"/>
  <c r="J83" i="64"/>
  <c r="J73" i="64"/>
  <c r="J69" i="64"/>
  <c r="J80" i="64"/>
  <c r="J72" i="64"/>
  <c r="J66" i="64"/>
  <c r="J79" i="64"/>
  <c r="J75" i="64"/>
  <c r="J56" i="64"/>
  <c r="J52" i="64"/>
  <c r="J48" i="64"/>
  <c r="J42" i="64"/>
  <c r="J36" i="64"/>
  <c r="J28" i="64"/>
  <c r="N12" i="64"/>
  <c r="J74" i="64"/>
  <c r="J51" i="64"/>
  <c r="J47" i="64"/>
  <c r="J35" i="64"/>
  <c r="J81" i="64"/>
  <c r="J62" i="64"/>
  <c r="J58" i="64"/>
  <c r="J46" i="64"/>
  <c r="J34" i="64"/>
  <c r="J63" i="64"/>
  <c r="J55" i="64"/>
  <c r="J45" i="64"/>
  <c r="J33" i="64"/>
  <c r="J27" i="64"/>
  <c r="J77" i="64"/>
  <c r="J65" i="64"/>
  <c r="J61" i="64"/>
  <c r="J60" i="64"/>
  <c r="J50" i="64"/>
  <c r="J44" i="64"/>
  <c r="J32" i="64"/>
  <c r="J57" i="64"/>
  <c r="J43" i="64"/>
  <c r="J39" i="64"/>
  <c r="J31" i="64"/>
  <c r="J71" i="64"/>
  <c r="J67" i="64"/>
  <c r="J59" i="64"/>
  <c r="J53" i="64"/>
  <c r="J49" i="64"/>
  <c r="J41" i="64"/>
  <c r="J37" i="64"/>
  <c r="J29" i="64"/>
  <c r="H39" i="64"/>
  <c r="J30" i="64"/>
  <c r="J54" i="64"/>
  <c r="D101" i="62"/>
  <c r="L18" i="62"/>
  <c r="T47" i="60"/>
  <c r="Z16" i="60"/>
  <c r="D69" i="58"/>
  <c r="L16" i="58"/>
  <c r="D27" i="52"/>
  <c r="L18" i="52"/>
  <c r="T27" i="49"/>
  <c r="Z18" i="49"/>
  <c r="D66" i="57"/>
  <c r="L62" i="57"/>
  <c r="D26" i="54"/>
  <c r="L22" i="54"/>
  <c r="T74" i="56"/>
  <c r="P31" i="53"/>
  <c r="Z22" i="54"/>
  <c r="T26" i="54"/>
  <c r="X18" i="41"/>
  <c r="P27" i="41"/>
  <c r="L103" i="42"/>
  <c r="N103" i="42" s="1"/>
  <c r="N113" i="36"/>
  <c r="H27" i="32"/>
  <c r="N18" i="32"/>
  <c r="R106" i="42"/>
  <c r="R99" i="42"/>
  <c r="R87" i="42"/>
  <c r="R79" i="42"/>
  <c r="R75" i="42"/>
  <c r="R71" i="42"/>
  <c r="R104" i="42"/>
  <c r="R101" i="42"/>
  <c r="R85" i="42"/>
  <c r="R77" i="42"/>
  <c r="R110" i="42"/>
  <c r="R97" i="42"/>
  <c r="R92" i="42"/>
  <c r="R84" i="42"/>
  <c r="R81" i="42"/>
  <c r="R69" i="42"/>
  <c r="R64" i="42"/>
  <c r="R61" i="42"/>
  <c r="R56" i="42"/>
  <c r="R53" i="42"/>
  <c r="R100" i="42"/>
  <c r="R91" i="42"/>
  <c r="R105" i="42"/>
  <c r="R94" i="42"/>
  <c r="R90" i="42"/>
  <c r="R83" i="42"/>
  <c r="R66" i="42"/>
  <c r="R63" i="42"/>
  <c r="R89" i="42"/>
  <c r="R73" i="42"/>
  <c r="R70" i="42"/>
  <c r="R68" i="42"/>
  <c r="R40" i="42"/>
  <c r="R36" i="42"/>
  <c r="R28" i="42"/>
  <c r="R26" i="42"/>
  <c r="P24" i="42"/>
  <c r="R95" i="42"/>
  <c r="R60" i="42"/>
  <c r="R55" i="42"/>
  <c r="R52" i="42"/>
  <c r="R51" i="42"/>
  <c r="R47" i="42"/>
  <c r="R44" i="42"/>
  <c r="R39" i="42"/>
  <c r="R35" i="42"/>
  <c r="R78" i="42"/>
  <c r="R59" i="42"/>
  <c r="R50" i="42"/>
  <c r="R38" i="42"/>
  <c r="R34" i="42"/>
  <c r="R27" i="42"/>
  <c r="R22" i="42"/>
  <c r="R98" i="42"/>
  <c r="R72" i="42"/>
  <c r="R54" i="42"/>
  <c r="R37" i="42"/>
  <c r="R32" i="42"/>
  <c r="X12" i="42"/>
  <c r="R58" i="42"/>
  <c r="R49" i="42"/>
  <c r="R43" i="42"/>
  <c r="R31" i="42"/>
  <c r="R20" i="42"/>
  <c r="R88" i="42"/>
  <c r="R76" i="42"/>
  <c r="R74" i="42"/>
  <c r="R67" i="42"/>
  <c r="R65" i="42"/>
  <c r="R62" i="42"/>
  <c r="R57" i="42"/>
  <c r="R42" i="42"/>
  <c r="R30" i="42"/>
  <c r="R103" i="42"/>
  <c r="R93" i="42"/>
  <c r="R86" i="42"/>
  <c r="R82" i="42"/>
  <c r="R80" i="42"/>
  <c r="R48" i="42"/>
  <c r="R45" i="42"/>
  <c r="R41" i="42"/>
  <c r="R29" i="42"/>
  <c r="R96" i="42"/>
  <c r="R21" i="42"/>
  <c r="R46" i="42"/>
  <c r="R33" i="42"/>
  <c r="R114" i="39"/>
  <c r="H27" i="33"/>
  <c r="N18" i="33"/>
  <c r="V104" i="42"/>
  <c r="V98" i="42"/>
  <c r="V86" i="42"/>
  <c r="V82" i="42"/>
  <c r="V78" i="42"/>
  <c r="V74" i="42"/>
  <c r="V70" i="42"/>
  <c r="V110" i="42"/>
  <c r="V100" i="42"/>
  <c r="V92" i="42"/>
  <c r="V84" i="42"/>
  <c r="V76" i="42"/>
  <c r="V105" i="42"/>
  <c r="V91" i="42"/>
  <c r="V83" i="42"/>
  <c r="V63" i="42"/>
  <c r="V55" i="42"/>
  <c r="V47" i="42"/>
  <c r="V94" i="42"/>
  <c r="V90" i="42"/>
  <c r="V103" i="42"/>
  <c r="V93" i="42"/>
  <c r="V89" i="42"/>
  <c r="V73" i="42"/>
  <c r="V65" i="42"/>
  <c r="V106" i="42"/>
  <c r="V96" i="42"/>
  <c r="V88" i="42"/>
  <c r="V80" i="42"/>
  <c r="V72" i="42"/>
  <c r="V68" i="42"/>
  <c r="V60" i="42"/>
  <c r="V59" i="42"/>
  <c r="V56" i="42"/>
  <c r="V52" i="42"/>
  <c r="V51" i="42"/>
  <c r="V50" i="42"/>
  <c r="V39" i="42"/>
  <c r="V35" i="42"/>
  <c r="V27" i="42"/>
  <c r="V97" i="42"/>
  <c r="V77" i="42"/>
  <c r="V46" i="42"/>
  <c r="V38" i="42"/>
  <c r="V34" i="42"/>
  <c r="V22" i="42"/>
  <c r="V87" i="42"/>
  <c r="V71" i="42"/>
  <c r="V37" i="42"/>
  <c r="V33" i="42"/>
  <c r="V21" i="42"/>
  <c r="V79" i="42"/>
  <c r="V67" i="42"/>
  <c r="V58" i="42"/>
  <c r="V57" i="42"/>
  <c r="V53" i="42"/>
  <c r="V49" i="42"/>
  <c r="V43" i="42"/>
  <c r="V31" i="42"/>
  <c r="V85" i="42"/>
  <c r="V81" i="42"/>
  <c r="V62" i="42"/>
  <c r="V61" i="42"/>
  <c r="V48" i="42"/>
  <c r="V42" i="42"/>
  <c r="V30" i="42"/>
  <c r="V26" i="42"/>
  <c r="V24" i="42"/>
  <c r="V99" i="42"/>
  <c r="V69" i="42"/>
  <c r="V64" i="42"/>
  <c r="V45" i="42"/>
  <c r="V41" i="42"/>
  <c r="V29" i="42"/>
  <c r="T24" i="42"/>
  <c r="V95" i="42"/>
  <c r="V75" i="42"/>
  <c r="V66" i="42"/>
  <c r="V44" i="42"/>
  <c r="V40" i="42"/>
  <c r="V36" i="42"/>
  <c r="V28" i="42"/>
  <c r="V101" i="42"/>
  <c r="V20" i="42"/>
  <c r="Z12" i="42"/>
  <c r="V32" i="42"/>
  <c r="V54" i="42"/>
  <c r="P27" i="29"/>
  <c r="X18" i="29"/>
  <c r="N164" i="34"/>
  <c r="L164" i="34"/>
  <c r="L18" i="26"/>
  <c r="P31" i="30"/>
  <c r="H86" i="31"/>
  <c r="J32" i="31"/>
  <c r="X18" i="22"/>
  <c r="P27" i="22"/>
  <c r="T36" i="40"/>
  <c r="Z36" i="40" s="1"/>
  <c r="Z31" i="40"/>
  <c r="D31" i="23"/>
  <c r="D36" i="24"/>
  <c r="X18" i="20"/>
  <c r="X18" i="13"/>
  <c r="P27" i="13"/>
  <c r="H22" i="6"/>
  <c r="N16" i="6"/>
  <c r="X18" i="10"/>
  <c r="P27" i="10"/>
  <c r="T31" i="14"/>
  <c r="Z27" i="14"/>
  <c r="H119" i="25"/>
  <c r="L27" i="7"/>
  <c r="D31" i="7"/>
  <c r="X228" i="12"/>
  <c r="Z228" i="12" s="1"/>
  <c r="J162" i="3"/>
  <c r="Z63" i="97"/>
  <c r="T30" i="89"/>
  <c r="Z16" i="89"/>
  <c r="X18" i="87"/>
  <c r="Z18" i="87" s="1"/>
  <c r="P28" i="87"/>
  <c r="N18" i="72"/>
  <c r="H32" i="72"/>
  <c r="P101" i="62"/>
  <c r="X18" i="62"/>
  <c r="V49" i="90"/>
  <c r="V47" i="90"/>
  <c r="V43" i="90"/>
  <c r="V31" i="90"/>
  <c r="V15" i="90"/>
  <c r="V42" i="90"/>
  <c r="V34" i="90"/>
  <c r="V26" i="90"/>
  <c r="V37" i="90"/>
  <c r="V33" i="90"/>
  <c r="V25" i="90"/>
  <c r="V36" i="90"/>
  <c r="V28" i="90"/>
  <c r="V24" i="90"/>
  <c r="V20" i="90"/>
  <c r="V18" i="90"/>
  <c r="Z12" i="90"/>
  <c r="V38" i="90"/>
  <c r="V30" i="90"/>
  <c r="V22" i="90"/>
  <c r="V54" i="90"/>
  <c r="V51" i="90"/>
  <c r="V41" i="90"/>
  <c r="V29" i="90"/>
  <c r="V21" i="90"/>
  <c r="V45" i="90"/>
  <c r="T18" i="90"/>
  <c r="X18" i="90" s="1"/>
  <c r="V40" i="90"/>
  <c r="V27" i="90"/>
  <c r="V32" i="90"/>
  <c r="V23" i="90"/>
  <c r="V39" i="90"/>
  <c r="V35" i="90"/>
  <c r="V16" i="90"/>
  <c r="R44" i="84"/>
  <c r="R37" i="84"/>
  <c r="R32" i="84"/>
  <c r="R29" i="84"/>
  <c r="R24" i="84"/>
  <c r="R21" i="84"/>
  <c r="R16" i="84"/>
  <c r="R31" i="84"/>
  <c r="R26" i="84"/>
  <c r="R23" i="84"/>
  <c r="R15" i="84"/>
  <c r="R41" i="84"/>
  <c r="R35" i="84"/>
  <c r="R28" i="84"/>
  <c r="R25" i="84"/>
  <c r="X12" i="84"/>
  <c r="Z12" i="84" s="1"/>
  <c r="R30" i="84"/>
  <c r="R27" i="84"/>
  <c r="R22" i="84"/>
  <c r="R20" i="84"/>
  <c r="P18" i="84"/>
  <c r="R33" i="84"/>
  <c r="R18" i="84"/>
  <c r="R39" i="84"/>
  <c r="J83" i="85"/>
  <c r="J79" i="85"/>
  <c r="J71" i="85"/>
  <c r="J76" i="85"/>
  <c r="J70" i="85"/>
  <c r="J81" i="85"/>
  <c r="J84" i="85"/>
  <c r="J78" i="85"/>
  <c r="J88" i="85"/>
  <c r="J80" i="85"/>
  <c r="J74" i="85"/>
  <c r="J68" i="85"/>
  <c r="J63" i="85"/>
  <c r="J59" i="85"/>
  <c r="J51" i="85"/>
  <c r="J45" i="85"/>
  <c r="J75" i="85"/>
  <c r="J62" i="85"/>
  <c r="J56" i="85"/>
  <c r="J48" i="85"/>
  <c r="J42" i="85"/>
  <c r="J34" i="85"/>
  <c r="J30" i="85"/>
  <c r="J22" i="85"/>
  <c r="J18" i="85"/>
  <c r="J69" i="85"/>
  <c r="J67" i="85"/>
  <c r="J53" i="85"/>
  <c r="J39" i="85"/>
  <c r="J29" i="85"/>
  <c r="J23" i="85"/>
  <c r="J17" i="85"/>
  <c r="J77" i="85"/>
  <c r="J66" i="85"/>
  <c r="J58" i="85"/>
  <c r="J50" i="85"/>
  <c r="J44" i="85"/>
  <c r="J28" i="85"/>
  <c r="J61" i="85"/>
  <c r="J55" i="85"/>
  <c r="J47" i="85"/>
  <c r="J41" i="85"/>
  <c r="J33" i="85"/>
  <c r="J27" i="85"/>
  <c r="J52" i="85"/>
  <c r="J46" i="85"/>
  <c r="J38" i="85"/>
  <c r="J26" i="85"/>
  <c r="J16" i="85"/>
  <c r="J73" i="85"/>
  <c r="J64" i="85"/>
  <c r="J60" i="85"/>
  <c r="J54" i="85"/>
  <c r="J40" i="85"/>
  <c r="J36" i="85"/>
  <c r="J32" i="85"/>
  <c r="J24" i="85"/>
  <c r="J37" i="85"/>
  <c r="J25" i="85"/>
  <c r="J72" i="85"/>
  <c r="J49" i="85"/>
  <c r="J31" i="85"/>
  <c r="H20" i="85"/>
  <c r="J20" i="85" s="1"/>
  <c r="J57" i="85"/>
  <c r="J43" i="85"/>
  <c r="J35" i="85"/>
  <c r="J65" i="85"/>
  <c r="V32" i="78"/>
  <c r="V26" i="78"/>
  <c r="V18" i="78"/>
  <c r="V25" i="78"/>
  <c r="V17" i="78"/>
  <c r="V16" i="78"/>
  <c r="V28" i="78"/>
  <c r="V22" i="78"/>
  <c r="V20" i="78"/>
  <c r="T20" i="78"/>
  <c r="V23" i="78"/>
  <c r="Z12" i="78"/>
  <c r="V24" i="78"/>
  <c r="L18" i="72"/>
  <c r="J141" i="69"/>
  <c r="J135" i="69"/>
  <c r="J127" i="69"/>
  <c r="J123" i="69"/>
  <c r="J117" i="69"/>
  <c r="J111" i="69"/>
  <c r="J105" i="69"/>
  <c r="J91" i="69"/>
  <c r="J79" i="69"/>
  <c r="J71" i="69"/>
  <c r="J63" i="69"/>
  <c r="J57" i="69"/>
  <c r="J146" i="69"/>
  <c r="J138" i="69"/>
  <c r="J134" i="69"/>
  <c r="J130" i="69"/>
  <c r="J126" i="69"/>
  <c r="J120" i="69"/>
  <c r="J114" i="69"/>
  <c r="J108" i="69"/>
  <c r="J102" i="69"/>
  <c r="J96" i="69"/>
  <c r="J90" i="69"/>
  <c r="J78" i="69"/>
  <c r="J70" i="69"/>
  <c r="J62" i="69"/>
  <c r="J133" i="69"/>
  <c r="J129" i="69"/>
  <c r="J113" i="69"/>
  <c r="J101" i="69"/>
  <c r="J89" i="69"/>
  <c r="J77" i="69"/>
  <c r="J69" i="69"/>
  <c r="J61" i="69"/>
  <c r="J144" i="69"/>
  <c r="J140" i="69"/>
  <c r="J132" i="69"/>
  <c r="J122" i="69"/>
  <c r="J116" i="69"/>
  <c r="J110" i="69"/>
  <c r="J104" i="69"/>
  <c r="J100" i="69"/>
  <c r="J88" i="69"/>
  <c r="J84" i="69"/>
  <c r="J76" i="69"/>
  <c r="J68" i="69"/>
  <c r="J60" i="69"/>
  <c r="J147" i="69"/>
  <c r="J137" i="69"/>
  <c r="J125" i="69"/>
  <c r="J119" i="69"/>
  <c r="J107" i="69"/>
  <c r="J99" i="69"/>
  <c r="J95" i="69"/>
  <c r="H84" i="69"/>
  <c r="J75" i="69"/>
  <c r="J67" i="69"/>
  <c r="J59" i="69"/>
  <c r="J142" i="69"/>
  <c r="J128" i="69"/>
  <c r="J118" i="69"/>
  <c r="J112" i="69"/>
  <c r="J106" i="69"/>
  <c r="J98" i="69"/>
  <c r="J94" i="69"/>
  <c r="J86" i="69"/>
  <c r="J82" i="69"/>
  <c r="J74" i="69"/>
  <c r="J66" i="69"/>
  <c r="J58" i="69"/>
  <c r="J151" i="69"/>
  <c r="J145" i="69"/>
  <c r="J139" i="69"/>
  <c r="J131" i="69"/>
  <c r="J121" i="69"/>
  <c r="J115" i="69"/>
  <c r="J109" i="69"/>
  <c r="J103" i="69"/>
  <c r="J97" i="69"/>
  <c r="J93" i="69"/>
  <c r="J87" i="69"/>
  <c r="J81" i="69"/>
  <c r="J73" i="69"/>
  <c r="J65" i="69"/>
  <c r="J136" i="69"/>
  <c r="J124" i="69"/>
  <c r="J92" i="69"/>
  <c r="J80" i="69"/>
  <c r="J72" i="69"/>
  <c r="J64" i="69"/>
  <c r="N12" i="69"/>
  <c r="V44" i="67"/>
  <c r="V36" i="67"/>
  <c r="V28" i="67"/>
  <c r="V54" i="67"/>
  <c r="V43" i="67"/>
  <c r="V35" i="67"/>
  <c r="V27" i="67"/>
  <c r="V23" i="67"/>
  <c r="V21" i="67"/>
  <c r="V38" i="67"/>
  <c r="V26" i="67"/>
  <c r="T21" i="67"/>
  <c r="V48" i="67"/>
  <c r="V45" i="67"/>
  <c r="V37" i="67"/>
  <c r="V25" i="67"/>
  <c r="V57" i="67"/>
  <c r="V46" i="67"/>
  <c r="V40" i="67"/>
  <c r="V32" i="67"/>
  <c r="V24" i="67"/>
  <c r="Z12" i="67"/>
  <c r="V50" i="67"/>
  <c r="V39" i="67"/>
  <c r="V31" i="67"/>
  <c r="V19" i="67"/>
  <c r="V42" i="67"/>
  <c r="V34" i="67"/>
  <c r="V30" i="67"/>
  <c r="V18" i="67"/>
  <c r="V52" i="67"/>
  <c r="V41" i="67"/>
  <c r="V33" i="67"/>
  <c r="V29" i="67"/>
  <c r="N27" i="43"/>
  <c r="H31" i="43"/>
  <c r="V115" i="25"/>
  <c r="V109" i="25"/>
  <c r="V93" i="25"/>
  <c r="V89" i="25"/>
  <c r="V81" i="25"/>
  <c r="V77" i="25"/>
  <c r="V65" i="25"/>
  <c r="V61" i="25"/>
  <c r="V59" i="25"/>
  <c r="V53" i="25"/>
  <c r="V45" i="25"/>
  <c r="V112" i="25"/>
  <c r="V92" i="25"/>
  <c r="V84" i="25"/>
  <c r="V80" i="25"/>
  <c r="V76" i="25"/>
  <c r="V64" i="25"/>
  <c r="T59" i="25"/>
  <c r="V52" i="25"/>
  <c r="V44" i="25"/>
  <c r="V121" i="25"/>
  <c r="V111" i="25"/>
  <c r="V99" i="25"/>
  <c r="V95" i="25"/>
  <c r="V83" i="25"/>
  <c r="V75" i="25"/>
  <c r="V71" i="25"/>
  <c r="V63" i="25"/>
  <c r="V51" i="25"/>
  <c r="V43" i="25"/>
  <c r="V105" i="25"/>
  <c r="V101" i="25"/>
  <c r="V97" i="25"/>
  <c r="V85" i="25"/>
  <c r="V73" i="25"/>
  <c r="V69" i="25"/>
  <c r="V57" i="25"/>
  <c r="V49" i="25"/>
  <c r="V41" i="25"/>
  <c r="V114" i="25"/>
  <c r="V108" i="25"/>
  <c r="V104" i="25"/>
  <c r="V100" i="25"/>
  <c r="V96" i="25"/>
  <c r="V88" i="25"/>
  <c r="V72" i="25"/>
  <c r="V68" i="25"/>
  <c r="V56" i="25"/>
  <c r="V48" i="25"/>
  <c r="V40" i="25"/>
  <c r="V117" i="25"/>
  <c r="V107" i="25"/>
  <c r="V103" i="25"/>
  <c r="V91" i="25"/>
  <c r="V87" i="25"/>
  <c r="V79" i="25"/>
  <c r="V67" i="25"/>
  <c r="V55" i="25"/>
  <c r="V47" i="25"/>
  <c r="V62" i="25"/>
  <c r="V46" i="25"/>
  <c r="V94" i="25"/>
  <c r="V78" i="25"/>
  <c r="V54" i="25"/>
  <c r="V102" i="25"/>
  <c r="V98" i="25"/>
  <c r="V116" i="25"/>
  <c r="V110" i="25"/>
  <c r="V106" i="25"/>
  <c r="V70" i="25"/>
  <c r="V82" i="25"/>
  <c r="V74" i="25"/>
  <c r="V50" i="25"/>
  <c r="V42" i="25"/>
  <c r="V86" i="25"/>
  <c r="V66" i="25"/>
  <c r="V90" i="25"/>
  <c r="D272" i="3"/>
  <c r="L162" i="3"/>
  <c r="H38" i="93"/>
  <c r="N19" i="93"/>
  <c r="J21" i="94"/>
  <c r="D38" i="93"/>
  <c r="L19" i="93"/>
  <c r="V67" i="92"/>
  <c r="V63" i="92"/>
  <c r="V59" i="92"/>
  <c r="V51" i="92"/>
  <c r="V43" i="92"/>
  <c r="V80" i="92"/>
  <c r="V74" i="92"/>
  <c r="V66" i="92"/>
  <c r="V62" i="92"/>
  <c r="V54" i="92"/>
  <c r="V46" i="92"/>
  <c r="V73" i="92"/>
  <c r="V53" i="92"/>
  <c r="V76" i="92"/>
  <c r="V72" i="92"/>
  <c r="V69" i="92"/>
  <c r="V57" i="92"/>
  <c r="V45" i="92"/>
  <c r="V42" i="92"/>
  <c r="V38" i="92"/>
  <c r="V26" i="92"/>
  <c r="T21" i="92"/>
  <c r="V70" i="92"/>
  <c r="V60" i="92"/>
  <c r="V58" i="92"/>
  <c r="V55" i="92"/>
  <c r="V41" i="92"/>
  <c r="V37" i="92"/>
  <c r="V33" i="92"/>
  <c r="V25" i="92"/>
  <c r="V84" i="92"/>
  <c r="V61" i="92"/>
  <c r="V56" i="92"/>
  <c r="V52" i="92"/>
  <c r="V36" i="92"/>
  <c r="V32" i="92"/>
  <c r="V24" i="92"/>
  <c r="Z12" i="92"/>
  <c r="V71" i="92"/>
  <c r="V35" i="92"/>
  <c r="V31" i="92"/>
  <c r="V19" i="92"/>
  <c r="V50" i="92"/>
  <c r="V49" i="92"/>
  <c r="V44" i="92"/>
  <c r="V34" i="92"/>
  <c r="V30" i="92"/>
  <c r="V18" i="92"/>
  <c r="V75" i="92"/>
  <c r="V64" i="92"/>
  <c r="V29" i="92"/>
  <c r="V17" i="92"/>
  <c r="V28" i="92"/>
  <c r="V48" i="92"/>
  <c r="V78" i="92"/>
  <c r="V68" i="92"/>
  <c r="V39" i="92"/>
  <c r="V47" i="92"/>
  <c r="V27" i="92"/>
  <c r="V21" i="92"/>
  <c r="V77" i="92"/>
  <c r="V65" i="92"/>
  <c r="V23" i="92"/>
  <c r="V40" i="92"/>
  <c r="F76" i="92"/>
  <c r="F72" i="92"/>
  <c r="F59" i="92"/>
  <c r="F56" i="92"/>
  <c r="F51" i="92"/>
  <c r="F48" i="92"/>
  <c r="F80" i="92"/>
  <c r="F71" i="92"/>
  <c r="F66" i="92"/>
  <c r="F62" i="92"/>
  <c r="F84" i="92"/>
  <c r="F78" i="92"/>
  <c r="F70" i="92"/>
  <c r="F58" i="92"/>
  <c r="F53" i="92"/>
  <c r="F69" i="92"/>
  <c r="F65" i="92"/>
  <c r="F61" i="92"/>
  <c r="F50" i="92"/>
  <c r="F44" i="92"/>
  <c r="F35" i="92"/>
  <c r="F31" i="92"/>
  <c r="D21" i="92"/>
  <c r="F19" i="92"/>
  <c r="F73" i="92"/>
  <c r="F67" i="92"/>
  <c r="F41" i="92"/>
  <c r="F30" i="92"/>
  <c r="F18" i="92"/>
  <c r="F75" i="92"/>
  <c r="F74" i="92"/>
  <c r="F68" i="92"/>
  <c r="F29" i="92"/>
  <c r="F24" i="92"/>
  <c r="F23" i="92"/>
  <c r="F77" i="92"/>
  <c r="F49" i="92"/>
  <c r="F43" i="92"/>
  <c r="F40" i="92"/>
  <c r="F28" i="92"/>
  <c r="F60" i="92"/>
  <c r="F39" i="92"/>
  <c r="F34" i="92"/>
  <c r="F27" i="92"/>
  <c r="F63" i="92"/>
  <c r="F47" i="92"/>
  <c r="F42" i="92"/>
  <c r="F38" i="92"/>
  <c r="F26" i="92"/>
  <c r="F17" i="92"/>
  <c r="F55" i="92"/>
  <c r="F37" i="92"/>
  <c r="F52" i="92"/>
  <c r="F25" i="92"/>
  <c r="L12" i="92"/>
  <c r="N12" i="92" s="1"/>
  <c r="F64" i="92"/>
  <c r="F57" i="92"/>
  <c r="F32" i="92"/>
  <c r="F54" i="92"/>
  <c r="F36" i="92"/>
  <c r="F45" i="92"/>
  <c r="F33" i="92"/>
  <c r="F46" i="92"/>
  <c r="F21" i="92"/>
  <c r="N29" i="88"/>
  <c r="L29" i="88"/>
  <c r="H70" i="86"/>
  <c r="N17" i="86"/>
  <c r="T74" i="86"/>
  <c r="N16" i="81"/>
  <c r="H80" i="81"/>
  <c r="L18" i="84"/>
  <c r="D37" i="84"/>
  <c r="T36" i="80"/>
  <c r="R20" i="78"/>
  <c r="D111" i="77"/>
  <c r="J70" i="73"/>
  <c r="J62" i="73"/>
  <c r="J84" i="73"/>
  <c r="J77" i="73"/>
  <c r="J67" i="73"/>
  <c r="J55" i="73"/>
  <c r="J49" i="73"/>
  <c r="J39" i="73"/>
  <c r="J72" i="73"/>
  <c r="J66" i="73"/>
  <c r="J54" i="73"/>
  <c r="J46" i="73"/>
  <c r="J38" i="73"/>
  <c r="J34" i="73"/>
  <c r="H23" i="73"/>
  <c r="J69" i="73"/>
  <c r="J65" i="73"/>
  <c r="J61" i="73"/>
  <c r="J57" i="73"/>
  <c r="J51" i="73"/>
  <c r="J43" i="73"/>
  <c r="J37" i="73"/>
  <c r="J33" i="73"/>
  <c r="J25" i="73"/>
  <c r="J21" i="73"/>
  <c r="J81" i="73"/>
  <c r="J75" i="73"/>
  <c r="J71" i="73"/>
  <c r="J63" i="73"/>
  <c r="J59" i="73"/>
  <c r="J53" i="73"/>
  <c r="J45" i="73"/>
  <c r="J31" i="73"/>
  <c r="J19" i="73"/>
  <c r="J68" i="73"/>
  <c r="J56" i="73"/>
  <c r="J50" i="73"/>
  <c r="J42" i="73"/>
  <c r="J36" i="73"/>
  <c r="J30" i="73"/>
  <c r="J79" i="73"/>
  <c r="J58" i="73"/>
  <c r="J64" i="73"/>
  <c r="J26" i="73"/>
  <c r="J23" i="73"/>
  <c r="J47" i="73"/>
  <c r="J44" i="73"/>
  <c r="J60" i="73"/>
  <c r="J52" i="73"/>
  <c r="J32" i="73"/>
  <c r="J27" i="73"/>
  <c r="J48" i="73"/>
  <c r="J28" i="73"/>
  <c r="J18" i="73"/>
  <c r="J35" i="73"/>
  <c r="J29" i="73"/>
  <c r="N12" i="73"/>
  <c r="J73" i="73"/>
  <c r="J41" i="73"/>
  <c r="J40" i="73"/>
  <c r="J20" i="73"/>
  <c r="T84" i="79"/>
  <c r="J106" i="77"/>
  <c r="J100" i="77"/>
  <c r="J96" i="77"/>
  <c r="J92" i="77"/>
  <c r="J88" i="77"/>
  <c r="J82" i="77"/>
  <c r="J74" i="77"/>
  <c r="J64" i="77"/>
  <c r="J60" i="77"/>
  <c r="H49" i="77"/>
  <c r="J40" i="77"/>
  <c r="J103" i="77"/>
  <c r="J99" i="77"/>
  <c r="J95" i="77"/>
  <c r="J91" i="77"/>
  <c r="J87" i="77"/>
  <c r="J79" i="77"/>
  <c r="J71" i="77"/>
  <c r="J63" i="77"/>
  <c r="J59" i="77"/>
  <c r="J51" i="77"/>
  <c r="J47" i="77"/>
  <c r="J39" i="77"/>
  <c r="J109" i="77"/>
  <c r="J105" i="77"/>
  <c r="J81" i="77"/>
  <c r="J73" i="77"/>
  <c r="J57" i="77"/>
  <c r="J45" i="77"/>
  <c r="J102" i="77"/>
  <c r="J94" i="77"/>
  <c r="J90" i="77"/>
  <c r="J86" i="77"/>
  <c r="J78" i="77"/>
  <c r="J70" i="77"/>
  <c r="J56" i="77"/>
  <c r="J44" i="77"/>
  <c r="J38" i="77"/>
  <c r="N12" i="77"/>
  <c r="J104" i="77"/>
  <c r="J80" i="77"/>
  <c r="J72" i="77"/>
  <c r="J66" i="77"/>
  <c r="J54" i="77"/>
  <c r="J42" i="77"/>
  <c r="J97" i="77"/>
  <c r="J68" i="77"/>
  <c r="J76" i="77"/>
  <c r="J67" i="77"/>
  <c r="J58" i="77"/>
  <c r="J98" i="77"/>
  <c r="J84" i="77"/>
  <c r="J75" i="77"/>
  <c r="J55" i="77"/>
  <c r="J52" i="77"/>
  <c r="J41" i="77"/>
  <c r="J83" i="77"/>
  <c r="J69" i="77"/>
  <c r="J107" i="77"/>
  <c r="J85" i="77"/>
  <c r="J53" i="77"/>
  <c r="J43" i="77"/>
  <c r="J62" i="77"/>
  <c r="J101" i="77"/>
  <c r="J46" i="77"/>
  <c r="J65" i="77"/>
  <c r="J93" i="77"/>
  <c r="J61" i="77"/>
  <c r="J77" i="77"/>
  <c r="J113" i="77"/>
  <c r="J89" i="77"/>
  <c r="Z98" i="71"/>
  <c r="L12" i="73"/>
  <c r="F52" i="67"/>
  <c r="F46" i="67"/>
  <c r="F25" i="67"/>
  <c r="F50" i="67"/>
  <c r="F48" i="67"/>
  <c r="F43" i="67"/>
  <c r="F40" i="67"/>
  <c r="F35" i="67"/>
  <c r="F32" i="67"/>
  <c r="F21" i="67"/>
  <c r="L12" i="67"/>
  <c r="F31" i="67"/>
  <c r="D21" i="67"/>
  <c r="F19" i="67"/>
  <c r="F45" i="67"/>
  <c r="F42" i="67"/>
  <c r="F37" i="67"/>
  <c r="F34" i="67"/>
  <c r="F30" i="67"/>
  <c r="F54" i="67"/>
  <c r="F29" i="67"/>
  <c r="F24" i="67"/>
  <c r="F23" i="67"/>
  <c r="F44" i="67"/>
  <c r="F39" i="67"/>
  <c r="F36" i="67"/>
  <c r="F28" i="67"/>
  <c r="F27" i="67"/>
  <c r="F18" i="67"/>
  <c r="F57" i="67"/>
  <c r="F41" i="67"/>
  <c r="F38" i="67"/>
  <c r="F33" i="67"/>
  <c r="F26" i="67"/>
  <c r="F111" i="66"/>
  <c r="F108" i="66"/>
  <c r="F104" i="66"/>
  <c r="F88" i="66"/>
  <c r="F68" i="66"/>
  <c r="F56" i="66"/>
  <c r="F48" i="66"/>
  <c r="F116" i="66"/>
  <c r="F107" i="66"/>
  <c r="F94" i="66"/>
  <c r="F91" i="66"/>
  <c r="F82" i="66"/>
  <c r="F79" i="66"/>
  <c r="F67" i="66"/>
  <c r="F62" i="66"/>
  <c r="F61" i="66"/>
  <c r="F55" i="66"/>
  <c r="F47" i="66"/>
  <c r="F110" i="66"/>
  <c r="F90" i="66"/>
  <c r="F85" i="66"/>
  <c r="F78" i="66"/>
  <c r="F66" i="66"/>
  <c r="F54" i="66"/>
  <c r="F46" i="66"/>
  <c r="F114" i="66"/>
  <c r="F100" i="66"/>
  <c r="F96" i="66"/>
  <c r="F93" i="66"/>
  <c r="F81" i="66"/>
  <c r="F77" i="66"/>
  <c r="F72" i="66"/>
  <c r="F65" i="66"/>
  <c r="F53" i="66"/>
  <c r="F45" i="66"/>
  <c r="F40" i="66"/>
  <c r="F117" i="66"/>
  <c r="F112" i="66"/>
  <c r="F103" i="66"/>
  <c r="F87" i="66"/>
  <c r="F84" i="66"/>
  <c r="F76" i="66"/>
  <c r="F64" i="66"/>
  <c r="F52" i="66"/>
  <c r="F44" i="66"/>
  <c r="L12" i="66"/>
  <c r="N12" i="66" s="1"/>
  <c r="F121" i="66"/>
  <c r="F106" i="66"/>
  <c r="F99" i="66"/>
  <c r="F95" i="66"/>
  <c r="F83" i="66"/>
  <c r="F75" i="66"/>
  <c r="F71" i="66"/>
  <c r="F63" i="66"/>
  <c r="F51" i="66"/>
  <c r="F43" i="66"/>
  <c r="F115" i="66"/>
  <c r="F109" i="66"/>
  <c r="F102" i="66"/>
  <c r="F98" i="66"/>
  <c r="F89" i="66"/>
  <c r="F86" i="66"/>
  <c r="F74" i="66"/>
  <c r="F70" i="66"/>
  <c r="F50" i="66"/>
  <c r="F42" i="66"/>
  <c r="F105" i="66"/>
  <c r="F101" i="66"/>
  <c r="F97" i="66"/>
  <c r="F92" i="66"/>
  <c r="F80" i="66"/>
  <c r="F73" i="66"/>
  <c r="F69" i="66"/>
  <c r="D59" i="66"/>
  <c r="F57" i="66"/>
  <c r="F49" i="66"/>
  <c r="F41" i="66"/>
  <c r="D47" i="60"/>
  <c r="L16" i="60"/>
  <c r="D60" i="59"/>
  <c r="L56" i="59"/>
  <c r="P67" i="56"/>
  <c r="X16" i="56"/>
  <c r="N16" i="57"/>
  <c r="H62" i="57"/>
  <c r="L18" i="49"/>
  <c r="D27" i="49"/>
  <c r="T27" i="46"/>
  <c r="Z18" i="46"/>
  <c r="T27" i="53"/>
  <c r="X27" i="53" s="1"/>
  <c r="Z18" i="53"/>
  <c r="X18" i="53"/>
  <c r="H27" i="53"/>
  <c r="N18" i="53"/>
  <c r="P103" i="51"/>
  <c r="P31" i="47"/>
  <c r="Z113" i="36"/>
  <c r="H27" i="30"/>
  <c r="N18" i="30"/>
  <c r="X18" i="27"/>
  <c r="P27" i="27"/>
  <c r="X18" i="26"/>
  <c r="P27" i="26"/>
  <c r="T31" i="26"/>
  <c r="Z27" i="26"/>
  <c r="L114" i="25"/>
  <c r="N114" i="25" s="1"/>
  <c r="F115" i="25"/>
  <c r="F109" i="25"/>
  <c r="F102" i="25"/>
  <c r="F98" i="25"/>
  <c r="F89" i="25"/>
  <c r="F86" i="25"/>
  <c r="F74" i="25"/>
  <c r="F70" i="25"/>
  <c r="F50" i="25"/>
  <c r="F42" i="25"/>
  <c r="F105" i="25"/>
  <c r="F101" i="25"/>
  <c r="F97" i="25"/>
  <c r="F92" i="25"/>
  <c r="F80" i="25"/>
  <c r="F73" i="25"/>
  <c r="F69" i="25"/>
  <c r="D59" i="25"/>
  <c r="F57" i="25"/>
  <c r="F49" i="25"/>
  <c r="F41" i="25"/>
  <c r="F111" i="25"/>
  <c r="F108" i="25"/>
  <c r="F104" i="25"/>
  <c r="F88" i="25"/>
  <c r="F68" i="25"/>
  <c r="F56" i="25"/>
  <c r="F48" i="25"/>
  <c r="F110" i="25"/>
  <c r="F90" i="25"/>
  <c r="F85" i="25"/>
  <c r="F78" i="25"/>
  <c r="F66" i="25"/>
  <c r="F54" i="25"/>
  <c r="F46" i="25"/>
  <c r="F114" i="25"/>
  <c r="F100" i="25"/>
  <c r="F96" i="25"/>
  <c r="F93" i="25"/>
  <c r="F81" i="25"/>
  <c r="F77" i="25"/>
  <c r="F72" i="25"/>
  <c r="F65" i="25"/>
  <c r="F53" i="25"/>
  <c r="F45" i="25"/>
  <c r="F40" i="25"/>
  <c r="F117" i="25"/>
  <c r="F112" i="25"/>
  <c r="F103" i="25"/>
  <c r="F87" i="25"/>
  <c r="F84" i="25"/>
  <c r="F76" i="25"/>
  <c r="F64" i="25"/>
  <c r="F52" i="25"/>
  <c r="F44" i="25"/>
  <c r="F107" i="25"/>
  <c r="F106" i="25"/>
  <c r="F71" i="25"/>
  <c r="F121" i="25"/>
  <c r="F116" i="25"/>
  <c r="F75" i="25"/>
  <c r="F51" i="25"/>
  <c r="F43" i="25"/>
  <c r="F83" i="25"/>
  <c r="F82" i="25"/>
  <c r="F61" i="25"/>
  <c r="F67" i="25"/>
  <c r="F91" i="25"/>
  <c r="L12" i="25"/>
  <c r="N12" i="25" s="1"/>
  <c r="F47" i="25"/>
  <c r="F79" i="25"/>
  <c r="F63" i="25"/>
  <c r="F62" i="25"/>
  <c r="F55" i="25"/>
  <c r="F99" i="25"/>
  <c r="F95" i="25"/>
  <c r="F94" i="25"/>
  <c r="X18" i="30"/>
  <c r="D31" i="26"/>
  <c r="L18" i="20"/>
  <c r="D27" i="20"/>
  <c r="P31" i="16"/>
  <c r="H27" i="13"/>
  <c r="N18" i="13"/>
  <c r="P36" i="4"/>
  <c r="L18" i="8"/>
  <c r="D27" i="8"/>
  <c r="T90" i="9"/>
  <c r="Z16" i="9"/>
  <c r="Z22" i="6"/>
  <c r="T26" i="6"/>
  <c r="J242" i="18"/>
  <c r="L18" i="5"/>
  <c r="D27" i="5"/>
  <c r="T27" i="98"/>
  <c r="Z18" i="98"/>
  <c r="N76" i="81"/>
  <c r="T79" i="76"/>
  <c r="L32" i="72"/>
  <c r="D36" i="72"/>
  <c r="F88" i="71"/>
  <c r="F85" i="71"/>
  <c r="F95" i="71"/>
  <c r="F92" i="71"/>
  <c r="F76" i="71"/>
  <c r="F71" i="71"/>
  <c r="F60" i="71"/>
  <c r="F55" i="71"/>
  <c r="F54" i="71"/>
  <c r="F48" i="71"/>
  <c r="F40" i="71"/>
  <c r="F100" i="71"/>
  <c r="F91" i="71"/>
  <c r="F87" i="71"/>
  <c r="F82" i="71"/>
  <c r="F79" i="71"/>
  <c r="F59" i="71"/>
  <c r="F47" i="71"/>
  <c r="F39" i="71"/>
  <c r="F94" i="71"/>
  <c r="F90" i="71"/>
  <c r="F78" i="71"/>
  <c r="F98" i="71"/>
  <c r="F89" i="71"/>
  <c r="F84" i="71"/>
  <c r="F81" i="71"/>
  <c r="F69" i="71"/>
  <c r="F57" i="71"/>
  <c r="F45" i="71"/>
  <c r="F37" i="71"/>
  <c r="F101" i="71"/>
  <c r="F96" i="71"/>
  <c r="F75" i="71"/>
  <c r="F72" i="71"/>
  <c r="F68" i="71"/>
  <c r="F64" i="71"/>
  <c r="F56" i="71"/>
  <c r="F44" i="71"/>
  <c r="L12" i="71"/>
  <c r="N12" i="71" s="1"/>
  <c r="F105" i="71"/>
  <c r="F86" i="71"/>
  <c r="F83" i="71"/>
  <c r="F67" i="71"/>
  <c r="F63" i="71"/>
  <c r="F43" i="71"/>
  <c r="F99" i="71"/>
  <c r="F93" i="71"/>
  <c r="F77" i="71"/>
  <c r="F74" i="71"/>
  <c r="F66" i="71"/>
  <c r="F62" i="71"/>
  <c r="D52" i="71"/>
  <c r="F50" i="71"/>
  <c r="F42" i="71"/>
  <c r="F49" i="71"/>
  <c r="F41" i="71"/>
  <c r="F58" i="71"/>
  <c r="F70" i="71"/>
  <c r="F61" i="71"/>
  <c r="F36" i="71"/>
  <c r="F65" i="71"/>
  <c r="F46" i="71"/>
  <c r="F38" i="71"/>
  <c r="F80" i="71"/>
  <c r="F73" i="71"/>
  <c r="P47" i="60"/>
  <c r="X16" i="60"/>
  <c r="D53" i="61"/>
  <c r="L50" i="61"/>
  <c r="H27" i="52"/>
  <c r="N18" i="52"/>
  <c r="L18" i="98"/>
  <c r="D27" i="98"/>
  <c r="T24" i="96"/>
  <c r="Z16" i="96"/>
  <c r="D87" i="94"/>
  <c r="L21" i="94"/>
  <c r="N21" i="94" s="1"/>
  <c r="X84" i="69"/>
  <c r="Z84" i="69" s="1"/>
  <c r="P149" i="69"/>
  <c r="P62" i="57"/>
  <c r="X16" i="57"/>
  <c r="V101" i="51"/>
  <c r="V99" i="51"/>
  <c r="V93" i="51"/>
  <c r="V96" i="51"/>
  <c r="V105" i="51"/>
  <c r="V95" i="51"/>
  <c r="V98" i="51"/>
  <c r="V90" i="51"/>
  <c r="V86" i="51"/>
  <c r="V78" i="51"/>
  <c r="V70" i="51"/>
  <c r="V58" i="51"/>
  <c r="V54" i="51"/>
  <c r="V46" i="51"/>
  <c r="V38" i="51"/>
  <c r="V89" i="51"/>
  <c r="V81" i="51"/>
  <c r="V77" i="51"/>
  <c r="V69" i="51"/>
  <c r="V57" i="51"/>
  <c r="T52" i="51"/>
  <c r="V45" i="51"/>
  <c r="V37" i="51"/>
  <c r="V100" i="51"/>
  <c r="V88" i="51"/>
  <c r="V80" i="51"/>
  <c r="V72" i="51"/>
  <c r="V68" i="51"/>
  <c r="V64" i="51"/>
  <c r="V56" i="51"/>
  <c r="V44" i="51"/>
  <c r="V36" i="51"/>
  <c r="Z12" i="51"/>
  <c r="V94" i="51"/>
  <c r="V83" i="51"/>
  <c r="V71" i="51"/>
  <c r="V67" i="51"/>
  <c r="V63" i="51"/>
  <c r="V55" i="51"/>
  <c r="V43" i="51"/>
  <c r="V82" i="51"/>
  <c r="V74" i="51"/>
  <c r="V66" i="51"/>
  <c r="V62" i="51"/>
  <c r="V50" i="51"/>
  <c r="V42" i="51"/>
  <c r="V85" i="51"/>
  <c r="V73" i="51"/>
  <c r="V65" i="51"/>
  <c r="V61" i="51"/>
  <c r="V49" i="51"/>
  <c r="V41" i="51"/>
  <c r="V92" i="51"/>
  <c r="V84" i="51"/>
  <c r="V76" i="51"/>
  <c r="V60" i="51"/>
  <c r="V48" i="51"/>
  <c r="V40" i="51"/>
  <c r="V91" i="51"/>
  <c r="V87" i="51"/>
  <c r="V39" i="51"/>
  <c r="V79" i="51"/>
  <c r="V75" i="51"/>
  <c r="V59" i="51"/>
  <c r="V47" i="51"/>
  <c r="H27" i="27"/>
  <c r="N18" i="27"/>
  <c r="F84" i="21"/>
  <c r="F80" i="21"/>
  <c r="F72" i="21"/>
  <c r="F99" i="21"/>
  <c r="F93" i="21"/>
  <c r="F88" i="21"/>
  <c r="F77" i="21"/>
  <c r="F71" i="21"/>
  <c r="F68" i="21"/>
  <c r="F70" i="21"/>
  <c r="F65" i="21"/>
  <c r="F64" i="21"/>
  <c r="F61" i="21"/>
  <c r="F58" i="21"/>
  <c r="F38" i="21"/>
  <c r="F33" i="21"/>
  <c r="F32" i="21"/>
  <c r="F26" i="21"/>
  <c r="F79" i="21"/>
  <c r="F78" i="21"/>
  <c r="F76" i="21"/>
  <c r="F75" i="21"/>
  <c r="F73" i="21"/>
  <c r="F57" i="21"/>
  <c r="F52" i="21"/>
  <c r="F49" i="21"/>
  <c r="F37" i="21"/>
  <c r="F74" i="21"/>
  <c r="F63" i="21"/>
  <c r="F60" i="21"/>
  <c r="F48" i="21"/>
  <c r="F43" i="21"/>
  <c r="F36" i="21"/>
  <c r="F62" i="21"/>
  <c r="F46" i="21"/>
  <c r="F42" i="21"/>
  <c r="F34" i="21"/>
  <c r="F25" i="21"/>
  <c r="F95" i="21"/>
  <c r="F92" i="21"/>
  <c r="F91" i="21"/>
  <c r="F89" i="21"/>
  <c r="F56" i="21"/>
  <c r="F53" i="21"/>
  <c r="F45" i="21"/>
  <c r="F41" i="21"/>
  <c r="F90" i="21"/>
  <c r="F87" i="21"/>
  <c r="F85" i="21"/>
  <c r="F67" i="21"/>
  <c r="F59" i="21"/>
  <c r="F44" i="21"/>
  <c r="F40" i="21"/>
  <c r="D30" i="21"/>
  <c r="F28" i="21"/>
  <c r="L12" i="21"/>
  <c r="N12" i="21" s="1"/>
  <c r="F83" i="21"/>
  <c r="F35" i="21"/>
  <c r="F86" i="21"/>
  <c r="F50" i="21"/>
  <c r="F69" i="21"/>
  <c r="F66" i="21"/>
  <c r="F47" i="21"/>
  <c r="F27" i="21"/>
  <c r="F82" i="21"/>
  <c r="F54" i="21"/>
  <c r="F51" i="21"/>
  <c r="F39" i="21"/>
  <c r="F81" i="21"/>
  <c r="F55" i="21"/>
  <c r="H27" i="100"/>
  <c r="N18" i="100"/>
  <c r="T27" i="100"/>
  <c r="X27" i="100" s="1"/>
  <c r="Z18" i="100"/>
  <c r="P31" i="100"/>
  <c r="D66" i="97"/>
  <c r="F21" i="95"/>
  <c r="H66" i="97"/>
  <c r="N17" i="97"/>
  <c r="P83" i="95"/>
  <c r="X21" i="95"/>
  <c r="F19" i="93"/>
  <c r="N18" i="90"/>
  <c r="H47" i="90"/>
  <c r="P38" i="93"/>
  <c r="X19" i="93"/>
  <c r="X17" i="86"/>
  <c r="Z17" i="86" s="1"/>
  <c r="P70" i="86"/>
  <c r="H35" i="82"/>
  <c r="L35" i="82" s="1"/>
  <c r="N16" i="82"/>
  <c r="T86" i="85"/>
  <c r="Z20" i="85"/>
  <c r="H38" i="83"/>
  <c r="N16" i="83"/>
  <c r="X16" i="82"/>
  <c r="P35" i="82"/>
  <c r="X12" i="78"/>
  <c r="D28" i="87"/>
  <c r="L18" i="87"/>
  <c r="R105" i="77"/>
  <c r="R102" i="77"/>
  <c r="R94" i="77"/>
  <c r="R90" i="77"/>
  <c r="R86" i="77"/>
  <c r="R81" i="77"/>
  <c r="R78" i="77"/>
  <c r="R73" i="77"/>
  <c r="R70" i="77"/>
  <c r="R57" i="77"/>
  <c r="R45" i="77"/>
  <c r="R38" i="77"/>
  <c r="R97" i="77"/>
  <c r="R61" i="77"/>
  <c r="R56" i="77"/>
  <c r="R44" i="77"/>
  <c r="X12" i="77"/>
  <c r="R66" i="77"/>
  <c r="R54" i="77"/>
  <c r="R42" i="77"/>
  <c r="R106" i="77"/>
  <c r="R101" i="77"/>
  <c r="R93" i="77"/>
  <c r="R89" i="77"/>
  <c r="R85" i="77"/>
  <c r="R82" i="77"/>
  <c r="R77" i="77"/>
  <c r="R74" i="77"/>
  <c r="R69" i="77"/>
  <c r="R65" i="77"/>
  <c r="R53" i="77"/>
  <c r="R51" i="77"/>
  <c r="P49" i="77"/>
  <c r="R49" i="77" s="1"/>
  <c r="R41" i="77"/>
  <c r="R103" i="77"/>
  <c r="R99" i="77"/>
  <c r="R95" i="77"/>
  <c r="R91" i="77"/>
  <c r="R87" i="77"/>
  <c r="R84" i="77"/>
  <c r="R79" i="77"/>
  <c r="R76" i="77"/>
  <c r="R71" i="77"/>
  <c r="R68" i="77"/>
  <c r="R63" i="77"/>
  <c r="R59" i="77"/>
  <c r="R52" i="77"/>
  <c r="R47" i="77"/>
  <c r="R39" i="77"/>
  <c r="R92" i="77"/>
  <c r="R88" i="77"/>
  <c r="R83" i="77"/>
  <c r="R64" i="77"/>
  <c r="R113" i="77"/>
  <c r="R46" i="77"/>
  <c r="R109" i="77"/>
  <c r="R107" i="77"/>
  <c r="R43" i="77"/>
  <c r="R100" i="77"/>
  <c r="R62" i="77"/>
  <c r="R60" i="77"/>
  <c r="R80" i="77"/>
  <c r="R67" i="77"/>
  <c r="R58" i="77"/>
  <c r="R40" i="77"/>
  <c r="R104" i="77"/>
  <c r="R72" i="77"/>
  <c r="R96" i="77"/>
  <c r="R98" i="77"/>
  <c r="R75" i="77"/>
  <c r="R55" i="77"/>
  <c r="V68" i="73"/>
  <c r="V64" i="73"/>
  <c r="V60" i="73"/>
  <c r="V71" i="73"/>
  <c r="V63" i="73"/>
  <c r="V59" i="73"/>
  <c r="V47" i="73"/>
  <c r="V70" i="73"/>
  <c r="V62" i="73"/>
  <c r="V58" i="73"/>
  <c r="V50" i="73"/>
  <c r="V42" i="73"/>
  <c r="V30" i="73"/>
  <c r="V18" i="73"/>
  <c r="V79" i="73"/>
  <c r="V73" i="73"/>
  <c r="V49" i="73"/>
  <c r="V41" i="73"/>
  <c r="V29" i="73"/>
  <c r="V25" i="73"/>
  <c r="V67" i="73"/>
  <c r="V55" i="73"/>
  <c r="V51" i="73"/>
  <c r="V43" i="73"/>
  <c r="V39" i="73"/>
  <c r="V35" i="73"/>
  <c r="V27" i="73"/>
  <c r="V66" i="73"/>
  <c r="V54" i="73"/>
  <c r="V46" i="73"/>
  <c r="V38" i="73"/>
  <c r="V34" i="73"/>
  <c r="V26" i="73"/>
  <c r="V72" i="73"/>
  <c r="V69" i="73"/>
  <c r="V65" i="73"/>
  <c r="V52" i="73"/>
  <c r="V48" i="73"/>
  <c r="V28" i="73"/>
  <c r="V61" i="73"/>
  <c r="V36" i="73"/>
  <c r="V20" i="73"/>
  <c r="V19" i="73"/>
  <c r="V75" i="73"/>
  <c r="V45" i="73"/>
  <c r="V40" i="73"/>
  <c r="V37" i="73"/>
  <c r="V21" i="73"/>
  <c r="Z12" i="73"/>
  <c r="V56" i="73"/>
  <c r="V57" i="73"/>
  <c r="T23" i="73"/>
  <c r="V53" i="73"/>
  <c r="V44" i="73"/>
  <c r="V33" i="73"/>
  <c r="V32" i="73"/>
  <c r="V31" i="73"/>
  <c r="J81" i="76"/>
  <c r="J75" i="76"/>
  <c r="J72" i="76"/>
  <c r="J50" i="76"/>
  <c r="J74" i="76"/>
  <c r="J68" i="76"/>
  <c r="J71" i="76"/>
  <c r="J67" i="76"/>
  <c r="J49" i="76"/>
  <c r="J83" i="76"/>
  <c r="J77" i="76"/>
  <c r="J79" i="76"/>
  <c r="J66" i="76"/>
  <c r="J64" i="76"/>
  <c r="J52" i="76"/>
  <c r="J40" i="76"/>
  <c r="J34" i="76"/>
  <c r="J30" i="76"/>
  <c r="J22" i="76"/>
  <c r="J18" i="76"/>
  <c r="J65" i="76"/>
  <c r="J63" i="76"/>
  <c r="J51" i="76"/>
  <c r="J46" i="76"/>
  <c r="J37" i="76"/>
  <c r="J33" i="76"/>
  <c r="J29" i="76"/>
  <c r="J23" i="76"/>
  <c r="J17" i="76"/>
  <c r="J86" i="76"/>
  <c r="J62" i="76"/>
  <c r="J60" i="76"/>
  <c r="J59" i="76"/>
  <c r="J58" i="76"/>
  <c r="J42" i="76"/>
  <c r="J28" i="76"/>
  <c r="J70" i="76"/>
  <c r="J61" i="76"/>
  <c r="J56" i="76"/>
  <c r="J45" i="76"/>
  <c r="J39" i="76"/>
  <c r="J27" i="76"/>
  <c r="J73" i="76"/>
  <c r="J69" i="76"/>
  <c r="J54" i="76"/>
  <c r="J48" i="76"/>
  <c r="J41" i="76"/>
  <c r="J25" i="76"/>
  <c r="J53" i="76"/>
  <c r="J44" i="76"/>
  <c r="J38" i="76"/>
  <c r="J24" i="76"/>
  <c r="J20" i="76"/>
  <c r="N12" i="76"/>
  <c r="J26" i="76"/>
  <c r="J16" i="76"/>
  <c r="H20" i="76"/>
  <c r="L20" i="76" s="1"/>
  <c r="J57" i="76"/>
  <c r="J47" i="76"/>
  <c r="J36" i="76"/>
  <c r="J32" i="76"/>
  <c r="J43" i="76"/>
  <c r="J35" i="76"/>
  <c r="J31" i="76"/>
  <c r="J55" i="76"/>
  <c r="V96" i="71"/>
  <c r="V88" i="71"/>
  <c r="V105" i="71"/>
  <c r="V95" i="71"/>
  <c r="V83" i="71"/>
  <c r="V71" i="71"/>
  <c r="V67" i="71"/>
  <c r="V63" i="71"/>
  <c r="V55" i="71"/>
  <c r="V43" i="71"/>
  <c r="V100" i="71"/>
  <c r="V82" i="71"/>
  <c r="V74" i="71"/>
  <c r="V66" i="71"/>
  <c r="V62" i="71"/>
  <c r="V50" i="71"/>
  <c r="V42" i="71"/>
  <c r="V85" i="71"/>
  <c r="V98" i="71"/>
  <c r="V92" i="71"/>
  <c r="V84" i="71"/>
  <c r="V76" i="71"/>
  <c r="V60" i="71"/>
  <c r="V48" i="71"/>
  <c r="V40" i="71"/>
  <c r="V101" i="71"/>
  <c r="V91" i="71"/>
  <c r="V87" i="71"/>
  <c r="V79" i="71"/>
  <c r="V75" i="71"/>
  <c r="V59" i="71"/>
  <c r="V47" i="71"/>
  <c r="V39" i="71"/>
  <c r="V94" i="71"/>
  <c r="V90" i="71"/>
  <c r="V86" i="71"/>
  <c r="V78" i="71"/>
  <c r="V70" i="71"/>
  <c r="V58" i="71"/>
  <c r="V54" i="71"/>
  <c r="V52" i="71"/>
  <c r="V46" i="71"/>
  <c r="V38" i="71"/>
  <c r="V99" i="71"/>
  <c r="V93" i="71"/>
  <c r="V89" i="71"/>
  <c r="V81" i="71"/>
  <c r="V77" i="71"/>
  <c r="V69" i="71"/>
  <c r="V57" i="71"/>
  <c r="T52" i="71"/>
  <c r="V45" i="71"/>
  <c r="V37" i="71"/>
  <c r="Z12" i="71"/>
  <c r="V65" i="71"/>
  <c r="V61" i="71"/>
  <c r="V44" i="71"/>
  <c r="V80" i="71"/>
  <c r="V73" i="71"/>
  <c r="V56" i="71"/>
  <c r="V64" i="71"/>
  <c r="V72" i="71"/>
  <c r="V68" i="71"/>
  <c r="V49" i="71"/>
  <c r="V41" i="71"/>
  <c r="V36" i="71"/>
  <c r="J73" i="70"/>
  <c r="J65" i="70"/>
  <c r="J61" i="70"/>
  <c r="J71" i="70"/>
  <c r="J67" i="70"/>
  <c r="J78" i="70"/>
  <c r="J70" i="70"/>
  <c r="J64" i="70"/>
  <c r="J60" i="70"/>
  <c r="J54" i="70"/>
  <c r="J81" i="70"/>
  <c r="J75" i="70"/>
  <c r="J69" i="70"/>
  <c r="J57" i="70"/>
  <c r="J51" i="70"/>
  <c r="J66" i="70"/>
  <c r="J56" i="70"/>
  <c r="J59" i="70"/>
  <c r="J58" i="70"/>
  <c r="J46" i="70"/>
  <c r="J34" i="70"/>
  <c r="J85" i="70"/>
  <c r="J80" i="70"/>
  <c r="J45" i="70"/>
  <c r="J41" i="70"/>
  <c r="H30" i="70"/>
  <c r="J30" i="70" s="1"/>
  <c r="J72" i="70"/>
  <c r="J48" i="70"/>
  <c r="J44" i="70"/>
  <c r="J40" i="70"/>
  <c r="J32" i="70"/>
  <c r="J28" i="70"/>
  <c r="J77" i="70"/>
  <c r="J76" i="70"/>
  <c r="J68" i="70"/>
  <c r="J43" i="70"/>
  <c r="J39" i="70"/>
  <c r="J33" i="70"/>
  <c r="J53" i="70"/>
  <c r="J38" i="70"/>
  <c r="J62" i="70"/>
  <c r="J55" i="70"/>
  <c r="J50" i="70"/>
  <c r="J47" i="70"/>
  <c r="J37" i="70"/>
  <c r="J27" i="70"/>
  <c r="J52" i="70"/>
  <c r="J42" i="70"/>
  <c r="J36" i="70"/>
  <c r="J74" i="70"/>
  <c r="J63" i="70"/>
  <c r="J49" i="70"/>
  <c r="J35" i="70"/>
  <c r="P83" i="70"/>
  <c r="X30" i="70"/>
  <c r="V84" i="69"/>
  <c r="T119" i="66"/>
  <c r="Z59" i="66"/>
  <c r="H59" i="65"/>
  <c r="N22" i="65"/>
  <c r="X16" i="59"/>
  <c r="P56" i="59"/>
  <c r="L46" i="61"/>
  <c r="N46" i="61" s="1"/>
  <c r="T60" i="59"/>
  <c r="D27" i="46"/>
  <c r="L18" i="46"/>
  <c r="R59" i="66"/>
  <c r="X27" i="50"/>
  <c r="P31" i="50"/>
  <c r="L98" i="51"/>
  <c r="N98" i="51" s="1"/>
  <c r="F90" i="45"/>
  <c r="F78" i="45"/>
  <c r="F74" i="45"/>
  <c r="F70" i="45"/>
  <c r="F66" i="45"/>
  <c r="F38" i="45"/>
  <c r="F34" i="45"/>
  <c r="F23" i="45"/>
  <c r="F89" i="45"/>
  <c r="F84" i="45"/>
  <c r="F77" i="45"/>
  <c r="F69" i="45"/>
  <c r="F65" i="45"/>
  <c r="F60" i="45"/>
  <c r="F57" i="45"/>
  <c r="F52" i="45"/>
  <c r="F49" i="45"/>
  <c r="F44" i="45"/>
  <c r="F37" i="45"/>
  <c r="F33" i="45"/>
  <c r="D23" i="45"/>
  <c r="F21" i="45"/>
  <c r="F76" i="45"/>
  <c r="F32" i="45"/>
  <c r="F20" i="45"/>
  <c r="L12" i="45"/>
  <c r="N12" i="45" s="1"/>
  <c r="F86" i="45"/>
  <c r="F83" i="45"/>
  <c r="F62" i="45"/>
  <c r="F59" i="45"/>
  <c r="F54" i="45"/>
  <c r="F51" i="45"/>
  <c r="F46" i="45"/>
  <c r="F43" i="45"/>
  <c r="F31" i="45"/>
  <c r="F26" i="45"/>
  <c r="F25" i="45"/>
  <c r="F82" i="45"/>
  <c r="F73" i="45"/>
  <c r="F42" i="45"/>
  <c r="F30" i="45"/>
  <c r="F88" i="45"/>
  <c r="F85" i="45"/>
  <c r="F81" i="45"/>
  <c r="F68" i="45"/>
  <c r="F64" i="45"/>
  <c r="F61" i="45"/>
  <c r="F56" i="45"/>
  <c r="F53" i="45"/>
  <c r="F48" i="45"/>
  <c r="F45" i="45"/>
  <c r="F41" i="45"/>
  <c r="F36" i="45"/>
  <c r="F29" i="45"/>
  <c r="F93" i="45"/>
  <c r="F80" i="45"/>
  <c r="F75" i="45"/>
  <c r="F72" i="45"/>
  <c r="F40" i="45"/>
  <c r="F28" i="45"/>
  <c r="F19" i="45"/>
  <c r="F63" i="45"/>
  <c r="F97" i="45"/>
  <c r="F79" i="45"/>
  <c r="F67" i="45"/>
  <c r="F50" i="45"/>
  <c r="F71" i="45"/>
  <c r="F55" i="45"/>
  <c r="F27" i="45"/>
  <c r="F91" i="45"/>
  <c r="F47" i="45"/>
  <c r="F87" i="45"/>
  <c r="F58" i="45"/>
  <c r="F35" i="45"/>
  <c r="F39" i="45"/>
  <c r="X18" i="47"/>
  <c r="X18" i="38"/>
  <c r="P27" i="38"/>
  <c r="F24" i="42"/>
  <c r="J100" i="42"/>
  <c r="J94" i="42"/>
  <c r="J90" i="42"/>
  <c r="J76" i="42"/>
  <c r="J66" i="42"/>
  <c r="J96" i="42"/>
  <c r="J88" i="42"/>
  <c r="J80" i="42"/>
  <c r="J103" i="42"/>
  <c r="J99" i="42"/>
  <c r="J93" i="42"/>
  <c r="J87" i="42"/>
  <c r="J79" i="42"/>
  <c r="J75" i="42"/>
  <c r="J71" i="42"/>
  <c r="J65" i="42"/>
  <c r="J57" i="42"/>
  <c r="J51" i="42"/>
  <c r="J106" i="42"/>
  <c r="J98" i="42"/>
  <c r="J86" i="42"/>
  <c r="J101" i="42"/>
  <c r="J95" i="42"/>
  <c r="J85" i="42"/>
  <c r="J77" i="42"/>
  <c r="J67" i="42"/>
  <c r="J110" i="42"/>
  <c r="J104" i="42"/>
  <c r="J92" i="42"/>
  <c r="J84" i="42"/>
  <c r="J74" i="42"/>
  <c r="J64" i="42"/>
  <c r="J81" i="42"/>
  <c r="J63" i="42"/>
  <c r="J58" i="42"/>
  <c r="J49" i="42"/>
  <c r="J43" i="42"/>
  <c r="J37" i="42"/>
  <c r="J31" i="42"/>
  <c r="J69" i="42"/>
  <c r="J62" i="42"/>
  <c r="J61" i="42"/>
  <c r="J53" i="42"/>
  <c r="J42" i="42"/>
  <c r="J30" i="42"/>
  <c r="J20" i="42"/>
  <c r="J89" i="42"/>
  <c r="J83" i="42"/>
  <c r="J82" i="42"/>
  <c r="J68" i="42"/>
  <c r="J48" i="42"/>
  <c r="J45" i="42"/>
  <c r="J41" i="42"/>
  <c r="J29" i="42"/>
  <c r="J97" i="42"/>
  <c r="J60" i="42"/>
  <c r="J52" i="42"/>
  <c r="J47" i="42"/>
  <c r="J39" i="42"/>
  <c r="J35" i="42"/>
  <c r="H24" i="42"/>
  <c r="J105" i="42"/>
  <c r="J78" i="42"/>
  <c r="J59" i="42"/>
  <c r="J55" i="42"/>
  <c r="J44" i="42"/>
  <c r="J38" i="42"/>
  <c r="J34" i="42"/>
  <c r="J26" i="42"/>
  <c r="J22" i="42"/>
  <c r="J50" i="42"/>
  <c r="J33" i="42"/>
  <c r="J27" i="42"/>
  <c r="J21" i="42"/>
  <c r="J91" i="42"/>
  <c r="J73" i="42"/>
  <c r="J72" i="42"/>
  <c r="J54" i="42"/>
  <c r="J46" i="42"/>
  <c r="J32" i="42"/>
  <c r="N12" i="42"/>
  <c r="J28" i="42"/>
  <c r="J70" i="42"/>
  <c r="J36" i="42"/>
  <c r="J40" i="42"/>
  <c r="J24" i="42"/>
  <c r="J56" i="42"/>
  <c r="D36" i="37"/>
  <c r="V116" i="36"/>
  <c r="V102" i="36"/>
  <c r="V98" i="36"/>
  <c r="V74" i="36"/>
  <c r="V66" i="36"/>
  <c r="V58" i="36"/>
  <c r="V54" i="36"/>
  <c r="V46" i="36"/>
  <c r="V34" i="36"/>
  <c r="V109" i="36"/>
  <c r="V105" i="36"/>
  <c r="V97" i="36"/>
  <c r="V114" i="36"/>
  <c r="V108" i="36"/>
  <c r="V104" i="36"/>
  <c r="V96" i="36"/>
  <c r="V88" i="36"/>
  <c r="V80" i="36"/>
  <c r="V76" i="36"/>
  <c r="V68" i="36"/>
  <c r="V60" i="36"/>
  <c r="V48" i="36"/>
  <c r="V44" i="36"/>
  <c r="V32" i="36"/>
  <c r="T27" i="36"/>
  <c r="V27" i="36" s="1"/>
  <c r="V120" i="36"/>
  <c r="V110" i="36"/>
  <c r="V106" i="36"/>
  <c r="V94" i="36"/>
  <c r="V90" i="36"/>
  <c r="V86" i="36"/>
  <c r="V82" i="36"/>
  <c r="V78" i="36"/>
  <c r="V70" i="36"/>
  <c r="V62" i="36"/>
  <c r="V50" i="36"/>
  <c r="V42" i="36"/>
  <c r="V38" i="36"/>
  <c r="V30" i="36"/>
  <c r="V115" i="36"/>
  <c r="V101" i="36"/>
  <c r="V93" i="36"/>
  <c r="V89" i="36"/>
  <c r="V85" i="36"/>
  <c r="V77" i="36"/>
  <c r="V69" i="36"/>
  <c r="V61" i="36"/>
  <c r="V100" i="36"/>
  <c r="V92" i="36"/>
  <c r="V84" i="36"/>
  <c r="V72" i="36"/>
  <c r="V64" i="36"/>
  <c r="V56" i="36"/>
  <c r="V52" i="36"/>
  <c r="V40" i="36"/>
  <c r="V36" i="36"/>
  <c r="V24" i="36"/>
  <c r="V113" i="36"/>
  <c r="V103" i="36"/>
  <c r="V99" i="36"/>
  <c r="V71" i="36"/>
  <c r="V63" i="36"/>
  <c r="V55" i="36"/>
  <c r="V47" i="36"/>
  <c r="V35" i="36"/>
  <c r="V23" i="36"/>
  <c r="V111" i="36"/>
  <c r="V73" i="36"/>
  <c r="V95" i="36"/>
  <c r="V51" i="36"/>
  <c r="V31" i="36"/>
  <c r="V87" i="36"/>
  <c r="V75" i="36"/>
  <c r="V57" i="36"/>
  <c r="V41" i="36"/>
  <c r="V37" i="36"/>
  <c r="V25" i="36"/>
  <c r="V53" i="36"/>
  <c r="V45" i="36"/>
  <c r="V29" i="36"/>
  <c r="V107" i="36"/>
  <c r="V91" i="36"/>
  <c r="V79" i="36"/>
  <c r="V65" i="36"/>
  <c r="V49" i="36"/>
  <c r="V33" i="36"/>
  <c r="Z12" i="36"/>
  <c r="V59" i="36"/>
  <c r="V43" i="36"/>
  <c r="V83" i="36"/>
  <c r="V39" i="36"/>
  <c r="V81" i="36"/>
  <c r="V67" i="36"/>
  <c r="X18" i="44"/>
  <c r="J120" i="36"/>
  <c r="J114" i="36"/>
  <c r="J104" i="36"/>
  <c r="J94" i="36"/>
  <c r="J90" i="36"/>
  <c r="J86" i="36"/>
  <c r="J78" i="36"/>
  <c r="J70" i="36"/>
  <c r="J62" i="36"/>
  <c r="J48" i="36"/>
  <c r="J42" i="36"/>
  <c r="J38" i="36"/>
  <c r="H27" i="36"/>
  <c r="J101" i="36"/>
  <c r="J93" i="36"/>
  <c r="J110" i="36"/>
  <c r="J106" i="36"/>
  <c r="J100" i="36"/>
  <c r="J82" i="36"/>
  <c r="J72" i="36"/>
  <c r="J64" i="36"/>
  <c r="J56" i="36"/>
  <c r="J50" i="36"/>
  <c r="J36" i="36"/>
  <c r="J30" i="36"/>
  <c r="J24" i="36"/>
  <c r="J98" i="36"/>
  <c r="J92" i="36"/>
  <c r="J84" i="36"/>
  <c r="J74" i="36"/>
  <c r="J66" i="36"/>
  <c r="J58" i="36"/>
  <c r="J52" i="36"/>
  <c r="J46" i="36"/>
  <c r="J40" i="36"/>
  <c r="J34" i="36"/>
  <c r="J113" i="36"/>
  <c r="J109" i="36"/>
  <c r="J105" i="36"/>
  <c r="J97" i="36"/>
  <c r="J81" i="36"/>
  <c r="J71" i="36"/>
  <c r="J63" i="36"/>
  <c r="J116" i="36"/>
  <c r="J108" i="36"/>
  <c r="J102" i="36"/>
  <c r="J96" i="36"/>
  <c r="J88" i="36"/>
  <c r="J80" i="36"/>
  <c r="J76" i="36"/>
  <c r="J68" i="36"/>
  <c r="J60" i="36"/>
  <c r="J54" i="36"/>
  <c r="J44" i="36"/>
  <c r="J32" i="36"/>
  <c r="N12" i="36"/>
  <c r="J111" i="36"/>
  <c r="J107" i="36"/>
  <c r="J95" i="36"/>
  <c r="J91" i="36"/>
  <c r="J87" i="36"/>
  <c r="J83" i="36"/>
  <c r="J79" i="36"/>
  <c r="J73" i="36"/>
  <c r="J65" i="36"/>
  <c r="J57" i="36"/>
  <c r="J51" i="36"/>
  <c r="J43" i="36"/>
  <c r="J39" i="36"/>
  <c r="J31" i="36"/>
  <c r="J27" i="36"/>
  <c r="J89" i="36"/>
  <c r="J59" i="36"/>
  <c r="J49" i="36"/>
  <c r="J29" i="36"/>
  <c r="J77" i="36"/>
  <c r="J61" i="36"/>
  <c r="J33" i="36"/>
  <c r="J99" i="36"/>
  <c r="J55" i="36"/>
  <c r="J115" i="36"/>
  <c r="J103" i="36"/>
  <c r="J47" i="36"/>
  <c r="J41" i="36"/>
  <c r="J37" i="36"/>
  <c r="J25" i="36"/>
  <c r="J85" i="36"/>
  <c r="J75" i="36"/>
  <c r="J69" i="36"/>
  <c r="J53" i="36"/>
  <c r="J35" i="36"/>
  <c r="J67" i="36"/>
  <c r="J45" i="36"/>
  <c r="J23" i="36"/>
  <c r="X82" i="31"/>
  <c r="Z82" i="31" s="1"/>
  <c r="V121" i="39"/>
  <c r="V111" i="39"/>
  <c r="V103" i="39"/>
  <c r="V95" i="39"/>
  <c r="V87" i="39"/>
  <c r="V75" i="39"/>
  <c r="V63" i="39"/>
  <c r="V55" i="39"/>
  <c r="V51" i="39"/>
  <c r="V39" i="39"/>
  <c r="V35" i="39"/>
  <c r="V33" i="39"/>
  <c r="V116" i="39"/>
  <c r="V102" i="39"/>
  <c r="V94" i="39"/>
  <c r="V74" i="39"/>
  <c r="V66" i="39"/>
  <c r="V54" i="39"/>
  <c r="V50" i="39"/>
  <c r="V38" i="39"/>
  <c r="T33" i="39"/>
  <c r="V105" i="39"/>
  <c r="V101" i="39"/>
  <c r="V77" i="39"/>
  <c r="V69" i="39"/>
  <c r="V65" i="39"/>
  <c r="V57" i="39"/>
  <c r="V49" i="39"/>
  <c r="V45" i="39"/>
  <c r="V37" i="39"/>
  <c r="V117" i="39"/>
  <c r="V107" i="39"/>
  <c r="V99" i="39"/>
  <c r="V91" i="39"/>
  <c r="V83" i="39"/>
  <c r="V79" i="39"/>
  <c r="V71" i="39"/>
  <c r="V67" i="39"/>
  <c r="V59" i="39"/>
  <c r="V47" i="39"/>
  <c r="V43" i="39"/>
  <c r="V31" i="39"/>
  <c r="V110" i="39"/>
  <c r="V106" i="39"/>
  <c r="V98" i="39"/>
  <c r="V90" i="39"/>
  <c r="V86" i="39"/>
  <c r="V82" i="39"/>
  <c r="V78" i="39"/>
  <c r="V70" i="39"/>
  <c r="V62" i="39"/>
  <c r="V58" i="39"/>
  <c r="V46" i="39"/>
  <c r="V42" i="39"/>
  <c r="V30" i="39"/>
  <c r="V115" i="39"/>
  <c r="V109" i="39"/>
  <c r="V97" i="39"/>
  <c r="V93" i="39"/>
  <c r="V89" i="39"/>
  <c r="V85" i="39"/>
  <c r="V81" i="39"/>
  <c r="V73" i="39"/>
  <c r="V61" i="39"/>
  <c r="V53" i="39"/>
  <c r="V41" i="39"/>
  <c r="V29" i="39"/>
  <c r="V112" i="39"/>
  <c r="V108" i="39"/>
  <c r="V96" i="39"/>
  <c r="V92" i="39"/>
  <c r="V88" i="39"/>
  <c r="V80" i="39"/>
  <c r="V72" i="39"/>
  <c r="V64" i="39"/>
  <c r="V60" i="39"/>
  <c r="V52" i="39"/>
  <c r="V40" i="39"/>
  <c r="V28" i="39"/>
  <c r="Z12" i="39"/>
  <c r="V76" i="39"/>
  <c r="V48" i="39"/>
  <c r="V36" i="39"/>
  <c r="V104" i="39"/>
  <c r="V100" i="39"/>
  <c r="V44" i="39"/>
  <c r="V68" i="39"/>
  <c r="V84" i="39"/>
  <c r="V56" i="39"/>
  <c r="V114" i="39"/>
  <c r="X33" i="39"/>
  <c r="P119" i="39"/>
  <c r="J107" i="39"/>
  <c r="J99" i="39"/>
  <c r="J91" i="39"/>
  <c r="J83" i="39"/>
  <c r="J79" i="39"/>
  <c r="J71" i="39"/>
  <c r="J65" i="39"/>
  <c r="J59" i="39"/>
  <c r="J47" i="39"/>
  <c r="J43" i="39"/>
  <c r="J35" i="39"/>
  <c r="J31" i="39"/>
  <c r="J114" i="39"/>
  <c r="J110" i="39"/>
  <c r="J104" i="39"/>
  <c r="J98" i="39"/>
  <c r="J90" i="39"/>
  <c r="J86" i="39"/>
  <c r="J82" i="39"/>
  <c r="J76" i="39"/>
  <c r="J62" i="39"/>
  <c r="J56" i="39"/>
  <c r="J42" i="39"/>
  <c r="J36" i="39"/>
  <c r="J30" i="39"/>
  <c r="J117" i="39"/>
  <c r="J109" i="39"/>
  <c r="J97" i="39"/>
  <c r="J93" i="39"/>
  <c r="J89" i="39"/>
  <c r="J81" i="39"/>
  <c r="J73" i="39"/>
  <c r="J67" i="39"/>
  <c r="J61" i="39"/>
  <c r="J53" i="39"/>
  <c r="J41" i="39"/>
  <c r="J29" i="39"/>
  <c r="J121" i="39"/>
  <c r="J115" i="39"/>
  <c r="J103" i="39"/>
  <c r="J95" i="39"/>
  <c r="J85" i="39"/>
  <c r="J75" i="39"/>
  <c r="J55" i="39"/>
  <c r="J51" i="39"/>
  <c r="J39" i="39"/>
  <c r="J108" i="39"/>
  <c r="J102" i="39"/>
  <c r="J92" i="39"/>
  <c r="J80" i="39"/>
  <c r="J72" i="39"/>
  <c r="J66" i="39"/>
  <c r="J60" i="39"/>
  <c r="J50" i="39"/>
  <c r="J38" i="39"/>
  <c r="J28" i="39"/>
  <c r="J111" i="39"/>
  <c r="J105" i="39"/>
  <c r="J101" i="39"/>
  <c r="J87" i="39"/>
  <c r="J77" i="39"/>
  <c r="J69" i="39"/>
  <c r="J63" i="39"/>
  <c r="J57" i="39"/>
  <c r="J49" i="39"/>
  <c r="J45" i="39"/>
  <c r="J37" i="39"/>
  <c r="J116" i="39"/>
  <c r="J100" i="39"/>
  <c r="J94" i="39"/>
  <c r="J84" i="39"/>
  <c r="J74" i="39"/>
  <c r="J68" i="39"/>
  <c r="J54" i="39"/>
  <c r="J48" i="39"/>
  <c r="J44" i="39"/>
  <c r="H33" i="39"/>
  <c r="J52" i="39"/>
  <c r="J70" i="39"/>
  <c r="J46" i="39"/>
  <c r="N12" i="39"/>
  <c r="J112" i="39"/>
  <c r="J106" i="39"/>
  <c r="J78" i="39"/>
  <c r="J64" i="39"/>
  <c r="J96" i="39"/>
  <c r="J58" i="39"/>
  <c r="J40" i="39"/>
  <c r="J88" i="39"/>
  <c r="P31" i="24"/>
  <c r="F158" i="28"/>
  <c r="F155" i="28"/>
  <c r="F147" i="28"/>
  <c r="F143" i="28"/>
  <c r="F139" i="28"/>
  <c r="F123" i="28"/>
  <c r="F161" i="28"/>
  <c r="F135" i="28"/>
  <c r="F131" i="28"/>
  <c r="F128" i="28"/>
  <c r="F116" i="28"/>
  <c r="F168" i="28"/>
  <c r="F164" i="28"/>
  <c r="F154" i="28"/>
  <c r="F134" i="28"/>
  <c r="F132" i="28"/>
  <c r="F127" i="28"/>
  <c r="F114" i="28"/>
  <c r="F102" i="28"/>
  <c r="F97" i="28"/>
  <c r="F90" i="28"/>
  <c r="F78" i="28"/>
  <c r="F70" i="28"/>
  <c r="F62" i="28"/>
  <c r="F57" i="28"/>
  <c r="F153" i="28"/>
  <c r="F146" i="28"/>
  <c r="F133" i="28"/>
  <c r="F126" i="28"/>
  <c r="F125" i="28"/>
  <c r="F120" i="28"/>
  <c r="F119" i="28"/>
  <c r="F118" i="28"/>
  <c r="F108" i="28"/>
  <c r="F105" i="28"/>
  <c r="F101" i="28"/>
  <c r="F89" i="28"/>
  <c r="F77" i="28"/>
  <c r="F69" i="28"/>
  <c r="F61" i="28"/>
  <c r="F148" i="28"/>
  <c r="F130" i="28"/>
  <c r="F100" i="28"/>
  <c r="F96" i="28"/>
  <c r="F76" i="28"/>
  <c r="F68" i="28"/>
  <c r="F60" i="28"/>
  <c r="L12" i="28"/>
  <c r="N12" i="28" s="1"/>
  <c r="F159" i="28"/>
  <c r="F142" i="28"/>
  <c r="F140" i="28"/>
  <c r="F129" i="28"/>
  <c r="F113" i="28"/>
  <c r="F98" i="28"/>
  <c r="F94" i="28"/>
  <c r="F82" i="28"/>
  <c r="F74" i="28"/>
  <c r="F66" i="28"/>
  <c r="F58" i="28"/>
  <c r="F162" i="28"/>
  <c r="F157" i="28"/>
  <c r="F141" i="28"/>
  <c r="F138" i="28"/>
  <c r="F122" i="28"/>
  <c r="F109" i="28"/>
  <c r="F104" i="28"/>
  <c r="F93" i="28"/>
  <c r="F88" i="28"/>
  <c r="F87" i="28"/>
  <c r="F81" i="28"/>
  <c r="F73" i="28"/>
  <c r="F65" i="28"/>
  <c r="F156" i="28"/>
  <c r="F136" i="28"/>
  <c r="F112" i="28"/>
  <c r="F92" i="28"/>
  <c r="F80" i="28"/>
  <c r="F72" i="28"/>
  <c r="F64" i="28"/>
  <c r="F137" i="28"/>
  <c r="F107" i="28"/>
  <c r="F149" i="28"/>
  <c r="F103" i="28"/>
  <c r="F67" i="28"/>
  <c r="F95" i="28"/>
  <c r="F79" i="28"/>
  <c r="F150" i="28"/>
  <c r="F144" i="28"/>
  <c r="F115" i="28"/>
  <c r="F151" i="28"/>
  <c r="F145" i="28"/>
  <c r="F111" i="28"/>
  <c r="F99" i="28"/>
  <c r="F83" i="28"/>
  <c r="F63" i="28"/>
  <c r="F163" i="28"/>
  <c r="F124" i="28"/>
  <c r="F110" i="28"/>
  <c r="F91" i="28"/>
  <c r="F71" i="28"/>
  <c r="F152" i="28"/>
  <c r="F117" i="28"/>
  <c r="D85" i="28"/>
  <c r="F75" i="28"/>
  <c r="F121" i="28"/>
  <c r="F106" i="28"/>
  <c r="F59" i="28"/>
  <c r="L18" i="22"/>
  <c r="D27" i="22"/>
  <c r="Z27" i="23"/>
  <c r="T31" i="23"/>
  <c r="R162" i="28"/>
  <c r="R159" i="28"/>
  <c r="R156" i="28"/>
  <c r="R151" i="28"/>
  <c r="R124" i="28"/>
  <c r="R119" i="28"/>
  <c r="R163" i="28"/>
  <c r="R148" i="28"/>
  <c r="R144" i="28"/>
  <c r="R140" i="28"/>
  <c r="R136" i="28"/>
  <c r="R132" i="28"/>
  <c r="R129" i="28"/>
  <c r="R117" i="28"/>
  <c r="R161" i="28"/>
  <c r="R149" i="28"/>
  <c r="R139" i="28"/>
  <c r="R138" i="28"/>
  <c r="R123" i="28"/>
  <c r="R122" i="28"/>
  <c r="R98" i="28"/>
  <c r="R94" i="28"/>
  <c r="R82" i="28"/>
  <c r="R74" i="28"/>
  <c r="R66" i="28"/>
  <c r="R58" i="28"/>
  <c r="R158" i="28"/>
  <c r="R157" i="28"/>
  <c r="R116" i="28"/>
  <c r="R109" i="28"/>
  <c r="R106" i="28"/>
  <c r="R93" i="28"/>
  <c r="R81" i="28"/>
  <c r="R73" i="28"/>
  <c r="R65" i="28"/>
  <c r="R141" i="28"/>
  <c r="R128" i="28"/>
  <c r="R115" i="28"/>
  <c r="R112" i="28"/>
  <c r="R97" i="28"/>
  <c r="R92" i="28"/>
  <c r="R80" i="28"/>
  <c r="R72" i="28"/>
  <c r="R64" i="28"/>
  <c r="R57" i="28"/>
  <c r="R168" i="28"/>
  <c r="R134" i="28"/>
  <c r="R120" i="28"/>
  <c r="R102" i="28"/>
  <c r="R90" i="28"/>
  <c r="R85" i="28"/>
  <c r="R78" i="28"/>
  <c r="R70" i="28"/>
  <c r="R62" i="28"/>
  <c r="R133" i="28"/>
  <c r="R131" i="28"/>
  <c r="R125" i="28"/>
  <c r="R118" i="28"/>
  <c r="R114" i="28"/>
  <c r="R110" i="28"/>
  <c r="R105" i="28"/>
  <c r="R101" i="28"/>
  <c r="R89" i="28"/>
  <c r="R87" i="28"/>
  <c r="P85" i="28"/>
  <c r="R77" i="28"/>
  <c r="R69" i="28"/>
  <c r="R61" i="28"/>
  <c r="R153" i="28"/>
  <c r="R152" i="28"/>
  <c r="R147" i="28"/>
  <c r="R146" i="28"/>
  <c r="R145" i="28"/>
  <c r="R130" i="28"/>
  <c r="R126" i="28"/>
  <c r="R113" i="28"/>
  <c r="R100" i="28"/>
  <c r="R96" i="28"/>
  <c r="R76" i="28"/>
  <c r="R68" i="28"/>
  <c r="R60" i="28"/>
  <c r="X12" i="28"/>
  <c r="Z12" i="28" s="1"/>
  <c r="R154" i="28"/>
  <c r="R150" i="28"/>
  <c r="R79" i="28"/>
  <c r="R164" i="28"/>
  <c r="R111" i="28"/>
  <c r="R99" i="28"/>
  <c r="R88" i="28"/>
  <c r="R83" i="28"/>
  <c r="R155" i="28"/>
  <c r="R63" i="28"/>
  <c r="R142" i="28"/>
  <c r="R127" i="28"/>
  <c r="R91" i="28"/>
  <c r="R71" i="28"/>
  <c r="R121" i="28"/>
  <c r="R75" i="28"/>
  <c r="R59" i="28"/>
  <c r="R137" i="28"/>
  <c r="R107" i="28"/>
  <c r="R143" i="28"/>
  <c r="R108" i="28"/>
  <c r="R67" i="28"/>
  <c r="R103" i="28"/>
  <c r="R104" i="28"/>
  <c r="R135" i="28"/>
  <c r="R95" i="28"/>
  <c r="H27" i="23"/>
  <c r="L27" i="23" s="1"/>
  <c r="N18" i="23"/>
  <c r="H27" i="14"/>
  <c r="N18" i="14"/>
  <c r="L18" i="14"/>
  <c r="F243" i="18"/>
  <c r="F233" i="18"/>
  <c r="F206" i="18"/>
  <c r="F201" i="18"/>
  <c r="F189" i="18"/>
  <c r="F186" i="18"/>
  <c r="F177" i="18"/>
  <c r="F170" i="18"/>
  <c r="F158" i="18"/>
  <c r="F153" i="18"/>
  <c r="F152" i="18"/>
  <c r="F146" i="18"/>
  <c r="F138" i="18"/>
  <c r="F130" i="18"/>
  <c r="F122" i="18"/>
  <c r="F114" i="18"/>
  <c r="F106" i="18"/>
  <c r="F246" i="18"/>
  <c r="F229" i="18"/>
  <c r="F197" i="18"/>
  <c r="F173" i="18"/>
  <c r="F169" i="18"/>
  <c r="F164" i="18"/>
  <c r="F157" i="18"/>
  <c r="F145" i="18"/>
  <c r="F137" i="18"/>
  <c r="F129" i="18"/>
  <c r="F121" i="18"/>
  <c r="F113" i="18"/>
  <c r="F105" i="18"/>
  <c r="F249" i="18"/>
  <c r="F239" i="18"/>
  <c r="F235" i="18"/>
  <c r="F232" i="18"/>
  <c r="F228" i="18"/>
  <c r="F219" i="18"/>
  <c r="F203" i="18"/>
  <c r="F200" i="18"/>
  <c r="F191" i="18"/>
  <c r="F188" i="18"/>
  <c r="F179" i="18"/>
  <c r="F176" i="18"/>
  <c r="F168" i="18"/>
  <c r="F156" i="18"/>
  <c r="F144" i="18"/>
  <c r="F136" i="18"/>
  <c r="F128" i="18"/>
  <c r="F120" i="18"/>
  <c r="F112" i="18"/>
  <c r="F104" i="18"/>
  <c r="F247" i="18"/>
  <c r="F238" i="18"/>
  <c r="F234" i="18"/>
  <c r="F226" i="18"/>
  <c r="F218" i="18"/>
  <c r="F205" i="18"/>
  <c r="F202" i="18"/>
  <c r="F190" i="18"/>
  <c r="F185" i="18"/>
  <c r="F178" i="18"/>
  <c r="F166" i="18"/>
  <c r="F162" i="18"/>
  <c r="F154" i="18"/>
  <c r="F142" i="18"/>
  <c r="F134" i="18"/>
  <c r="F126" i="18"/>
  <c r="F118" i="18"/>
  <c r="F110" i="18"/>
  <c r="F102" i="18"/>
  <c r="F242" i="18"/>
  <c r="F237" i="18"/>
  <c r="F225" i="18"/>
  <c r="F221" i="18"/>
  <c r="F217" i="18"/>
  <c r="F213" i="18"/>
  <c r="F209" i="18"/>
  <c r="F196" i="18"/>
  <c r="F193" i="18"/>
  <c r="F181" i="18"/>
  <c r="F172" i="18"/>
  <c r="F165" i="18"/>
  <c r="F161" i="18"/>
  <c r="F150" i="18"/>
  <c r="F141" i="18"/>
  <c r="F133" i="18"/>
  <c r="F125" i="18"/>
  <c r="F117" i="18"/>
  <c r="F109" i="18"/>
  <c r="F101" i="18"/>
  <c r="F245" i="18"/>
  <c r="F240" i="18"/>
  <c r="F236" i="18"/>
  <c r="F224" i="18"/>
  <c r="F220" i="18"/>
  <c r="F216" i="18"/>
  <c r="F212" i="18"/>
  <c r="F208" i="18"/>
  <c r="F204" i="18"/>
  <c r="F192" i="18"/>
  <c r="F187" i="18"/>
  <c r="F184" i="18"/>
  <c r="F180" i="18"/>
  <c r="F160" i="18"/>
  <c r="D150" i="18"/>
  <c r="F148" i="18"/>
  <c r="F140" i="18"/>
  <c r="F132" i="18"/>
  <c r="F124" i="18"/>
  <c r="F116" i="18"/>
  <c r="F108" i="18"/>
  <c r="F100" i="18"/>
  <c r="F248" i="18"/>
  <c r="F231" i="18"/>
  <c r="F159" i="18"/>
  <c r="F253" i="18"/>
  <c r="F175" i="18"/>
  <c r="F174" i="18"/>
  <c r="F127" i="18"/>
  <c r="F223" i="18"/>
  <c r="F222" i="18"/>
  <c r="F139" i="18"/>
  <c r="F107" i="18"/>
  <c r="F98" i="18"/>
  <c r="F198" i="18"/>
  <c r="F182" i="18"/>
  <c r="F163" i="18"/>
  <c r="F143" i="18"/>
  <c r="F131" i="18"/>
  <c r="F123" i="18"/>
  <c r="F215" i="18"/>
  <c r="F214" i="18"/>
  <c r="F211" i="18"/>
  <c r="F210" i="18"/>
  <c r="F207" i="18"/>
  <c r="F199" i="18"/>
  <c r="F183" i="18"/>
  <c r="F135" i="18"/>
  <c r="F244" i="18"/>
  <c r="F227" i="18"/>
  <c r="F167" i="18"/>
  <c r="F111" i="18"/>
  <c r="L12" i="18"/>
  <c r="N12" i="18" s="1"/>
  <c r="F119" i="18"/>
  <c r="F155" i="18"/>
  <c r="F115" i="18"/>
  <c r="F194" i="18"/>
  <c r="F230" i="18"/>
  <c r="F195" i="18"/>
  <c r="F103" i="18"/>
  <c r="F99" i="18"/>
  <c r="F171" i="18"/>
  <c r="F147" i="18"/>
  <c r="Z27" i="19"/>
  <c r="T31" i="19"/>
  <c r="R81" i="21"/>
  <c r="R89" i="21"/>
  <c r="R85" i="21"/>
  <c r="R73" i="21"/>
  <c r="R95" i="21"/>
  <c r="R84" i="21"/>
  <c r="R80" i="21"/>
  <c r="R72" i="21"/>
  <c r="R69" i="21"/>
  <c r="R64" i="21"/>
  <c r="R83" i="21"/>
  <c r="R62" i="21"/>
  <c r="R59" i="21"/>
  <c r="R46" i="21"/>
  <c r="R42" i="21"/>
  <c r="R34" i="21"/>
  <c r="R32" i="21"/>
  <c r="P30" i="21"/>
  <c r="R93" i="21"/>
  <c r="R92" i="21"/>
  <c r="R90" i="21"/>
  <c r="R68" i="21"/>
  <c r="R67" i="21"/>
  <c r="R53" i="21"/>
  <c r="R50" i="21"/>
  <c r="R45" i="21"/>
  <c r="R41" i="21"/>
  <c r="R99" i="21"/>
  <c r="R91" i="21"/>
  <c r="R88" i="21"/>
  <c r="R61" i="21"/>
  <c r="R44" i="21"/>
  <c r="R40" i="21"/>
  <c r="R33" i="21"/>
  <c r="R28" i="21"/>
  <c r="X12" i="21"/>
  <c r="Z12" i="21" s="1"/>
  <c r="R65" i="21"/>
  <c r="R63" i="21"/>
  <c r="R58" i="21"/>
  <c r="R43" i="21"/>
  <c r="R38" i="21"/>
  <c r="R26" i="21"/>
  <c r="R78" i="21"/>
  <c r="R77" i="21"/>
  <c r="R76" i="21"/>
  <c r="R74" i="21"/>
  <c r="R70" i="21"/>
  <c r="R57" i="21"/>
  <c r="R54" i="21"/>
  <c r="R49" i="21"/>
  <c r="R37" i="21"/>
  <c r="R79" i="21"/>
  <c r="R75" i="21"/>
  <c r="R60" i="21"/>
  <c r="R48" i="21"/>
  <c r="R36" i="21"/>
  <c r="R25" i="21"/>
  <c r="R87" i="21"/>
  <c r="R52" i="21"/>
  <c r="R51" i="21"/>
  <c r="R39" i="21"/>
  <c r="R47" i="21"/>
  <c r="R66" i="21"/>
  <c r="R30" i="21"/>
  <c r="R56" i="21"/>
  <c r="R55" i="21"/>
  <c r="R35" i="21"/>
  <c r="R86" i="21"/>
  <c r="R71" i="21"/>
  <c r="R27" i="21"/>
  <c r="R82" i="21"/>
  <c r="L18" i="19"/>
  <c r="F220" i="15"/>
  <c r="F207" i="15"/>
  <c r="F203" i="15"/>
  <c r="F198" i="15"/>
  <c r="F190" i="15"/>
  <c r="F186" i="15"/>
  <c r="F175" i="15"/>
  <c r="F170" i="15"/>
  <c r="F158" i="15"/>
  <c r="F151" i="15"/>
  <c r="F143" i="15"/>
  <c r="F139" i="15"/>
  <c r="F131" i="15"/>
  <c r="F119" i="15"/>
  <c r="F111" i="15"/>
  <c r="F103" i="15"/>
  <c r="F95" i="15"/>
  <c r="F87" i="15"/>
  <c r="F223" i="15"/>
  <c r="F214" i="15"/>
  <c r="F210" i="15"/>
  <c r="F202" i="15"/>
  <c r="F194" i="15"/>
  <c r="F181" i="15"/>
  <c r="F178" i="15"/>
  <c r="F166" i="15"/>
  <c r="F161" i="15"/>
  <c r="F154" i="15"/>
  <c r="F142" i="15"/>
  <c r="F138" i="15"/>
  <c r="F130" i="15"/>
  <c r="F118" i="15"/>
  <c r="F110" i="15"/>
  <c r="F102" i="15"/>
  <c r="F94" i="15"/>
  <c r="F86" i="15"/>
  <c r="F227" i="15"/>
  <c r="F218" i="15"/>
  <c r="F213" i="15"/>
  <c r="F201" i="15"/>
  <c r="F197" i="15"/>
  <c r="F193" i="15"/>
  <c r="F189" i="15"/>
  <c r="F185" i="15"/>
  <c r="F172" i="15"/>
  <c r="F169" i="15"/>
  <c r="F157" i="15"/>
  <c r="F148" i="15"/>
  <c r="F141" i="15"/>
  <c r="F137" i="15"/>
  <c r="F126" i="15"/>
  <c r="F117" i="15"/>
  <c r="F109" i="15"/>
  <c r="F101" i="15"/>
  <c r="F93" i="15"/>
  <c r="F85" i="15"/>
  <c r="F206" i="15"/>
  <c r="F199" i="15"/>
  <c r="F191" i="15"/>
  <c r="F187" i="15"/>
  <c r="F183" i="15"/>
  <c r="F174" i="15"/>
  <c r="F171" i="15"/>
  <c r="F159" i="15"/>
  <c r="F150" i="15"/>
  <c r="F147" i="15"/>
  <c r="F135" i="15"/>
  <c r="F123" i="15"/>
  <c r="F115" i="15"/>
  <c r="F107" i="15"/>
  <c r="F99" i="15"/>
  <c r="F91" i="15"/>
  <c r="F219" i="15"/>
  <c r="F209" i="15"/>
  <c r="F182" i="15"/>
  <c r="F177" i="15"/>
  <c r="F165" i="15"/>
  <c r="F162" i="15"/>
  <c r="F153" i="15"/>
  <c r="F146" i="15"/>
  <c r="F134" i="15"/>
  <c r="F129" i="15"/>
  <c r="F128" i="15"/>
  <c r="F122" i="15"/>
  <c r="F114" i="15"/>
  <c r="F106" i="15"/>
  <c r="F98" i="15"/>
  <c r="F90" i="15"/>
  <c r="F222" i="15"/>
  <c r="F205" i="15"/>
  <c r="F173" i="15"/>
  <c r="F149" i="15"/>
  <c r="F145" i="15"/>
  <c r="F140" i="15"/>
  <c r="F133" i="15"/>
  <c r="F121" i="15"/>
  <c r="F113" i="15"/>
  <c r="F105" i="15"/>
  <c r="F97" i="15"/>
  <c r="F89" i="15"/>
  <c r="F211" i="15"/>
  <c r="F152" i="15"/>
  <c r="F116" i="15"/>
  <c r="F104" i="15"/>
  <c r="F221" i="15"/>
  <c r="F215" i="15"/>
  <c r="F212" i="15"/>
  <c r="F144" i="15"/>
  <c r="F136" i="15"/>
  <c r="D126" i="15"/>
  <c r="F216" i="15"/>
  <c r="F176" i="15"/>
  <c r="F164" i="15"/>
  <c r="F163" i="15"/>
  <c r="F92" i="15"/>
  <c r="F83" i="15"/>
  <c r="L12" i="15"/>
  <c r="N12" i="15" s="1"/>
  <c r="F204" i="15"/>
  <c r="F188" i="15"/>
  <c r="F184" i="15"/>
  <c r="F84" i="15"/>
  <c r="F208" i="15"/>
  <c r="F192" i="15"/>
  <c r="F179" i="15"/>
  <c r="F155" i="15"/>
  <c r="F108" i="15"/>
  <c r="F100" i="15"/>
  <c r="F195" i="15"/>
  <c r="F180" i="15"/>
  <c r="F160" i="15"/>
  <c r="F156" i="15"/>
  <c r="F120" i="15"/>
  <c r="F196" i="15"/>
  <c r="F167" i="15"/>
  <c r="F132" i="15"/>
  <c r="F88" i="15"/>
  <c r="F96" i="15"/>
  <c r="F112" i="15"/>
  <c r="F200" i="15"/>
  <c r="F168" i="15"/>
  <c r="F124" i="15"/>
  <c r="V228" i="12"/>
  <c r="V218" i="12"/>
  <c r="V214" i="12"/>
  <c r="V190" i="12"/>
  <c r="V182" i="12"/>
  <c r="V170" i="12"/>
  <c r="V231" i="12"/>
  <c r="V217" i="12"/>
  <c r="V213" i="12"/>
  <c r="V185" i="12"/>
  <c r="V181" i="12"/>
  <c r="V173" i="12"/>
  <c r="V161" i="12"/>
  <c r="V157" i="12"/>
  <c r="V149" i="12"/>
  <c r="V145" i="12"/>
  <c r="V137" i="12"/>
  <c r="V125" i="12"/>
  <c r="V117" i="12"/>
  <c r="V109" i="12"/>
  <c r="V101" i="12"/>
  <c r="V93" i="12"/>
  <c r="V224" i="12"/>
  <c r="V220" i="12"/>
  <c r="V216" i="12"/>
  <c r="V212" i="12"/>
  <c r="V204" i="12"/>
  <c r="V232" i="12"/>
  <c r="V226" i="12"/>
  <c r="V222" i="12"/>
  <c r="V210" i="12"/>
  <c r="V206" i="12"/>
  <c r="V202" i="12"/>
  <c r="V198" i="12"/>
  <c r="V194" i="12"/>
  <c r="V186" i="12"/>
  <c r="V178" i="12"/>
  <c r="V174" i="12"/>
  <c r="V166" i="12"/>
  <c r="V162" i="12"/>
  <c r="V154" i="12"/>
  <c r="V142" i="12"/>
  <c r="V130" i="12"/>
  <c r="V122" i="12"/>
  <c r="V114" i="12"/>
  <c r="V106" i="12"/>
  <c r="V98" i="12"/>
  <c r="V90" i="12"/>
  <c r="V225" i="12"/>
  <c r="V221" i="12"/>
  <c r="V209" i="12"/>
  <c r="V205" i="12"/>
  <c r="V201" i="12"/>
  <c r="V197" i="12"/>
  <c r="V193" i="12"/>
  <c r="V189" i="12"/>
  <c r="V177" i="12"/>
  <c r="V169" i="12"/>
  <c r="V165" i="12"/>
  <c r="V153" i="12"/>
  <c r="V141" i="12"/>
  <c r="V129" i="12"/>
  <c r="V121" i="12"/>
  <c r="V113" i="12"/>
  <c r="V105" i="12"/>
  <c r="V230" i="12"/>
  <c r="V208" i="12"/>
  <c r="V200" i="12"/>
  <c r="V196" i="12"/>
  <c r="V192" i="12"/>
  <c r="V188" i="12"/>
  <c r="V180" i="12"/>
  <c r="V168" i="12"/>
  <c r="V156" i="12"/>
  <c r="V152" i="12"/>
  <c r="V140" i="12"/>
  <c r="V128" i="12"/>
  <c r="V120" i="12"/>
  <c r="V112" i="12"/>
  <c r="V223" i="12"/>
  <c r="V207" i="12"/>
  <c r="V187" i="12"/>
  <c r="V167" i="12"/>
  <c r="V135" i="12"/>
  <c r="V131" i="12"/>
  <c r="V126" i="12"/>
  <c r="V116" i="12"/>
  <c r="V110" i="12"/>
  <c r="V104" i="12"/>
  <c r="V103" i="12"/>
  <c r="V91" i="12"/>
  <c r="V229" i="12"/>
  <c r="V203" i="12"/>
  <c r="V160" i="12"/>
  <c r="V151" i="12"/>
  <c r="V147" i="12"/>
  <c r="T133" i="12"/>
  <c r="V133" i="12" s="1"/>
  <c r="V127" i="12"/>
  <c r="V111" i="12"/>
  <c r="V96" i="12"/>
  <c r="V92" i="12"/>
  <c r="V215" i="12"/>
  <c r="V158" i="12"/>
  <c r="V123" i="12"/>
  <c r="V97" i="12"/>
  <c r="V95" i="12"/>
  <c r="V94" i="12"/>
  <c r="Z12" i="12"/>
  <c r="V219" i="12"/>
  <c r="V199" i="12"/>
  <c r="V195" i="12"/>
  <c r="V183" i="12"/>
  <c r="V175" i="12"/>
  <c r="V159" i="12"/>
  <c r="V148" i="12"/>
  <c r="V146" i="12"/>
  <c r="V99" i="12"/>
  <c r="V233" i="12"/>
  <c r="V163" i="12"/>
  <c r="V138" i="12"/>
  <c r="V124" i="12"/>
  <c r="V118" i="12"/>
  <c r="V107" i="12"/>
  <c r="V100" i="12"/>
  <c r="V211" i="12"/>
  <c r="V191" i="12"/>
  <c r="V184" i="12"/>
  <c r="V176" i="12"/>
  <c r="V172" i="12"/>
  <c r="V143" i="12"/>
  <c r="V119" i="12"/>
  <c r="V108" i="12"/>
  <c r="V237" i="12"/>
  <c r="V179" i="12"/>
  <c r="V171" i="12"/>
  <c r="V164" i="12"/>
  <c r="V155" i="12"/>
  <c r="V139" i="12"/>
  <c r="V88" i="12"/>
  <c r="V144" i="12"/>
  <c r="V150" i="12"/>
  <c r="V136" i="12"/>
  <c r="V102" i="12"/>
  <c r="V115" i="12"/>
  <c r="V89" i="12"/>
  <c r="L16" i="6"/>
  <c r="D22" i="6"/>
  <c r="J226" i="12"/>
  <c r="J222" i="12"/>
  <c r="J216" i="12"/>
  <c r="J210" i="12"/>
  <c r="J206" i="12"/>
  <c r="J202" i="12"/>
  <c r="J198" i="12"/>
  <c r="J194" i="12"/>
  <c r="J178" i="12"/>
  <c r="J172" i="12"/>
  <c r="J166" i="12"/>
  <c r="J229" i="12"/>
  <c r="J219" i="12"/>
  <c r="J209" i="12"/>
  <c r="J201" i="12"/>
  <c r="J197" i="12"/>
  <c r="J193" i="12"/>
  <c r="J189" i="12"/>
  <c r="J183" i="12"/>
  <c r="J169" i="12"/>
  <c r="J153" i="12"/>
  <c r="J147" i="12"/>
  <c r="J141" i="12"/>
  <c r="J129" i="12"/>
  <c r="J121" i="12"/>
  <c r="J113" i="12"/>
  <c r="J105" i="12"/>
  <c r="J97" i="12"/>
  <c r="J89" i="12"/>
  <c r="J232" i="12"/>
  <c r="J200" i="12"/>
  <c r="J230" i="12"/>
  <c r="J218" i="12"/>
  <c r="J214" i="12"/>
  <c r="J208" i="12"/>
  <c r="J188" i="12"/>
  <c r="J182" i="12"/>
  <c r="J168" i="12"/>
  <c r="J158" i="12"/>
  <c r="J150" i="12"/>
  <c r="J146" i="12"/>
  <c r="J138" i="12"/>
  <c r="J126" i="12"/>
  <c r="J118" i="12"/>
  <c r="J110" i="12"/>
  <c r="J102" i="12"/>
  <c r="J94" i="12"/>
  <c r="J88" i="12"/>
  <c r="J233" i="12"/>
  <c r="J217" i="12"/>
  <c r="J213" i="12"/>
  <c r="J199" i="12"/>
  <c r="J195" i="12"/>
  <c r="J185" i="12"/>
  <c r="J179" i="12"/>
  <c r="J173" i="12"/>
  <c r="J161" i="12"/>
  <c r="J155" i="12"/>
  <c r="J149" i="12"/>
  <c r="J145" i="12"/>
  <c r="J137" i="12"/>
  <c r="J125" i="12"/>
  <c r="J117" i="12"/>
  <c r="J109" i="12"/>
  <c r="J101" i="12"/>
  <c r="J228" i="12"/>
  <c r="J224" i="12"/>
  <c r="J220" i="12"/>
  <c r="J212" i="12"/>
  <c r="J204" i="12"/>
  <c r="J190" i="12"/>
  <c r="J184" i="12"/>
  <c r="J176" i="12"/>
  <c r="J170" i="12"/>
  <c r="J164" i="12"/>
  <c r="J148" i="12"/>
  <c r="J144" i="12"/>
  <c r="H133" i="12"/>
  <c r="J124" i="12"/>
  <c r="J116" i="12"/>
  <c r="J237" i="12"/>
  <c r="J196" i="12"/>
  <c r="J191" i="12"/>
  <c r="J165" i="12"/>
  <c r="J114" i="12"/>
  <c r="J108" i="12"/>
  <c r="J192" i="12"/>
  <c r="J186" i="12"/>
  <c r="J171" i="12"/>
  <c r="J154" i="12"/>
  <c r="J139" i="12"/>
  <c r="J130" i="12"/>
  <c r="J120" i="12"/>
  <c r="J119" i="12"/>
  <c r="J140" i="12"/>
  <c r="J115" i="12"/>
  <c r="J223" i="12"/>
  <c r="J207" i="12"/>
  <c r="J203" i="12"/>
  <c r="J187" i="12"/>
  <c r="J181" i="12"/>
  <c r="J180" i="12"/>
  <c r="J174" i="12"/>
  <c r="J167" i="12"/>
  <c r="J157" i="12"/>
  <c r="J156" i="12"/>
  <c r="J136" i="12"/>
  <c r="J131" i="12"/>
  <c r="J103" i="12"/>
  <c r="J91" i="12"/>
  <c r="J90" i="12"/>
  <c r="J225" i="12"/>
  <c r="J215" i="12"/>
  <c r="J151" i="12"/>
  <c r="J135" i="12"/>
  <c r="J122" i="12"/>
  <c r="J104" i="12"/>
  <c r="J93" i="12"/>
  <c r="J92" i="12"/>
  <c r="J205" i="12"/>
  <c r="J175" i="12"/>
  <c r="J160" i="12"/>
  <c r="J152" i="12"/>
  <c r="J128" i="12"/>
  <c r="J127" i="12"/>
  <c r="J123" i="12"/>
  <c r="J112" i="12"/>
  <c r="J111" i="12"/>
  <c r="J96" i="12"/>
  <c r="J231" i="12"/>
  <c r="J163" i="12"/>
  <c r="J162" i="12"/>
  <c r="J142" i="12"/>
  <c r="J106" i="12"/>
  <c r="J99" i="12"/>
  <c r="J98" i="12"/>
  <c r="J95" i="12"/>
  <c r="J100" i="12"/>
  <c r="J211" i="12"/>
  <c r="J107" i="12"/>
  <c r="J221" i="12"/>
  <c r="J159" i="12"/>
  <c r="J177" i="12"/>
  <c r="J143" i="12"/>
  <c r="D31" i="16"/>
  <c r="X16" i="9"/>
  <c r="X261" i="3"/>
  <c r="Z261" i="3" s="1"/>
  <c r="T272" i="3"/>
  <c r="F162" i="3"/>
  <c r="X27" i="20"/>
  <c r="P31" i="20"/>
  <c r="L114" i="39"/>
  <c r="N114" i="39" s="1"/>
  <c r="L18" i="30"/>
  <c r="D27" i="30"/>
  <c r="H97" i="21"/>
  <c r="Z27" i="17"/>
  <c r="T31" i="17"/>
  <c r="H27" i="16"/>
  <c r="L27" i="16" s="1"/>
  <c r="N18" i="16"/>
  <c r="V220" i="15"/>
  <c r="V198" i="15"/>
  <c r="V190" i="15"/>
  <c r="V186" i="15"/>
  <c r="V182" i="15"/>
  <c r="V170" i="15"/>
  <c r="V162" i="15"/>
  <c r="V158" i="15"/>
  <c r="V146" i="15"/>
  <c r="V134" i="15"/>
  <c r="V122" i="15"/>
  <c r="V114" i="15"/>
  <c r="V106" i="15"/>
  <c r="V98" i="15"/>
  <c r="V90" i="15"/>
  <c r="V223" i="15"/>
  <c r="V205" i="15"/>
  <c r="V181" i="15"/>
  <c r="V173" i="15"/>
  <c r="V161" i="15"/>
  <c r="V149" i="15"/>
  <c r="V145" i="15"/>
  <c r="V133" i="15"/>
  <c r="V121" i="15"/>
  <c r="V113" i="15"/>
  <c r="V105" i="15"/>
  <c r="V97" i="15"/>
  <c r="V89" i="15"/>
  <c r="V218" i="15"/>
  <c r="V208" i="15"/>
  <c r="V204" i="15"/>
  <c r="V176" i="15"/>
  <c r="V172" i="15"/>
  <c r="V164" i="15"/>
  <c r="V152" i="15"/>
  <c r="V148" i="15"/>
  <c r="V144" i="15"/>
  <c r="V132" i="15"/>
  <c r="V128" i="15"/>
  <c r="V126" i="15"/>
  <c r="V120" i="15"/>
  <c r="V112" i="15"/>
  <c r="V104" i="15"/>
  <c r="V96" i="15"/>
  <c r="V88" i="15"/>
  <c r="V214" i="15"/>
  <c r="V210" i="15"/>
  <c r="V206" i="15"/>
  <c r="V202" i="15"/>
  <c r="V194" i="15"/>
  <c r="V178" i="15"/>
  <c r="V174" i="15"/>
  <c r="V166" i="15"/>
  <c r="V154" i="15"/>
  <c r="V150" i="15"/>
  <c r="V142" i="15"/>
  <c r="V138" i="15"/>
  <c r="V130" i="15"/>
  <c r="V118" i="15"/>
  <c r="V110" i="15"/>
  <c r="V102" i="15"/>
  <c r="V94" i="15"/>
  <c r="V86" i="15"/>
  <c r="V227" i="15"/>
  <c r="V219" i="15"/>
  <c r="V213" i="15"/>
  <c r="V209" i="15"/>
  <c r="V201" i="15"/>
  <c r="V197" i="15"/>
  <c r="V193" i="15"/>
  <c r="V189" i="15"/>
  <c r="V185" i="15"/>
  <c r="V177" i="15"/>
  <c r="V169" i="15"/>
  <c r="V165" i="15"/>
  <c r="V157" i="15"/>
  <c r="V153" i="15"/>
  <c r="V141" i="15"/>
  <c r="V137" i="15"/>
  <c r="V129" i="15"/>
  <c r="V117" i="15"/>
  <c r="V109" i="15"/>
  <c r="V101" i="15"/>
  <c r="V93" i="15"/>
  <c r="V85" i="15"/>
  <c r="V222" i="15"/>
  <c r="V216" i="15"/>
  <c r="V212" i="15"/>
  <c r="V200" i="15"/>
  <c r="V196" i="15"/>
  <c r="V192" i="15"/>
  <c r="V188" i="15"/>
  <c r="V184" i="15"/>
  <c r="V180" i="15"/>
  <c r="V168" i="15"/>
  <c r="V160" i="15"/>
  <c r="V156" i="15"/>
  <c r="V140" i="15"/>
  <c r="V136" i="15"/>
  <c r="V124" i="15"/>
  <c r="V116" i="15"/>
  <c r="V108" i="15"/>
  <c r="V100" i="15"/>
  <c r="V92" i="15"/>
  <c r="V84" i="15"/>
  <c r="Z12" i="15"/>
  <c r="V195" i="15"/>
  <c r="V139" i="15"/>
  <c r="V119" i="15"/>
  <c r="V167" i="15"/>
  <c r="V159" i="15"/>
  <c r="V147" i="15"/>
  <c r="V131" i="15"/>
  <c r="V199" i="15"/>
  <c r="V123" i="15"/>
  <c r="V111" i="15"/>
  <c r="V95" i="15"/>
  <c r="V87" i="15"/>
  <c r="V221" i="15"/>
  <c r="V211" i="15"/>
  <c r="V171" i="15"/>
  <c r="V151" i="15"/>
  <c r="V103" i="15"/>
  <c r="V215" i="15"/>
  <c r="V143" i="15"/>
  <c r="V115" i="15"/>
  <c r="V175" i="15"/>
  <c r="V163" i="15"/>
  <c r="V135" i="15"/>
  <c r="V91" i="15"/>
  <c r="V83" i="15"/>
  <c r="V203" i="15"/>
  <c r="V107" i="15"/>
  <c r="V179" i="15"/>
  <c r="T126" i="15"/>
  <c r="V99" i="15"/>
  <c r="V187" i="15"/>
  <c r="V155" i="15"/>
  <c r="V207" i="15"/>
  <c r="V191" i="15"/>
  <c r="V183" i="15"/>
  <c r="H27" i="24"/>
  <c r="N18" i="24"/>
  <c r="J114" i="25"/>
  <c r="L18" i="4"/>
  <c r="D27" i="4"/>
  <c r="F237" i="12"/>
  <c r="F228" i="12"/>
  <c r="F223" i="12"/>
  <c r="F211" i="12"/>
  <c r="F207" i="12"/>
  <c r="F203" i="12"/>
  <c r="F190" i="12"/>
  <c r="F187" i="12"/>
  <c r="F175" i="12"/>
  <c r="F170" i="12"/>
  <c r="F167" i="12"/>
  <c r="F231" i="12"/>
  <c r="F226" i="12"/>
  <c r="F222" i="12"/>
  <c r="F210" i="12"/>
  <c r="F206" i="12"/>
  <c r="F202" i="12"/>
  <c r="F198" i="12"/>
  <c r="F194" i="12"/>
  <c r="F181" i="12"/>
  <c r="F178" i="12"/>
  <c r="F166" i="12"/>
  <c r="F157" i="12"/>
  <c r="F154" i="12"/>
  <c r="F142" i="12"/>
  <c r="F130" i="12"/>
  <c r="F122" i="12"/>
  <c r="F114" i="12"/>
  <c r="F106" i="12"/>
  <c r="F98" i="12"/>
  <c r="F90" i="12"/>
  <c r="F216" i="12"/>
  <c r="F209" i="12"/>
  <c r="F201" i="12"/>
  <c r="F232" i="12"/>
  <c r="F215" i="12"/>
  <c r="F191" i="12"/>
  <c r="F186" i="12"/>
  <c r="F174" i="12"/>
  <c r="F171" i="12"/>
  <c r="F162" i="12"/>
  <c r="F159" i="12"/>
  <c r="F151" i="12"/>
  <c r="F139" i="12"/>
  <c r="F127" i="12"/>
  <c r="F119" i="12"/>
  <c r="F111" i="12"/>
  <c r="F103" i="12"/>
  <c r="F95" i="12"/>
  <c r="F225" i="12"/>
  <c r="F221" i="12"/>
  <c r="F218" i="12"/>
  <c r="F214" i="12"/>
  <c r="F205" i="12"/>
  <c r="F182" i="12"/>
  <c r="F177" i="12"/>
  <c r="F165" i="12"/>
  <c r="F158" i="12"/>
  <c r="F150" i="12"/>
  <c r="F146" i="12"/>
  <c r="F138" i="12"/>
  <c r="F126" i="12"/>
  <c r="F118" i="12"/>
  <c r="F110" i="12"/>
  <c r="F102" i="12"/>
  <c r="F230" i="12"/>
  <c r="F217" i="12"/>
  <c r="F213" i="12"/>
  <c r="F208" i="12"/>
  <c r="F188" i="12"/>
  <c r="F185" i="12"/>
  <c r="F173" i="12"/>
  <c r="F168" i="12"/>
  <c r="F161" i="12"/>
  <c r="F149" i="12"/>
  <c r="F145" i="12"/>
  <c r="F137" i="12"/>
  <c r="F125" i="12"/>
  <c r="F117" i="12"/>
  <c r="F220" i="12"/>
  <c r="F219" i="12"/>
  <c r="F199" i="12"/>
  <c r="F195" i="12"/>
  <c r="F184" i="12"/>
  <c r="F183" i="12"/>
  <c r="F176" i="12"/>
  <c r="F143" i="12"/>
  <c r="F107" i="12"/>
  <c r="F101" i="12"/>
  <c r="F100" i="12"/>
  <c r="F233" i="12"/>
  <c r="F200" i="12"/>
  <c r="F196" i="12"/>
  <c r="F164" i="12"/>
  <c r="F109" i="12"/>
  <c r="F108" i="12"/>
  <c r="F212" i="12"/>
  <c r="F197" i="12"/>
  <c r="F192" i="12"/>
  <c r="F172" i="12"/>
  <c r="F144" i="12"/>
  <c r="F121" i="12"/>
  <c r="F120" i="12"/>
  <c r="F193" i="12"/>
  <c r="F179" i="12"/>
  <c r="F155" i="12"/>
  <c r="F140" i="12"/>
  <c r="F116" i="12"/>
  <c r="F115" i="12"/>
  <c r="F89" i="12"/>
  <c r="F180" i="12"/>
  <c r="F156" i="12"/>
  <c r="F141" i="12"/>
  <c r="F131" i="12"/>
  <c r="F91" i="12"/>
  <c r="F224" i="12"/>
  <c r="F189" i="12"/>
  <c r="F136" i="12"/>
  <c r="D133" i="12"/>
  <c r="F133" i="12" s="1"/>
  <c r="F105" i="12"/>
  <c r="F104" i="12"/>
  <c r="F94" i="12"/>
  <c r="F93" i="12"/>
  <c r="F92" i="12"/>
  <c r="F88" i="12"/>
  <c r="F229" i="12"/>
  <c r="F204" i="12"/>
  <c r="F169" i="12"/>
  <c r="F152" i="12"/>
  <c r="F148" i="12"/>
  <c r="F135" i="12"/>
  <c r="F128" i="12"/>
  <c r="F123" i="12"/>
  <c r="F113" i="12"/>
  <c r="F112" i="12"/>
  <c r="F97" i="12"/>
  <c r="F96" i="12"/>
  <c r="F153" i="12"/>
  <c r="F129" i="12"/>
  <c r="L12" i="12"/>
  <c r="N12" i="12" s="1"/>
  <c r="F147" i="12"/>
  <c r="F99" i="12"/>
  <c r="F124" i="12"/>
  <c r="F160" i="12"/>
  <c r="F163" i="12"/>
  <c r="L27" i="11"/>
  <c r="D31" i="11"/>
  <c r="H251" i="18"/>
  <c r="H27" i="10"/>
  <c r="N18" i="10"/>
  <c r="P94" i="9"/>
  <c r="X90" i="9"/>
  <c r="H27" i="8"/>
  <c r="N18" i="8"/>
  <c r="T27" i="4"/>
  <c r="Z18" i="4"/>
  <c r="L261" i="3"/>
  <c r="N261" i="3" s="1"/>
  <c r="N27" i="46" l="1"/>
  <c r="H31" i="5"/>
  <c r="N31" i="5" s="1"/>
  <c r="Z27" i="5"/>
  <c r="T31" i="5"/>
  <c r="X31" i="5" s="1"/>
  <c r="L27" i="37"/>
  <c r="N27" i="37"/>
  <c r="Z27" i="99"/>
  <c r="X27" i="99"/>
  <c r="X27" i="14"/>
  <c r="X27" i="40"/>
  <c r="Z27" i="37"/>
  <c r="Z27" i="29"/>
  <c r="T31" i="29"/>
  <c r="P36" i="50"/>
  <c r="X31" i="50"/>
  <c r="P87" i="70"/>
  <c r="X83" i="70"/>
  <c r="R83" i="70"/>
  <c r="D70" i="97"/>
  <c r="L66" i="97"/>
  <c r="F66" i="97"/>
  <c r="L27" i="98"/>
  <c r="D31" i="98"/>
  <c r="T83" i="76"/>
  <c r="P107" i="51"/>
  <c r="R103" i="51"/>
  <c r="P31" i="29"/>
  <c r="X27" i="29"/>
  <c r="X20" i="76"/>
  <c r="Z20" i="76" s="1"/>
  <c r="P79" i="76"/>
  <c r="D31" i="100"/>
  <c r="L27" i="100"/>
  <c r="N27" i="35"/>
  <c r="H31" i="35"/>
  <c r="X20" i="79"/>
  <c r="Z20" i="79" s="1"/>
  <c r="P84" i="79"/>
  <c r="N27" i="40"/>
  <c r="H31" i="40"/>
  <c r="Z27" i="44"/>
  <c r="T31" i="44"/>
  <c r="X27" i="44"/>
  <c r="D84" i="81"/>
  <c r="L80" i="81"/>
  <c r="Z27" i="10"/>
  <c r="T31" i="10"/>
  <c r="D31" i="33"/>
  <c r="L27" i="33"/>
  <c r="D119" i="39"/>
  <c r="L33" i="39"/>
  <c r="N33" i="39" s="1"/>
  <c r="Z27" i="33"/>
  <c r="T31" i="33"/>
  <c r="X31" i="33" s="1"/>
  <c r="T36" i="22"/>
  <c r="Z36" i="22" s="1"/>
  <c r="Z31" i="22"/>
  <c r="T91" i="94"/>
  <c r="V87" i="94"/>
  <c r="H31" i="8"/>
  <c r="N27" i="8"/>
  <c r="T276" i="3"/>
  <c r="V272" i="3"/>
  <c r="H31" i="14"/>
  <c r="L31" i="14" s="1"/>
  <c r="N27" i="14"/>
  <c r="P166" i="28"/>
  <c r="X85" i="28"/>
  <c r="T90" i="85"/>
  <c r="V86" i="85"/>
  <c r="X62" i="57"/>
  <c r="Z62" i="57" s="1"/>
  <c r="P66" i="57"/>
  <c r="D63" i="59"/>
  <c r="H111" i="77"/>
  <c r="T39" i="80"/>
  <c r="H74" i="86"/>
  <c r="T34" i="89"/>
  <c r="D36" i="7"/>
  <c r="L36" i="7" s="1"/>
  <c r="L31" i="7"/>
  <c r="D36" i="23"/>
  <c r="H90" i="31"/>
  <c r="J86" i="31"/>
  <c r="H31" i="32"/>
  <c r="L31" i="32" s="1"/>
  <c r="N27" i="32"/>
  <c r="H88" i="64"/>
  <c r="X87" i="94"/>
  <c r="Z87" i="94" s="1"/>
  <c r="P91" i="94"/>
  <c r="R87" i="94"/>
  <c r="N31" i="22"/>
  <c r="H36" i="22"/>
  <c r="N36" i="22" s="1"/>
  <c r="P36" i="72"/>
  <c r="X32" i="72"/>
  <c r="Z27" i="20"/>
  <c r="T31" i="20"/>
  <c r="X31" i="20" s="1"/>
  <c r="X24" i="96"/>
  <c r="P28" i="96"/>
  <c r="T31" i="30"/>
  <c r="X31" i="30" s="1"/>
  <c r="Z27" i="30"/>
  <c r="T73" i="58"/>
  <c r="P119" i="25"/>
  <c r="X59" i="25"/>
  <c r="H95" i="45"/>
  <c r="P36" i="80"/>
  <c r="X32" i="80"/>
  <c r="Z32" i="80" s="1"/>
  <c r="T70" i="97"/>
  <c r="V66" i="97"/>
  <c r="P95" i="45"/>
  <c r="X23" i="45"/>
  <c r="Z23" i="45" s="1"/>
  <c r="D42" i="82"/>
  <c r="L39" i="82"/>
  <c r="T87" i="81"/>
  <c r="Z27" i="8"/>
  <c r="T31" i="8"/>
  <c r="X27" i="8"/>
  <c r="X27" i="49"/>
  <c r="P31" i="49"/>
  <c r="P29" i="75"/>
  <c r="X23" i="75"/>
  <c r="D73" i="48"/>
  <c r="F70" i="48"/>
  <c r="D36" i="11"/>
  <c r="L36" i="11" s="1"/>
  <c r="L31" i="11"/>
  <c r="H101" i="21"/>
  <c r="J97" i="21"/>
  <c r="H79" i="76"/>
  <c r="N20" i="76"/>
  <c r="H51" i="90"/>
  <c r="D36" i="26"/>
  <c r="L59" i="25"/>
  <c r="N59" i="25" s="1"/>
  <c r="D119" i="25"/>
  <c r="P31" i="27"/>
  <c r="X27" i="27"/>
  <c r="L27" i="49"/>
  <c r="D31" i="49"/>
  <c r="D119" i="66"/>
  <c r="L59" i="66"/>
  <c r="P108" i="42"/>
  <c r="X24" i="42"/>
  <c r="H36" i="46"/>
  <c r="N36" i="46" s="1"/>
  <c r="N31" i="46"/>
  <c r="D31" i="52"/>
  <c r="L27" i="52"/>
  <c r="H60" i="59"/>
  <c r="N56" i="59"/>
  <c r="D31" i="29"/>
  <c r="L27" i="29"/>
  <c r="Z31" i="52"/>
  <c r="T36" i="52"/>
  <c r="Z36" i="52" s="1"/>
  <c r="D77" i="86"/>
  <c r="D169" i="34"/>
  <c r="L87" i="34"/>
  <c r="T31" i="43"/>
  <c r="Z27" i="43"/>
  <c r="T36" i="7"/>
  <c r="Z36" i="7" s="1"/>
  <c r="Z31" i="7"/>
  <c r="T36" i="32"/>
  <c r="Z36" i="32" s="1"/>
  <c r="Z31" i="32"/>
  <c r="L27" i="40"/>
  <c r="D31" i="40"/>
  <c r="Z27" i="47"/>
  <c r="T31" i="47"/>
  <c r="X31" i="47" s="1"/>
  <c r="P34" i="55"/>
  <c r="X30" i="55"/>
  <c r="Z30" i="55" s="1"/>
  <c r="P50" i="67"/>
  <c r="X21" i="67"/>
  <c r="H53" i="91"/>
  <c r="L49" i="91"/>
  <c r="N49" i="91" s="1"/>
  <c r="H29" i="75"/>
  <c r="D122" i="36"/>
  <c r="F118" i="36"/>
  <c r="D84" i="73"/>
  <c r="F81" i="73"/>
  <c r="D36" i="99"/>
  <c r="N17" i="48"/>
  <c r="H66" i="48"/>
  <c r="L17" i="48"/>
  <c r="T225" i="15"/>
  <c r="D31" i="30"/>
  <c r="L27" i="30"/>
  <c r="T36" i="19"/>
  <c r="Z36" i="19" s="1"/>
  <c r="Z31" i="19"/>
  <c r="H118" i="36"/>
  <c r="D95" i="45"/>
  <c r="L23" i="45"/>
  <c r="N23" i="45" s="1"/>
  <c r="P60" i="59"/>
  <c r="X56" i="59"/>
  <c r="Z56" i="59" s="1"/>
  <c r="T103" i="71"/>
  <c r="D32" i="87"/>
  <c r="L28" i="87"/>
  <c r="P36" i="100"/>
  <c r="L30" i="21"/>
  <c r="N30" i="21" s="1"/>
  <c r="D97" i="21"/>
  <c r="F30" i="21"/>
  <c r="N27" i="27"/>
  <c r="H31" i="27"/>
  <c r="L27" i="27"/>
  <c r="P153" i="69"/>
  <c r="X149" i="69"/>
  <c r="R149" i="69"/>
  <c r="D31" i="5"/>
  <c r="L27" i="5"/>
  <c r="N27" i="13"/>
  <c r="H31" i="13"/>
  <c r="F59" i="25"/>
  <c r="N27" i="53"/>
  <c r="H31" i="53"/>
  <c r="F59" i="66"/>
  <c r="J49" i="77"/>
  <c r="D41" i="84"/>
  <c r="L37" i="84"/>
  <c r="D276" i="3"/>
  <c r="L272" i="3"/>
  <c r="F272" i="3"/>
  <c r="Z59" i="25"/>
  <c r="T119" i="25"/>
  <c r="T30" i="78"/>
  <c r="P37" i="84"/>
  <c r="X18" i="84"/>
  <c r="Z18" i="84" s="1"/>
  <c r="P36" i="30"/>
  <c r="R24" i="42"/>
  <c r="T31" i="54"/>
  <c r="Z26" i="54"/>
  <c r="D31" i="54"/>
  <c r="L26" i="54"/>
  <c r="D73" i="58"/>
  <c r="L69" i="58"/>
  <c r="T83" i="95"/>
  <c r="Z21" i="95"/>
  <c r="X27" i="11"/>
  <c r="P31" i="11"/>
  <c r="P169" i="34"/>
  <c r="X87" i="34"/>
  <c r="H31" i="26"/>
  <c r="N27" i="26"/>
  <c r="H103" i="51"/>
  <c r="P53" i="91"/>
  <c r="X49" i="91"/>
  <c r="Z49" i="91" s="1"/>
  <c r="T86" i="31"/>
  <c r="D103" i="51"/>
  <c r="L52" i="51"/>
  <c r="N52" i="51" s="1"/>
  <c r="D31" i="38"/>
  <c r="L27" i="38"/>
  <c r="Z27" i="41"/>
  <c r="T31" i="41"/>
  <c r="N27" i="47"/>
  <c r="H31" i="47"/>
  <c r="L27" i="47"/>
  <c r="T59" i="65"/>
  <c r="Z22" i="65"/>
  <c r="D63" i="65"/>
  <c r="L59" i="65"/>
  <c r="N59" i="65" s="1"/>
  <c r="F59" i="65"/>
  <c r="D83" i="76"/>
  <c r="L79" i="76"/>
  <c r="F79" i="76"/>
  <c r="T31" i="13"/>
  <c r="Z27" i="13"/>
  <c r="P123" i="66"/>
  <c r="X119" i="66"/>
  <c r="R119" i="66"/>
  <c r="T41" i="84"/>
  <c r="V37" i="84"/>
  <c r="Z101" i="62"/>
  <c r="T105" i="62"/>
  <c r="P36" i="88"/>
  <c r="X32" i="88"/>
  <c r="T251" i="18"/>
  <c r="Z27" i="27"/>
  <c r="T31" i="27"/>
  <c r="D31" i="35"/>
  <c r="L27" i="35"/>
  <c r="T31" i="38"/>
  <c r="Z27" i="38"/>
  <c r="X69" i="58"/>
  <c r="Z69" i="58" s="1"/>
  <c r="D42" i="83"/>
  <c r="L38" i="83"/>
  <c r="H82" i="92"/>
  <c r="X27" i="98"/>
  <c r="P31" i="98"/>
  <c r="L27" i="14"/>
  <c r="H166" i="28"/>
  <c r="P26" i="54"/>
  <c r="X22" i="54"/>
  <c r="P97" i="9"/>
  <c r="H235" i="12"/>
  <c r="N133" i="12"/>
  <c r="N35" i="82"/>
  <c r="H39" i="82"/>
  <c r="T82" i="92"/>
  <c r="P105" i="62"/>
  <c r="X101" i="62"/>
  <c r="T36" i="50"/>
  <c r="Z36" i="50" s="1"/>
  <c r="Z31" i="50"/>
  <c r="T111" i="77"/>
  <c r="T42" i="83"/>
  <c r="X27" i="37"/>
  <c r="P31" i="37"/>
  <c r="P76" i="58"/>
  <c r="X73" i="58"/>
  <c r="D36" i="14"/>
  <c r="H88" i="79"/>
  <c r="D235" i="12"/>
  <c r="L133" i="12"/>
  <c r="J133" i="12"/>
  <c r="T235" i="12"/>
  <c r="L150" i="18"/>
  <c r="N150" i="18" s="1"/>
  <c r="D251" i="18"/>
  <c r="H119" i="39"/>
  <c r="D31" i="46"/>
  <c r="L27" i="46"/>
  <c r="X49" i="77"/>
  <c r="Z49" i="77" s="1"/>
  <c r="P111" i="77"/>
  <c r="P39" i="82"/>
  <c r="X35" i="82"/>
  <c r="Z35" i="82" s="1"/>
  <c r="P74" i="86"/>
  <c r="X70" i="86"/>
  <c r="Z70" i="86" s="1"/>
  <c r="P87" i="95"/>
  <c r="R83" i="95"/>
  <c r="T31" i="100"/>
  <c r="Z27" i="100"/>
  <c r="T94" i="9"/>
  <c r="Z90" i="9"/>
  <c r="N62" i="57"/>
  <c r="H66" i="57"/>
  <c r="D115" i="77"/>
  <c r="L111" i="77"/>
  <c r="F111" i="77"/>
  <c r="H84" i="81"/>
  <c r="N80" i="81"/>
  <c r="H36" i="43"/>
  <c r="N36" i="43" s="1"/>
  <c r="N31" i="43"/>
  <c r="T50" i="67"/>
  <c r="Z21" i="67"/>
  <c r="H149" i="69"/>
  <c r="N32" i="72"/>
  <c r="H36" i="72"/>
  <c r="H123" i="25"/>
  <c r="J119" i="25"/>
  <c r="P31" i="13"/>
  <c r="X27" i="13"/>
  <c r="H31" i="33"/>
  <c r="N27" i="33"/>
  <c r="D69" i="57"/>
  <c r="L66" i="57"/>
  <c r="T51" i="60"/>
  <c r="Z32" i="72"/>
  <c r="T36" i="72"/>
  <c r="H53" i="61"/>
  <c r="N50" i="61"/>
  <c r="R20" i="79"/>
  <c r="P51" i="90"/>
  <c r="X47" i="90"/>
  <c r="R47" i="90"/>
  <c r="D36" i="50"/>
  <c r="N27" i="38"/>
  <c r="H31" i="38"/>
  <c r="T73" i="48"/>
  <c r="V70" i="48"/>
  <c r="D37" i="55"/>
  <c r="N22" i="54"/>
  <c r="H26" i="54"/>
  <c r="D88" i="64"/>
  <c r="L39" i="64"/>
  <c r="N39" i="64" s="1"/>
  <c r="H54" i="67"/>
  <c r="P48" i="74"/>
  <c r="X44" i="74"/>
  <c r="H36" i="80"/>
  <c r="Z83" i="70"/>
  <c r="T87" i="70"/>
  <c r="V83" i="70"/>
  <c r="T48" i="74"/>
  <c r="Z44" i="74"/>
  <c r="T42" i="93"/>
  <c r="P251" i="18"/>
  <c r="X150" i="18"/>
  <c r="Z150" i="18" s="1"/>
  <c r="X27" i="23"/>
  <c r="P31" i="23"/>
  <c r="X22" i="65"/>
  <c r="P59" i="65"/>
  <c r="T37" i="55"/>
  <c r="N59" i="66"/>
  <c r="H119" i="66"/>
  <c r="D36" i="80"/>
  <c r="L32" i="80"/>
  <c r="N32" i="80" s="1"/>
  <c r="H276" i="3"/>
  <c r="N272" i="3"/>
  <c r="J272" i="3"/>
  <c r="H31" i="19"/>
  <c r="N27" i="19"/>
  <c r="L27" i="19"/>
  <c r="P103" i="71"/>
  <c r="X52" i="71"/>
  <c r="Z52" i="71" s="1"/>
  <c r="D166" i="28"/>
  <c r="L85" i="28"/>
  <c r="N85" i="28" s="1"/>
  <c r="P36" i="16"/>
  <c r="N27" i="30"/>
  <c r="H31" i="30"/>
  <c r="H26" i="6"/>
  <c r="N22" i="6"/>
  <c r="P36" i="40"/>
  <c r="X36" i="40" s="1"/>
  <c r="X31" i="40"/>
  <c r="Z85" i="28"/>
  <c r="T166" i="28"/>
  <c r="H30" i="78"/>
  <c r="P82" i="92"/>
  <c r="X21" i="92"/>
  <c r="Z21" i="92" s="1"/>
  <c r="N27" i="10"/>
  <c r="H31" i="10"/>
  <c r="H31" i="16"/>
  <c r="L31" i="16" s="1"/>
  <c r="N27" i="16"/>
  <c r="P36" i="20"/>
  <c r="D26" i="6"/>
  <c r="L22" i="6"/>
  <c r="P97" i="21"/>
  <c r="X30" i="21"/>
  <c r="L27" i="22"/>
  <c r="D31" i="22"/>
  <c r="P123" i="39"/>
  <c r="X119" i="39"/>
  <c r="R119" i="39"/>
  <c r="T119" i="39"/>
  <c r="Z33" i="39"/>
  <c r="H108" i="42"/>
  <c r="H63" i="65"/>
  <c r="H83" i="70"/>
  <c r="D91" i="94"/>
  <c r="L87" i="94"/>
  <c r="N87" i="94" s="1"/>
  <c r="F87" i="94"/>
  <c r="D103" i="71"/>
  <c r="L52" i="71"/>
  <c r="F52" i="71"/>
  <c r="D39" i="72"/>
  <c r="Z26" i="6"/>
  <c r="T31" i="6"/>
  <c r="D31" i="8"/>
  <c r="L27" i="8"/>
  <c r="D31" i="20"/>
  <c r="L27" i="20"/>
  <c r="T36" i="26"/>
  <c r="Z36" i="26" s="1"/>
  <c r="Z31" i="26"/>
  <c r="X27" i="47"/>
  <c r="T31" i="53"/>
  <c r="X31" i="53" s="1"/>
  <c r="Z27" i="53"/>
  <c r="H77" i="73"/>
  <c r="L23" i="73"/>
  <c r="N23" i="73"/>
  <c r="L49" i="77"/>
  <c r="N49" i="77" s="1"/>
  <c r="X27" i="22"/>
  <c r="P31" i="22"/>
  <c r="T108" i="42"/>
  <c r="Z24" i="42"/>
  <c r="P36" i="53"/>
  <c r="D83" i="70"/>
  <c r="L30" i="70"/>
  <c r="N30" i="70" s="1"/>
  <c r="R20" i="76"/>
  <c r="T56" i="91"/>
  <c r="Z27" i="16"/>
  <c r="T31" i="16"/>
  <c r="D36" i="32"/>
  <c r="T36" i="37"/>
  <c r="Z36" i="37" s="1"/>
  <c r="Z31" i="37"/>
  <c r="T88" i="64"/>
  <c r="H28" i="87"/>
  <c r="N18" i="87"/>
  <c r="P26" i="6"/>
  <c r="X22" i="6"/>
  <c r="H225" i="15"/>
  <c r="N126" i="15"/>
  <c r="F87" i="34"/>
  <c r="X27" i="36"/>
  <c r="P118" i="36"/>
  <c r="T69" i="57"/>
  <c r="H36" i="37"/>
  <c r="N36" i="37" s="1"/>
  <c r="N31" i="37"/>
  <c r="P66" i="48"/>
  <c r="X17" i="48"/>
  <c r="Z17" i="48" s="1"/>
  <c r="L24" i="42"/>
  <c r="N24" i="42" s="1"/>
  <c r="J23" i="45"/>
  <c r="H83" i="95"/>
  <c r="N21" i="95"/>
  <c r="P42" i="83"/>
  <c r="X38" i="83"/>
  <c r="Z38" i="83" s="1"/>
  <c r="V150" i="18"/>
  <c r="D31" i="13"/>
  <c r="L27" i="13"/>
  <c r="H31" i="20"/>
  <c r="N27" i="20"/>
  <c r="T31" i="35"/>
  <c r="Z27" i="35"/>
  <c r="X27" i="35"/>
  <c r="H71" i="56"/>
  <c r="N67" i="56"/>
  <c r="L67" i="56"/>
  <c r="H103" i="71"/>
  <c r="N52" i="71"/>
  <c r="D86" i="85"/>
  <c r="L20" i="85"/>
  <c r="N20" i="85" s="1"/>
  <c r="X80" i="81"/>
  <c r="Z80" i="81" s="1"/>
  <c r="P84" i="81"/>
  <c r="L21" i="95"/>
  <c r="X27" i="19"/>
  <c r="P31" i="19"/>
  <c r="H36" i="88"/>
  <c r="H31" i="52"/>
  <c r="N27" i="52"/>
  <c r="D50" i="67"/>
  <c r="L21" i="67"/>
  <c r="D42" i="93"/>
  <c r="L38" i="93"/>
  <c r="F38" i="93"/>
  <c r="H86" i="85"/>
  <c r="D34" i="89"/>
  <c r="L30" i="89"/>
  <c r="N30" i="89" s="1"/>
  <c r="V85" i="28"/>
  <c r="H41" i="84"/>
  <c r="N37" i="84"/>
  <c r="H34" i="89"/>
  <c r="P36" i="14"/>
  <c r="X31" i="14"/>
  <c r="L84" i="69"/>
  <c r="N84" i="69" s="1"/>
  <c r="D149" i="69"/>
  <c r="X27" i="52"/>
  <c r="P31" i="52"/>
  <c r="L27" i="10"/>
  <c r="D31" i="10"/>
  <c r="D31" i="53"/>
  <c r="L27" i="53"/>
  <c r="P50" i="61"/>
  <c r="X46" i="61"/>
  <c r="Z46" i="61" s="1"/>
  <c r="H255" i="18"/>
  <c r="J251" i="18"/>
  <c r="Z31" i="17"/>
  <c r="T36" i="17"/>
  <c r="Z36" i="17" s="1"/>
  <c r="D225" i="15"/>
  <c r="L126" i="15"/>
  <c r="F85" i="28"/>
  <c r="P36" i="24"/>
  <c r="J33" i="39"/>
  <c r="X27" i="38"/>
  <c r="P31" i="38"/>
  <c r="T63" i="59"/>
  <c r="T77" i="73"/>
  <c r="X77" i="73" s="1"/>
  <c r="Z23" i="73"/>
  <c r="H70" i="97"/>
  <c r="N66" i="97"/>
  <c r="J66" i="97"/>
  <c r="N27" i="100"/>
  <c r="H31" i="100"/>
  <c r="P31" i="26"/>
  <c r="X27" i="26"/>
  <c r="P36" i="47"/>
  <c r="T88" i="79"/>
  <c r="N38" i="93"/>
  <c r="H42" i="93"/>
  <c r="T47" i="90"/>
  <c r="Z18" i="90"/>
  <c r="P32" i="87"/>
  <c r="X28" i="87"/>
  <c r="Z28" i="87" s="1"/>
  <c r="T36" i="14"/>
  <c r="Z36" i="14" s="1"/>
  <c r="Z31" i="14"/>
  <c r="P31" i="41"/>
  <c r="X27" i="41"/>
  <c r="Z27" i="49"/>
  <c r="T31" i="49"/>
  <c r="D105" i="62"/>
  <c r="L101" i="62"/>
  <c r="N101" i="62" s="1"/>
  <c r="D30" i="78"/>
  <c r="L20" i="78"/>
  <c r="N20" i="78" s="1"/>
  <c r="H91" i="94"/>
  <c r="J87" i="94"/>
  <c r="H31" i="17"/>
  <c r="N27" i="17"/>
  <c r="L27" i="32"/>
  <c r="P36" i="33"/>
  <c r="H31" i="50"/>
  <c r="L31" i="50" s="1"/>
  <c r="N27" i="50"/>
  <c r="V49" i="77"/>
  <c r="P90" i="85"/>
  <c r="X86" i="85"/>
  <c r="Z86" i="85" s="1"/>
  <c r="R86" i="85"/>
  <c r="P34" i="89"/>
  <c r="X30" i="89"/>
  <c r="Z30" i="89" s="1"/>
  <c r="D31" i="17"/>
  <c r="L27" i="17"/>
  <c r="D31" i="43"/>
  <c r="L27" i="43"/>
  <c r="Z23" i="75"/>
  <c r="T29" i="75"/>
  <c r="N87" i="34"/>
  <c r="H169" i="34"/>
  <c r="D36" i="41"/>
  <c r="D51" i="90"/>
  <c r="L47" i="90"/>
  <c r="N47" i="90" s="1"/>
  <c r="F47" i="90"/>
  <c r="T36" i="11"/>
  <c r="Z36" i="11" s="1"/>
  <c r="Z31" i="11"/>
  <c r="P272" i="3"/>
  <c r="X162" i="3"/>
  <c r="Z162" i="3" s="1"/>
  <c r="X27" i="7"/>
  <c r="P31" i="7"/>
  <c r="L32" i="31"/>
  <c r="N32" i="31" s="1"/>
  <c r="D86" i="31"/>
  <c r="H31" i="29"/>
  <c r="N27" i="29"/>
  <c r="X27" i="32"/>
  <c r="P31" i="32"/>
  <c r="L108" i="42"/>
  <c r="D112" i="42"/>
  <c r="F108" i="42"/>
  <c r="T99" i="45"/>
  <c r="V95" i="45"/>
  <c r="N27" i="49"/>
  <c r="H31" i="49"/>
  <c r="T53" i="61"/>
  <c r="D88" i="79"/>
  <c r="L84" i="79"/>
  <c r="N84" i="79" s="1"/>
  <c r="F84" i="79"/>
  <c r="D36" i="88"/>
  <c r="L32" i="88"/>
  <c r="N32" i="88" s="1"/>
  <c r="D94" i="9"/>
  <c r="L90" i="9"/>
  <c r="N90" i="9" s="1"/>
  <c r="P86" i="31"/>
  <c r="X32" i="31"/>
  <c r="Z32" i="31" s="1"/>
  <c r="F33" i="39"/>
  <c r="P34" i="78"/>
  <c r="X30" i="78"/>
  <c r="R30" i="78"/>
  <c r="H31" i="4"/>
  <c r="N27" i="4"/>
  <c r="H34" i="55"/>
  <c r="N30" i="55"/>
  <c r="R22" i="65"/>
  <c r="J59" i="66"/>
  <c r="Z149" i="69"/>
  <c r="T153" i="69"/>
  <c r="V149" i="69"/>
  <c r="D29" i="75"/>
  <c r="L23" i="75"/>
  <c r="N23" i="75" s="1"/>
  <c r="D87" i="95"/>
  <c r="L83" i="95"/>
  <c r="F83" i="95"/>
  <c r="H31" i="99"/>
  <c r="L31" i="99" s="1"/>
  <c r="N27" i="99"/>
  <c r="P235" i="12"/>
  <c r="X133" i="12"/>
  <c r="Z133" i="12" s="1"/>
  <c r="H31" i="24"/>
  <c r="N27" i="24"/>
  <c r="L27" i="24"/>
  <c r="H31" i="23"/>
  <c r="L31" i="23" s="1"/>
  <c r="N27" i="23"/>
  <c r="T36" i="23"/>
  <c r="Z36" i="23" s="1"/>
  <c r="Z31" i="23"/>
  <c r="Z27" i="98"/>
  <c r="T31" i="98"/>
  <c r="L47" i="60"/>
  <c r="N47" i="60" s="1"/>
  <c r="D51" i="60"/>
  <c r="P88" i="64"/>
  <c r="X39" i="64"/>
  <c r="Z39" i="64" s="1"/>
  <c r="N69" i="58"/>
  <c r="H73" i="58"/>
  <c r="H94" i="9"/>
  <c r="P36" i="17"/>
  <c r="X31" i="17"/>
  <c r="P66" i="97"/>
  <c r="X17" i="97"/>
  <c r="Z17" i="97" s="1"/>
  <c r="Z31" i="99"/>
  <c r="T36" i="99"/>
  <c r="Z36" i="99" s="1"/>
  <c r="Z27" i="4"/>
  <c r="T31" i="4"/>
  <c r="X27" i="4"/>
  <c r="D31" i="4"/>
  <c r="L27" i="4"/>
  <c r="D36" i="16"/>
  <c r="T118" i="36"/>
  <c r="Z27" i="36"/>
  <c r="T123" i="66"/>
  <c r="Z119" i="66"/>
  <c r="V119" i="66"/>
  <c r="V23" i="73"/>
  <c r="N38" i="83"/>
  <c r="H42" i="83"/>
  <c r="P42" i="93"/>
  <c r="X38" i="93"/>
  <c r="Z38" i="93" s="1"/>
  <c r="R38" i="93"/>
  <c r="T103" i="51"/>
  <c r="X103" i="51" s="1"/>
  <c r="V52" i="51"/>
  <c r="T28" i="96"/>
  <c r="Z24" i="96"/>
  <c r="P51" i="60"/>
  <c r="X47" i="60"/>
  <c r="Z47" i="60" s="1"/>
  <c r="T36" i="5"/>
  <c r="Z36" i="5" s="1"/>
  <c r="Z31" i="5"/>
  <c r="X52" i="51"/>
  <c r="Z52" i="51" s="1"/>
  <c r="T31" i="46"/>
  <c r="Z27" i="46"/>
  <c r="X67" i="56"/>
  <c r="Z67" i="56" s="1"/>
  <c r="P71" i="56"/>
  <c r="T77" i="86"/>
  <c r="D82" i="92"/>
  <c r="L21" i="92"/>
  <c r="N21" i="92" s="1"/>
  <c r="X27" i="10"/>
  <c r="P31" i="10"/>
  <c r="H108" i="62"/>
  <c r="R39" i="64"/>
  <c r="D31" i="96"/>
  <c r="L28" i="96"/>
  <c r="N28" i="96" s="1"/>
  <c r="X27" i="33"/>
  <c r="P31" i="43"/>
  <c r="X27" i="43"/>
  <c r="H48" i="74"/>
  <c r="L44" i="74"/>
  <c r="N44" i="74" s="1"/>
  <c r="L70" i="86"/>
  <c r="N70" i="86" s="1"/>
  <c r="P36" i="99"/>
  <c r="X31" i="99"/>
  <c r="V23" i="75"/>
  <c r="T36" i="88"/>
  <c r="Z32" i="88"/>
  <c r="P225" i="15"/>
  <c r="X126" i="15"/>
  <c r="Z126" i="15" s="1"/>
  <c r="Z30" i="21"/>
  <c r="T97" i="21"/>
  <c r="T169" i="34"/>
  <c r="Z87" i="34"/>
  <c r="V32" i="31"/>
  <c r="R17" i="48"/>
  <c r="N27" i="41"/>
  <c r="H31" i="41"/>
  <c r="L31" i="41" s="1"/>
  <c r="P31" i="46"/>
  <c r="X27" i="46"/>
  <c r="P81" i="73"/>
  <c r="R77" i="73"/>
  <c r="N31" i="98"/>
  <c r="H36" i="98"/>
  <c r="N36" i="98" s="1"/>
  <c r="X20" i="78"/>
  <c r="Z20" i="78" s="1"/>
  <c r="H31" i="96"/>
  <c r="Z27" i="24"/>
  <c r="T31" i="24"/>
  <c r="L27" i="36"/>
  <c r="N27" i="36" s="1"/>
  <c r="H36" i="44"/>
  <c r="N36" i="44" s="1"/>
  <c r="N31" i="44"/>
  <c r="L27" i="44"/>
  <c r="D31" i="44"/>
  <c r="J52" i="71"/>
  <c r="F20" i="85"/>
  <c r="J85" i="28"/>
  <c r="H36" i="5" l="1"/>
  <c r="N36" i="5" s="1"/>
  <c r="X36" i="17"/>
  <c r="X36" i="99"/>
  <c r="T36" i="29"/>
  <c r="Z36" i="29" s="1"/>
  <c r="Z31" i="29"/>
  <c r="T39" i="88"/>
  <c r="H45" i="83"/>
  <c r="H97" i="9"/>
  <c r="D54" i="60"/>
  <c r="L54" i="60" s="1"/>
  <c r="N54" i="60" s="1"/>
  <c r="L51" i="60"/>
  <c r="N51" i="60" s="1"/>
  <c r="L86" i="31"/>
  <c r="N86" i="31" s="1"/>
  <c r="D90" i="31"/>
  <c r="F86" i="31"/>
  <c r="D34" i="78"/>
  <c r="L30" i="78"/>
  <c r="F30" i="78"/>
  <c r="T91" i="79"/>
  <c r="H37" i="89"/>
  <c r="H36" i="52"/>
  <c r="N36" i="52" s="1"/>
  <c r="N31" i="52"/>
  <c r="T36" i="53"/>
  <c r="Z36" i="53" s="1"/>
  <c r="Z31" i="53"/>
  <c r="Z31" i="6"/>
  <c r="D107" i="71"/>
  <c r="L103" i="71"/>
  <c r="F103" i="71"/>
  <c r="N30" i="78"/>
  <c r="H34" i="78"/>
  <c r="J30" i="78"/>
  <c r="T51" i="74"/>
  <c r="P51" i="74"/>
  <c r="X51" i="74" s="1"/>
  <c r="X48" i="74"/>
  <c r="Z48" i="74" s="1"/>
  <c r="L37" i="55"/>
  <c r="H36" i="33"/>
  <c r="N36" i="33" s="1"/>
  <c r="N31" i="33"/>
  <c r="H39" i="72"/>
  <c r="N39" i="72" s="1"/>
  <c r="N36" i="72"/>
  <c r="T97" i="9"/>
  <c r="N119" i="39"/>
  <c r="H123" i="39"/>
  <c r="J119" i="39"/>
  <c r="P36" i="11"/>
  <c r="X36" i="11" s="1"/>
  <c r="X31" i="11"/>
  <c r="P41" i="84"/>
  <c r="X37" i="84"/>
  <c r="Z37" i="84" s="1"/>
  <c r="L36" i="37"/>
  <c r="F84" i="73"/>
  <c r="H56" i="91"/>
  <c r="N53" i="91"/>
  <c r="L53" i="91"/>
  <c r="D173" i="34"/>
  <c r="L169" i="34"/>
  <c r="F169" i="34"/>
  <c r="H63" i="59"/>
  <c r="D123" i="66"/>
  <c r="L119" i="66"/>
  <c r="N119" i="66" s="1"/>
  <c r="F119" i="66"/>
  <c r="Z31" i="20"/>
  <c r="T36" i="20"/>
  <c r="Z36" i="20" s="1"/>
  <c r="H77" i="86"/>
  <c r="N74" i="86"/>
  <c r="X166" i="28"/>
  <c r="P170" i="28"/>
  <c r="R166" i="28"/>
  <c r="Z31" i="24"/>
  <c r="T36" i="24"/>
  <c r="Z36" i="24" s="1"/>
  <c r="P36" i="43"/>
  <c r="X31" i="43"/>
  <c r="P36" i="10"/>
  <c r="X31" i="10"/>
  <c r="T31" i="96"/>
  <c r="H76" i="58"/>
  <c r="D90" i="95"/>
  <c r="L87" i="95"/>
  <c r="F87" i="95"/>
  <c r="D91" i="79"/>
  <c r="L88" i="79"/>
  <c r="F88" i="79"/>
  <c r="P93" i="85"/>
  <c r="X90" i="85"/>
  <c r="R90" i="85"/>
  <c r="H73" i="97"/>
  <c r="J70" i="97"/>
  <c r="X31" i="24"/>
  <c r="P36" i="52"/>
  <c r="X36" i="52" s="1"/>
  <c r="X31" i="52"/>
  <c r="H39" i="88"/>
  <c r="L86" i="85"/>
  <c r="N86" i="85" s="1"/>
  <c r="D90" i="85"/>
  <c r="F86" i="85"/>
  <c r="T36" i="35"/>
  <c r="Z31" i="35"/>
  <c r="X31" i="35"/>
  <c r="P45" i="83"/>
  <c r="X42" i="83"/>
  <c r="H229" i="15"/>
  <c r="J225" i="15"/>
  <c r="L53" i="61"/>
  <c r="N53" i="61" s="1"/>
  <c r="P126" i="39"/>
  <c r="R123" i="39"/>
  <c r="H31" i="6"/>
  <c r="N26" i="6"/>
  <c r="P107" i="71"/>
  <c r="X103" i="71"/>
  <c r="R103" i="71"/>
  <c r="D39" i="80"/>
  <c r="L36" i="80"/>
  <c r="P36" i="23"/>
  <c r="X36" i="23" s="1"/>
  <c r="X31" i="23"/>
  <c r="T39" i="72"/>
  <c r="Z39" i="72" s="1"/>
  <c r="Z36" i="72"/>
  <c r="H87" i="81"/>
  <c r="P42" i="82"/>
  <c r="X42" i="82" s="1"/>
  <c r="Z42" i="82" s="1"/>
  <c r="X39" i="82"/>
  <c r="Z39" i="82" s="1"/>
  <c r="X76" i="58"/>
  <c r="H239" i="12"/>
  <c r="J235" i="12"/>
  <c r="P36" i="98"/>
  <c r="X31" i="98"/>
  <c r="T36" i="38"/>
  <c r="Z36" i="38" s="1"/>
  <c r="Z31" i="38"/>
  <c r="X36" i="88"/>
  <c r="Z36" i="88" s="1"/>
  <c r="P39" i="88"/>
  <c r="X39" i="88" s="1"/>
  <c r="P126" i="66"/>
  <c r="X123" i="66"/>
  <c r="R123" i="66"/>
  <c r="D66" i="65"/>
  <c r="L63" i="65"/>
  <c r="F63" i="65"/>
  <c r="P56" i="91"/>
  <c r="X56" i="91" s="1"/>
  <c r="X53" i="91"/>
  <c r="Z53" i="91" s="1"/>
  <c r="L41" i="84"/>
  <c r="D44" i="84"/>
  <c r="H36" i="27"/>
  <c r="N31" i="27"/>
  <c r="L31" i="27"/>
  <c r="D35" i="87"/>
  <c r="L74" i="86"/>
  <c r="D36" i="49"/>
  <c r="L31" i="49"/>
  <c r="X36" i="5"/>
  <c r="F73" i="48"/>
  <c r="T73" i="97"/>
  <c r="V70" i="97"/>
  <c r="H93" i="31"/>
  <c r="J90" i="31"/>
  <c r="D123" i="39"/>
  <c r="L119" i="39"/>
  <c r="F119" i="39"/>
  <c r="T36" i="44"/>
  <c r="Z31" i="44"/>
  <c r="X31" i="44"/>
  <c r="P84" i="73"/>
  <c r="R81" i="73"/>
  <c r="T173" i="34"/>
  <c r="V169" i="34"/>
  <c r="T36" i="46"/>
  <c r="Z36" i="46" s="1"/>
  <c r="Z31" i="46"/>
  <c r="T36" i="98"/>
  <c r="Z36" i="98" s="1"/>
  <c r="Z31" i="98"/>
  <c r="H36" i="24"/>
  <c r="N31" i="24"/>
  <c r="L31" i="24"/>
  <c r="H37" i="55"/>
  <c r="P90" i="31"/>
  <c r="X86" i="31"/>
  <c r="R86" i="31"/>
  <c r="D115" i="42"/>
  <c r="F112" i="42"/>
  <c r="P36" i="7"/>
  <c r="X36" i="7" s="1"/>
  <c r="X31" i="7"/>
  <c r="L51" i="90"/>
  <c r="D54" i="90"/>
  <c r="F51" i="90"/>
  <c r="D36" i="43"/>
  <c r="L36" i="43" s="1"/>
  <c r="L31" i="43"/>
  <c r="D108" i="62"/>
  <c r="L108" i="62" s="1"/>
  <c r="L105" i="62"/>
  <c r="N105" i="62" s="1"/>
  <c r="P35" i="87"/>
  <c r="X35" i="87" s="1"/>
  <c r="Z35" i="87" s="1"/>
  <c r="X32" i="87"/>
  <c r="Z32" i="87" s="1"/>
  <c r="H258" i="18"/>
  <c r="J255" i="18"/>
  <c r="N41" i="84"/>
  <c r="H44" i="84"/>
  <c r="D45" i="93"/>
  <c r="L42" i="93"/>
  <c r="F42" i="93"/>
  <c r="D87" i="70"/>
  <c r="L83" i="70"/>
  <c r="F83" i="70"/>
  <c r="H66" i="65"/>
  <c r="N63" i="65"/>
  <c r="D36" i="22"/>
  <c r="L36" i="22" s="1"/>
  <c r="L31" i="22"/>
  <c r="H36" i="30"/>
  <c r="N36" i="30" s="1"/>
  <c r="N31" i="30"/>
  <c r="H123" i="66"/>
  <c r="J119" i="66"/>
  <c r="T90" i="70"/>
  <c r="Z87" i="70"/>
  <c r="V87" i="70"/>
  <c r="H57" i="67"/>
  <c r="X31" i="13"/>
  <c r="P36" i="13"/>
  <c r="T36" i="100"/>
  <c r="Z36" i="100" s="1"/>
  <c r="Z31" i="100"/>
  <c r="P115" i="77"/>
  <c r="X111" i="77"/>
  <c r="R111" i="77"/>
  <c r="D255" i="18"/>
  <c r="L251" i="18"/>
  <c r="N251" i="18" s="1"/>
  <c r="F251" i="18"/>
  <c r="D239" i="12"/>
  <c r="L235" i="12"/>
  <c r="N235" i="12" s="1"/>
  <c r="F235" i="12"/>
  <c r="P36" i="37"/>
  <c r="X36" i="37" s="1"/>
  <c r="X31" i="37"/>
  <c r="X94" i="9"/>
  <c r="Z94" i="9" s="1"/>
  <c r="T108" i="62"/>
  <c r="D36" i="38"/>
  <c r="L31" i="38"/>
  <c r="T34" i="78"/>
  <c r="Z30" i="78"/>
  <c r="V30" i="78"/>
  <c r="N118" i="36"/>
  <c r="H122" i="36"/>
  <c r="J118" i="36"/>
  <c r="H70" i="48"/>
  <c r="N66" i="48"/>
  <c r="J66" i="48"/>
  <c r="L66" i="48"/>
  <c r="L118" i="36"/>
  <c r="P54" i="67"/>
  <c r="X50" i="67"/>
  <c r="L77" i="86"/>
  <c r="D36" i="52"/>
  <c r="L36" i="52" s="1"/>
  <c r="L31" i="52"/>
  <c r="X66" i="57"/>
  <c r="Z66" i="57" s="1"/>
  <c r="P69" i="57"/>
  <c r="X69" i="57" s="1"/>
  <c r="H36" i="14"/>
  <c r="N36" i="14" s="1"/>
  <c r="N31" i="14"/>
  <c r="D36" i="100"/>
  <c r="L31" i="100"/>
  <c r="P110" i="51"/>
  <c r="R107" i="51"/>
  <c r="D73" i="97"/>
  <c r="L70" i="97"/>
  <c r="N70" i="97" s="1"/>
  <c r="F70" i="97"/>
  <c r="N31" i="96"/>
  <c r="T101" i="21"/>
  <c r="V97" i="21"/>
  <c r="L31" i="4"/>
  <c r="D36" i="4"/>
  <c r="D33" i="75"/>
  <c r="L29" i="75"/>
  <c r="F29" i="75"/>
  <c r="H36" i="17"/>
  <c r="N36" i="17" s="1"/>
  <c r="N31" i="17"/>
  <c r="T36" i="49"/>
  <c r="Z36" i="49" s="1"/>
  <c r="Z31" i="49"/>
  <c r="T81" i="73"/>
  <c r="X81" i="73" s="1"/>
  <c r="Z77" i="73"/>
  <c r="V77" i="73"/>
  <c r="D153" i="69"/>
  <c r="L149" i="69"/>
  <c r="F149" i="69"/>
  <c r="P36" i="19"/>
  <c r="X36" i="19" s="1"/>
  <c r="X31" i="19"/>
  <c r="H107" i="71"/>
  <c r="N103" i="71"/>
  <c r="J103" i="71"/>
  <c r="H36" i="20"/>
  <c r="N36" i="20" s="1"/>
  <c r="N31" i="20"/>
  <c r="H87" i="95"/>
  <c r="N83" i="95"/>
  <c r="Z69" i="57"/>
  <c r="P31" i="6"/>
  <c r="X31" i="6" s="1"/>
  <c r="X26" i="6"/>
  <c r="H112" i="42"/>
  <c r="N108" i="42"/>
  <c r="J108" i="42"/>
  <c r="N31" i="16"/>
  <c r="H36" i="16"/>
  <c r="N36" i="16" s="1"/>
  <c r="V73" i="48"/>
  <c r="T54" i="60"/>
  <c r="Z51" i="60"/>
  <c r="H153" i="69"/>
  <c r="N149" i="69"/>
  <c r="J149" i="69"/>
  <c r="H91" i="79"/>
  <c r="N88" i="79"/>
  <c r="P108" i="62"/>
  <c r="X108" i="62" s="1"/>
  <c r="X105" i="62"/>
  <c r="Z105" i="62" s="1"/>
  <c r="X97" i="9"/>
  <c r="D36" i="35"/>
  <c r="L31" i="35"/>
  <c r="T36" i="13"/>
  <c r="Z36" i="13" s="1"/>
  <c r="Z31" i="13"/>
  <c r="T63" i="65"/>
  <c r="N103" i="51"/>
  <c r="H107" i="51"/>
  <c r="J103" i="51"/>
  <c r="T87" i="95"/>
  <c r="Z83" i="95"/>
  <c r="T123" i="25"/>
  <c r="V119" i="25"/>
  <c r="T107" i="71"/>
  <c r="Z103" i="71"/>
  <c r="V103" i="71"/>
  <c r="D125" i="36"/>
  <c r="L122" i="36"/>
  <c r="F122" i="36"/>
  <c r="H104" i="21"/>
  <c r="J101" i="21"/>
  <c r="P33" i="75"/>
  <c r="X29" i="75"/>
  <c r="R29" i="75"/>
  <c r="P39" i="80"/>
  <c r="X39" i="80" s="1"/>
  <c r="X36" i="80"/>
  <c r="Z36" i="80" s="1"/>
  <c r="T76" i="58"/>
  <c r="Z73" i="58"/>
  <c r="P39" i="72"/>
  <c r="X39" i="72" s="1"/>
  <c r="X36" i="72"/>
  <c r="Z39" i="80"/>
  <c r="T94" i="94"/>
  <c r="V91" i="94"/>
  <c r="D36" i="33"/>
  <c r="L31" i="33"/>
  <c r="H36" i="40"/>
  <c r="N36" i="40" s="1"/>
  <c r="N31" i="40"/>
  <c r="P83" i="76"/>
  <c r="X79" i="76"/>
  <c r="Z79" i="76" s="1"/>
  <c r="R79" i="76"/>
  <c r="D36" i="44"/>
  <c r="L36" i="44" s="1"/>
  <c r="L31" i="44"/>
  <c r="P36" i="46"/>
  <c r="X31" i="46"/>
  <c r="L31" i="96"/>
  <c r="D86" i="92"/>
  <c r="L82" i="92"/>
  <c r="F82" i="92"/>
  <c r="Z103" i="51"/>
  <c r="T107" i="51"/>
  <c r="X107" i="51" s="1"/>
  <c r="V103" i="51"/>
  <c r="P70" i="97"/>
  <c r="X66" i="97"/>
  <c r="Z66" i="97" s="1"/>
  <c r="R66" i="97"/>
  <c r="P239" i="12"/>
  <c r="X235" i="12"/>
  <c r="R235" i="12"/>
  <c r="H36" i="4"/>
  <c r="N36" i="4" s="1"/>
  <c r="N31" i="4"/>
  <c r="D97" i="9"/>
  <c r="L97" i="9" s="1"/>
  <c r="L94" i="9"/>
  <c r="N94" i="9" s="1"/>
  <c r="N31" i="49"/>
  <c r="H36" i="49"/>
  <c r="N36" i="49" s="1"/>
  <c r="P36" i="32"/>
  <c r="X36" i="32" s="1"/>
  <c r="X31" i="32"/>
  <c r="D36" i="17"/>
  <c r="L31" i="17"/>
  <c r="Z47" i="90"/>
  <c r="T51" i="90"/>
  <c r="P36" i="26"/>
  <c r="X36" i="26" s="1"/>
  <c r="X31" i="26"/>
  <c r="P53" i="61"/>
  <c r="X53" i="61" s="1"/>
  <c r="Z53" i="61" s="1"/>
  <c r="X50" i="61"/>
  <c r="Z50" i="61" s="1"/>
  <c r="D54" i="67"/>
  <c r="L50" i="67"/>
  <c r="N50" i="67" s="1"/>
  <c r="Z31" i="16"/>
  <c r="T36" i="16"/>
  <c r="Z36" i="16" s="1"/>
  <c r="L36" i="72"/>
  <c r="D94" i="94"/>
  <c r="L91" i="94"/>
  <c r="F91" i="94"/>
  <c r="N31" i="10"/>
  <c r="H36" i="10"/>
  <c r="N36" i="10" s="1"/>
  <c r="T170" i="28"/>
  <c r="Z166" i="28"/>
  <c r="V166" i="28"/>
  <c r="X31" i="16"/>
  <c r="H36" i="19"/>
  <c r="N31" i="19"/>
  <c r="L31" i="19"/>
  <c r="P255" i="18"/>
  <c r="X251" i="18"/>
  <c r="R251" i="18"/>
  <c r="L88" i="64"/>
  <c r="N88" i="64" s="1"/>
  <c r="D92" i="64"/>
  <c r="F88" i="64"/>
  <c r="P54" i="90"/>
  <c r="X51" i="90"/>
  <c r="R51" i="90"/>
  <c r="D118" i="77"/>
  <c r="F115" i="77"/>
  <c r="X83" i="95"/>
  <c r="T45" i="83"/>
  <c r="Z42" i="83"/>
  <c r="H86" i="92"/>
  <c r="N82" i="92"/>
  <c r="J82" i="92"/>
  <c r="Z31" i="27"/>
  <c r="T36" i="27"/>
  <c r="Z36" i="27" s="1"/>
  <c r="D107" i="51"/>
  <c r="L103" i="51"/>
  <c r="F103" i="51"/>
  <c r="H36" i="53"/>
  <c r="N36" i="53" s="1"/>
  <c r="N31" i="53"/>
  <c r="D36" i="5"/>
  <c r="L36" i="5" s="1"/>
  <c r="L31" i="5"/>
  <c r="D101" i="21"/>
  <c r="L97" i="21"/>
  <c r="N97" i="21" s="1"/>
  <c r="F97" i="21"/>
  <c r="P37" i="55"/>
  <c r="X37" i="55" s="1"/>
  <c r="Z37" i="55" s="1"/>
  <c r="X34" i="55"/>
  <c r="Z34" i="55" s="1"/>
  <c r="P36" i="27"/>
  <c r="X31" i="27"/>
  <c r="N51" i="90"/>
  <c r="H54" i="90"/>
  <c r="P36" i="49"/>
  <c r="X31" i="49"/>
  <c r="L42" i="82"/>
  <c r="H92" i="64"/>
  <c r="T36" i="10"/>
  <c r="Z36" i="10" s="1"/>
  <c r="Z31" i="10"/>
  <c r="N31" i="41"/>
  <c r="H36" i="41"/>
  <c r="N36" i="41" s="1"/>
  <c r="T126" i="66"/>
  <c r="Z123" i="66"/>
  <c r="V123" i="66"/>
  <c r="Z31" i="4"/>
  <c r="T36" i="4"/>
  <c r="X31" i="4"/>
  <c r="T156" i="69"/>
  <c r="V153" i="69"/>
  <c r="P276" i="3"/>
  <c r="X272" i="3"/>
  <c r="Z272" i="3" s="1"/>
  <c r="R272" i="3"/>
  <c r="N169" i="34"/>
  <c r="H173" i="34"/>
  <c r="J169" i="34"/>
  <c r="H45" i="93"/>
  <c r="N45" i="93" s="1"/>
  <c r="N42" i="93"/>
  <c r="H36" i="100"/>
  <c r="N36" i="100" s="1"/>
  <c r="N31" i="100"/>
  <c r="D229" i="15"/>
  <c r="L225" i="15"/>
  <c r="N225" i="15" s="1"/>
  <c r="F225" i="15"/>
  <c r="D37" i="89"/>
  <c r="L37" i="89" s="1"/>
  <c r="L34" i="89"/>
  <c r="N34" i="89" s="1"/>
  <c r="D36" i="13"/>
  <c r="L31" i="13"/>
  <c r="X118" i="36"/>
  <c r="P122" i="36"/>
  <c r="R118" i="36"/>
  <c r="N28" i="87"/>
  <c r="H32" i="87"/>
  <c r="J28" i="87"/>
  <c r="L31" i="20"/>
  <c r="D36" i="20"/>
  <c r="L39" i="72"/>
  <c r="X97" i="21"/>
  <c r="Z97" i="21" s="1"/>
  <c r="P101" i="21"/>
  <c r="R97" i="21"/>
  <c r="X36" i="16"/>
  <c r="H39" i="80"/>
  <c r="N36" i="80"/>
  <c r="H31" i="54"/>
  <c r="N26" i="54"/>
  <c r="H126" i="25"/>
  <c r="J123" i="25"/>
  <c r="T54" i="67"/>
  <c r="Z50" i="67"/>
  <c r="N66" i="57"/>
  <c r="H69" i="57"/>
  <c r="P90" i="95"/>
  <c r="X87" i="95"/>
  <c r="R87" i="95"/>
  <c r="T239" i="12"/>
  <c r="Z235" i="12"/>
  <c r="V235" i="12"/>
  <c r="T86" i="92"/>
  <c r="V82" i="92"/>
  <c r="P31" i="54"/>
  <c r="X31" i="54" s="1"/>
  <c r="Z31" i="54" s="1"/>
  <c r="X26" i="54"/>
  <c r="H36" i="47"/>
  <c r="N31" i="47"/>
  <c r="L31" i="47"/>
  <c r="Z86" i="31"/>
  <c r="T90" i="31"/>
  <c r="V86" i="31"/>
  <c r="H36" i="26"/>
  <c r="N36" i="26" s="1"/>
  <c r="N31" i="26"/>
  <c r="P63" i="59"/>
  <c r="X63" i="59" s="1"/>
  <c r="Z63" i="59" s="1"/>
  <c r="X60" i="59"/>
  <c r="Z60" i="59" s="1"/>
  <c r="H33" i="75"/>
  <c r="N29" i="75"/>
  <c r="J29" i="75"/>
  <c r="T36" i="47"/>
  <c r="Z36" i="47" s="1"/>
  <c r="Z31" i="47"/>
  <c r="L119" i="25"/>
  <c r="N119" i="25" s="1"/>
  <c r="D123" i="25"/>
  <c r="F119" i="25"/>
  <c r="H99" i="45"/>
  <c r="J95" i="45"/>
  <c r="Z31" i="30"/>
  <c r="T36" i="30"/>
  <c r="Z36" i="30" s="1"/>
  <c r="H115" i="77"/>
  <c r="N111" i="77"/>
  <c r="J111" i="77"/>
  <c r="T93" i="85"/>
  <c r="Z90" i="85"/>
  <c r="V90" i="85"/>
  <c r="T281" i="3"/>
  <c r="V276" i="3"/>
  <c r="P88" i="79"/>
  <c r="X84" i="79"/>
  <c r="Z84" i="79" s="1"/>
  <c r="R84" i="79"/>
  <c r="T86" i="76"/>
  <c r="P90" i="70"/>
  <c r="X87" i="70"/>
  <c r="R87" i="70"/>
  <c r="P229" i="15"/>
  <c r="X225" i="15"/>
  <c r="R225" i="15"/>
  <c r="H36" i="99"/>
  <c r="N36" i="99" s="1"/>
  <c r="N31" i="99"/>
  <c r="D39" i="88"/>
  <c r="L39" i="88" s="1"/>
  <c r="L36" i="88"/>
  <c r="N36" i="88" s="1"/>
  <c r="P37" i="89"/>
  <c r="X37" i="89" s="1"/>
  <c r="X34" i="89"/>
  <c r="H36" i="50"/>
  <c r="N36" i="50" s="1"/>
  <c r="N31" i="50"/>
  <c r="N91" i="94"/>
  <c r="H94" i="94"/>
  <c r="J91" i="94"/>
  <c r="X31" i="41"/>
  <c r="P36" i="41"/>
  <c r="P36" i="38"/>
  <c r="X31" i="38"/>
  <c r="D36" i="53"/>
  <c r="L31" i="53"/>
  <c r="X36" i="14"/>
  <c r="P87" i="81"/>
  <c r="X87" i="81" s="1"/>
  <c r="Z87" i="81" s="1"/>
  <c r="X84" i="81"/>
  <c r="Z84" i="81" s="1"/>
  <c r="N71" i="56"/>
  <c r="H74" i="56"/>
  <c r="L71" i="56"/>
  <c r="Z56" i="91"/>
  <c r="T112" i="42"/>
  <c r="V108" i="42"/>
  <c r="H81" i="73"/>
  <c r="N77" i="73"/>
  <c r="L77" i="73"/>
  <c r="H87" i="70"/>
  <c r="N83" i="70"/>
  <c r="J83" i="70"/>
  <c r="T123" i="39"/>
  <c r="X123" i="39" s="1"/>
  <c r="Z119" i="39"/>
  <c r="V119" i="39"/>
  <c r="P63" i="65"/>
  <c r="X59" i="65"/>
  <c r="Z59" i="65" s="1"/>
  <c r="R59" i="65"/>
  <c r="Z42" i="93"/>
  <c r="T45" i="93"/>
  <c r="N31" i="38"/>
  <c r="H36" i="38"/>
  <c r="N36" i="38" s="1"/>
  <c r="L69" i="57"/>
  <c r="H42" i="82"/>
  <c r="N39" i="82"/>
  <c r="D45" i="83"/>
  <c r="L45" i="83" s="1"/>
  <c r="L42" i="83"/>
  <c r="N42" i="83" s="1"/>
  <c r="T44" i="84"/>
  <c r="V41" i="84"/>
  <c r="D86" i="76"/>
  <c r="L83" i="76"/>
  <c r="F83" i="76"/>
  <c r="X31" i="100"/>
  <c r="D36" i="30"/>
  <c r="L31" i="30"/>
  <c r="T36" i="43"/>
  <c r="Z36" i="43" s="1"/>
  <c r="Z31" i="43"/>
  <c r="L31" i="29"/>
  <c r="D36" i="29"/>
  <c r="X108" i="42"/>
  <c r="Z108" i="42" s="1"/>
  <c r="P112" i="42"/>
  <c r="R108" i="42"/>
  <c r="N79" i="76"/>
  <c r="H83" i="76"/>
  <c r="P99" i="45"/>
  <c r="X95" i="45"/>
  <c r="Z95" i="45" s="1"/>
  <c r="R95" i="45"/>
  <c r="P31" i="96"/>
  <c r="X31" i="96" s="1"/>
  <c r="X28" i="96"/>
  <c r="Z28" i="96" s="1"/>
  <c r="H36" i="32"/>
  <c r="N36" i="32" s="1"/>
  <c r="N31" i="32"/>
  <c r="T37" i="89"/>
  <c r="Z34" i="89"/>
  <c r="L60" i="59"/>
  <c r="N60" i="59" s="1"/>
  <c r="Z31" i="33"/>
  <c r="T36" i="33"/>
  <c r="Z36" i="33" s="1"/>
  <c r="D36" i="98"/>
  <c r="L36" i="98" s="1"/>
  <c r="L31" i="98"/>
  <c r="H51" i="74"/>
  <c r="L48" i="74"/>
  <c r="N48" i="74" s="1"/>
  <c r="N108" i="62"/>
  <c r="P74" i="56"/>
  <c r="X74" i="56" s="1"/>
  <c r="Z74" i="56" s="1"/>
  <c r="X71" i="56"/>
  <c r="Z71" i="56" s="1"/>
  <c r="P54" i="60"/>
  <c r="X54" i="60" s="1"/>
  <c r="X51" i="60"/>
  <c r="X42" i="93"/>
  <c r="P45" i="93"/>
  <c r="R42" i="93"/>
  <c r="T122" i="36"/>
  <c r="Z118" i="36"/>
  <c r="V118" i="36"/>
  <c r="P92" i="64"/>
  <c r="X88" i="64"/>
  <c r="R88" i="64"/>
  <c r="H36" i="23"/>
  <c r="N36" i="23" s="1"/>
  <c r="N31" i="23"/>
  <c r="X34" i="78"/>
  <c r="P37" i="78"/>
  <c r="R34" i="78"/>
  <c r="T102" i="45"/>
  <c r="V99" i="45"/>
  <c r="H36" i="29"/>
  <c r="N36" i="29" s="1"/>
  <c r="N31" i="29"/>
  <c r="T33" i="75"/>
  <c r="Z29" i="75"/>
  <c r="V29" i="75"/>
  <c r="D36" i="10"/>
  <c r="L31" i="10"/>
  <c r="H90" i="85"/>
  <c r="J86" i="85"/>
  <c r="P70" i="48"/>
  <c r="X66" i="48"/>
  <c r="Z66" i="48" s="1"/>
  <c r="R66" i="48"/>
  <c r="Z88" i="64"/>
  <c r="T92" i="64"/>
  <c r="V88" i="64"/>
  <c r="X31" i="22"/>
  <c r="P36" i="22"/>
  <c r="X36" i="22" s="1"/>
  <c r="L31" i="8"/>
  <c r="D36" i="8"/>
  <c r="L26" i="6"/>
  <c r="D31" i="6"/>
  <c r="L31" i="6" s="1"/>
  <c r="P86" i="92"/>
  <c r="X82" i="92"/>
  <c r="Z82" i="92" s="1"/>
  <c r="R82" i="92"/>
  <c r="D170" i="28"/>
  <c r="L166" i="28"/>
  <c r="F166" i="28"/>
  <c r="H281" i="3"/>
  <c r="N276" i="3"/>
  <c r="J276" i="3"/>
  <c r="L34" i="55"/>
  <c r="N34" i="55" s="1"/>
  <c r="P77" i="86"/>
  <c r="X77" i="86" s="1"/>
  <c r="Z77" i="86" s="1"/>
  <c r="X74" i="86"/>
  <c r="Z74" i="86" s="1"/>
  <c r="D36" i="46"/>
  <c r="L36" i="46" s="1"/>
  <c r="L31" i="46"/>
  <c r="Z111" i="77"/>
  <c r="T115" i="77"/>
  <c r="V111" i="77"/>
  <c r="H170" i="28"/>
  <c r="N166" i="28"/>
  <c r="J166" i="28"/>
  <c r="Z251" i="18"/>
  <c r="T255" i="18"/>
  <c r="V251" i="18"/>
  <c r="T36" i="41"/>
  <c r="Z36" i="41" s="1"/>
  <c r="Z31" i="41"/>
  <c r="P173" i="34"/>
  <c r="X169" i="34"/>
  <c r="Z169" i="34" s="1"/>
  <c r="R169" i="34"/>
  <c r="D76" i="58"/>
  <c r="L76" i="58" s="1"/>
  <c r="L73" i="58"/>
  <c r="N73" i="58" s="1"/>
  <c r="D281" i="3"/>
  <c r="L276" i="3"/>
  <c r="F276" i="3"/>
  <c r="N31" i="13"/>
  <c r="H36" i="13"/>
  <c r="N36" i="13" s="1"/>
  <c r="P156" i="69"/>
  <c r="X153" i="69"/>
  <c r="Z153" i="69" s="1"/>
  <c r="R153" i="69"/>
  <c r="L95" i="45"/>
  <c r="N95" i="45" s="1"/>
  <c r="D99" i="45"/>
  <c r="F95" i="45"/>
  <c r="T229" i="15"/>
  <c r="Z225" i="15"/>
  <c r="V225" i="15"/>
  <c r="D36" i="40"/>
  <c r="L31" i="40"/>
  <c r="L31" i="26"/>
  <c r="Z31" i="8"/>
  <c r="T36" i="8"/>
  <c r="X31" i="8"/>
  <c r="P123" i="25"/>
  <c r="X119" i="25"/>
  <c r="Z119" i="25" s="1"/>
  <c r="R119" i="25"/>
  <c r="P94" i="94"/>
  <c r="X91" i="94"/>
  <c r="Z91" i="94" s="1"/>
  <c r="R91" i="94"/>
  <c r="L63" i="59"/>
  <c r="H36" i="8"/>
  <c r="N36" i="8" s="1"/>
  <c r="N31" i="8"/>
  <c r="D87" i="81"/>
  <c r="L87" i="81" s="1"/>
  <c r="L84" i="81"/>
  <c r="N84" i="81" s="1"/>
  <c r="H36" i="35"/>
  <c r="N36" i="35" s="1"/>
  <c r="N31" i="35"/>
  <c r="P36" i="29"/>
  <c r="X36" i="29" s="1"/>
  <c r="X31" i="29"/>
  <c r="X36" i="50"/>
  <c r="X36" i="46" l="1"/>
  <c r="X36" i="100"/>
  <c r="L36" i="10"/>
  <c r="L36" i="33"/>
  <c r="X36" i="38"/>
  <c r="L36" i="53"/>
  <c r="X36" i="53"/>
  <c r="X36" i="30"/>
  <c r="L36" i="13"/>
  <c r="X36" i="20"/>
  <c r="L36" i="17"/>
  <c r="L36" i="40"/>
  <c r="L36" i="30"/>
  <c r="L36" i="32"/>
  <c r="X36" i="10"/>
  <c r="X36" i="41"/>
  <c r="L36" i="41"/>
  <c r="X36" i="98"/>
  <c r="L36" i="16"/>
  <c r="L36" i="14"/>
  <c r="L281" i="3"/>
  <c r="F281" i="3"/>
  <c r="V102" i="45"/>
  <c r="F125" i="36"/>
  <c r="P57" i="67"/>
  <c r="X54" i="67"/>
  <c r="N36" i="24"/>
  <c r="L36" i="24"/>
  <c r="H232" i="15"/>
  <c r="J229" i="15"/>
  <c r="J73" i="97"/>
  <c r="T258" i="18"/>
  <c r="V255" i="18"/>
  <c r="N281" i="3"/>
  <c r="J281" i="3"/>
  <c r="H90" i="70"/>
  <c r="J87" i="70"/>
  <c r="V126" i="66"/>
  <c r="R54" i="90"/>
  <c r="D57" i="67"/>
  <c r="L57" i="67" s="1"/>
  <c r="L54" i="67"/>
  <c r="N54" i="67" s="1"/>
  <c r="L36" i="23"/>
  <c r="T90" i="95"/>
  <c r="Z87" i="95"/>
  <c r="N87" i="95"/>
  <c r="H90" i="95"/>
  <c r="N57" i="67"/>
  <c r="X36" i="24"/>
  <c r="F90" i="95"/>
  <c r="N77" i="86"/>
  <c r="D126" i="66"/>
  <c r="L123" i="66"/>
  <c r="F123" i="66"/>
  <c r="N56" i="91"/>
  <c r="L56" i="91"/>
  <c r="H37" i="78"/>
  <c r="J34" i="78"/>
  <c r="X94" i="94"/>
  <c r="R94" i="94"/>
  <c r="D126" i="39"/>
  <c r="L123" i="39"/>
  <c r="F123" i="39"/>
  <c r="N31" i="6"/>
  <c r="L36" i="8"/>
  <c r="R37" i="78"/>
  <c r="L36" i="29"/>
  <c r="L74" i="56"/>
  <c r="N74" i="56" s="1"/>
  <c r="V93" i="85"/>
  <c r="H102" i="45"/>
  <c r="J99" i="45"/>
  <c r="H36" i="75"/>
  <c r="J33" i="75"/>
  <c r="T93" i="31"/>
  <c r="V90" i="31"/>
  <c r="J126" i="25"/>
  <c r="H35" i="87"/>
  <c r="J32" i="87"/>
  <c r="X36" i="49"/>
  <c r="N36" i="19"/>
  <c r="L36" i="19"/>
  <c r="P73" i="97"/>
  <c r="X70" i="97"/>
  <c r="Z70" i="97" s="1"/>
  <c r="R70" i="97"/>
  <c r="P36" i="75"/>
  <c r="X33" i="75"/>
  <c r="R33" i="75"/>
  <c r="L36" i="35"/>
  <c r="H156" i="69"/>
  <c r="J153" i="69"/>
  <c r="R110" i="51"/>
  <c r="X36" i="47"/>
  <c r="L54" i="90"/>
  <c r="F54" i="90"/>
  <c r="R84" i="73"/>
  <c r="X45" i="83"/>
  <c r="Z45" i="83" s="1"/>
  <c r="N39" i="88"/>
  <c r="X36" i="43"/>
  <c r="N63" i="59"/>
  <c r="N123" i="39"/>
  <c r="H126" i="39"/>
  <c r="J123" i="39"/>
  <c r="P281" i="3"/>
  <c r="X276" i="3"/>
  <c r="Z276" i="3" s="1"/>
  <c r="R276" i="3"/>
  <c r="D89" i="92"/>
  <c r="L86" i="92"/>
  <c r="F86" i="92"/>
  <c r="D90" i="70"/>
  <c r="L87" i="70"/>
  <c r="N87" i="70" s="1"/>
  <c r="F87" i="70"/>
  <c r="P126" i="25"/>
  <c r="X123" i="25"/>
  <c r="R123" i="25"/>
  <c r="X156" i="69"/>
  <c r="Z156" i="69" s="1"/>
  <c r="R156" i="69"/>
  <c r="P73" i="48"/>
  <c r="X70" i="48"/>
  <c r="Z70" i="48" s="1"/>
  <c r="R70" i="48"/>
  <c r="Z33" i="75"/>
  <c r="T36" i="75"/>
  <c r="V33" i="75"/>
  <c r="T125" i="36"/>
  <c r="V122" i="36"/>
  <c r="N42" i="82"/>
  <c r="P66" i="65"/>
  <c r="X63" i="65"/>
  <c r="R63" i="65"/>
  <c r="L36" i="99"/>
  <c r="T89" i="92"/>
  <c r="V86" i="92"/>
  <c r="X90" i="95"/>
  <c r="R90" i="95"/>
  <c r="V156" i="69"/>
  <c r="N54" i="90"/>
  <c r="D104" i="21"/>
  <c r="L101" i="21"/>
  <c r="N101" i="21" s="1"/>
  <c r="F101" i="21"/>
  <c r="D110" i="51"/>
  <c r="L107" i="51"/>
  <c r="F107" i="51"/>
  <c r="D95" i="64"/>
  <c r="L92" i="64"/>
  <c r="F92" i="64"/>
  <c r="L94" i="94"/>
  <c r="F94" i="94"/>
  <c r="T110" i="71"/>
  <c r="V107" i="71"/>
  <c r="H110" i="51"/>
  <c r="N107" i="51"/>
  <c r="J107" i="51"/>
  <c r="H115" i="42"/>
  <c r="J112" i="42"/>
  <c r="D156" i="69"/>
  <c r="L153" i="69"/>
  <c r="N153" i="69" s="1"/>
  <c r="F153" i="69"/>
  <c r="Z101" i="21"/>
  <c r="T104" i="21"/>
  <c r="V101" i="21"/>
  <c r="T37" i="78"/>
  <c r="Z34" i="78"/>
  <c r="V34" i="78"/>
  <c r="P118" i="77"/>
  <c r="X115" i="77"/>
  <c r="R115" i="77"/>
  <c r="L45" i="93"/>
  <c r="F45" i="93"/>
  <c r="P93" i="31"/>
  <c r="X90" i="31"/>
  <c r="Z90" i="31" s="1"/>
  <c r="R90" i="31"/>
  <c r="N36" i="27"/>
  <c r="L36" i="27"/>
  <c r="L66" i="65"/>
  <c r="F66" i="65"/>
  <c r="N87" i="81"/>
  <c r="L39" i="80"/>
  <c r="X93" i="85"/>
  <c r="Z93" i="85" s="1"/>
  <c r="R93" i="85"/>
  <c r="N76" i="58"/>
  <c r="D37" i="78"/>
  <c r="L34" i="78"/>
  <c r="N34" i="78" s="1"/>
  <c r="F34" i="78"/>
  <c r="N97" i="9"/>
  <c r="N39" i="80"/>
  <c r="H89" i="92"/>
  <c r="N86" i="92"/>
  <c r="J86" i="92"/>
  <c r="D258" i="18"/>
  <c r="L255" i="18"/>
  <c r="N255" i="18" s="1"/>
  <c r="F255" i="18"/>
  <c r="L115" i="42"/>
  <c r="F115" i="42"/>
  <c r="T232" i="15"/>
  <c r="V229" i="15"/>
  <c r="D173" i="28"/>
  <c r="L170" i="28"/>
  <c r="F170" i="28"/>
  <c r="P102" i="45"/>
  <c r="X99" i="45"/>
  <c r="Z99" i="45" s="1"/>
  <c r="R99" i="45"/>
  <c r="F86" i="76"/>
  <c r="H84" i="73"/>
  <c r="N81" i="73"/>
  <c r="L81" i="73"/>
  <c r="P232" i="15"/>
  <c r="X229" i="15"/>
  <c r="Z229" i="15" s="1"/>
  <c r="R229" i="15"/>
  <c r="P91" i="79"/>
  <c r="X88" i="79"/>
  <c r="Z88" i="79" s="1"/>
  <c r="R88" i="79"/>
  <c r="D126" i="25"/>
  <c r="L123" i="25"/>
  <c r="N123" i="25" s="1"/>
  <c r="F123" i="25"/>
  <c r="N69" i="57"/>
  <c r="X101" i="21"/>
  <c r="P104" i="21"/>
  <c r="R101" i="21"/>
  <c r="H176" i="34"/>
  <c r="J173" i="34"/>
  <c r="T110" i="51"/>
  <c r="Z107" i="51"/>
  <c r="V107" i="51"/>
  <c r="J104" i="21"/>
  <c r="Z54" i="60"/>
  <c r="L36" i="100"/>
  <c r="V90" i="70"/>
  <c r="N44" i="84"/>
  <c r="L44" i="84"/>
  <c r="R126" i="39"/>
  <c r="X36" i="33"/>
  <c r="P115" i="42"/>
  <c r="X112" i="42"/>
  <c r="R112" i="42"/>
  <c r="J258" i="18"/>
  <c r="V73" i="97"/>
  <c r="Z36" i="8"/>
  <c r="X36" i="8"/>
  <c r="X173" i="34"/>
  <c r="P176" i="34"/>
  <c r="R173" i="34"/>
  <c r="N170" i="28"/>
  <c r="H173" i="28"/>
  <c r="J170" i="28"/>
  <c r="X45" i="93"/>
  <c r="R45" i="93"/>
  <c r="Z37" i="89"/>
  <c r="H86" i="76"/>
  <c r="N83" i="76"/>
  <c r="H118" i="77"/>
  <c r="N115" i="77"/>
  <c r="J115" i="77"/>
  <c r="P125" i="36"/>
  <c r="X122" i="36"/>
  <c r="Z122" i="36" s="1"/>
  <c r="R122" i="36"/>
  <c r="D232" i="15"/>
  <c r="L229" i="15"/>
  <c r="N229" i="15" s="1"/>
  <c r="F229" i="15"/>
  <c r="Z36" i="4"/>
  <c r="X36" i="4"/>
  <c r="L115" i="77"/>
  <c r="Z76" i="58"/>
  <c r="Z123" i="25"/>
  <c r="T126" i="25"/>
  <c r="V123" i="25"/>
  <c r="H73" i="48"/>
  <c r="N70" i="48"/>
  <c r="J70" i="48"/>
  <c r="L70" i="48"/>
  <c r="L36" i="38"/>
  <c r="D242" i="12"/>
  <c r="L239" i="12"/>
  <c r="F239" i="12"/>
  <c r="N66" i="65"/>
  <c r="N37" i="55"/>
  <c r="Z36" i="44"/>
  <c r="X36" i="44"/>
  <c r="J93" i="31"/>
  <c r="L36" i="49"/>
  <c r="Z36" i="35"/>
  <c r="X36" i="35"/>
  <c r="Z97" i="9"/>
  <c r="N45" i="83"/>
  <c r="P86" i="76"/>
  <c r="X83" i="76"/>
  <c r="Z83" i="76" s="1"/>
  <c r="R83" i="76"/>
  <c r="D102" i="45"/>
  <c r="L99" i="45"/>
  <c r="N99" i="45" s="1"/>
  <c r="F99" i="45"/>
  <c r="H93" i="85"/>
  <c r="J90" i="85"/>
  <c r="N51" i="74"/>
  <c r="L51" i="74"/>
  <c r="V44" i="84"/>
  <c r="T126" i="39"/>
  <c r="Z123" i="39"/>
  <c r="V123" i="39"/>
  <c r="T115" i="42"/>
  <c r="Z112" i="42"/>
  <c r="V112" i="42"/>
  <c r="N36" i="47"/>
  <c r="L36" i="47"/>
  <c r="T242" i="12"/>
  <c r="V239" i="12"/>
  <c r="X36" i="27"/>
  <c r="F118" i="77"/>
  <c r="T173" i="28"/>
  <c r="Z170" i="28"/>
  <c r="V170" i="28"/>
  <c r="T54" i="90"/>
  <c r="Z51" i="90"/>
  <c r="T66" i="65"/>
  <c r="Z63" i="65"/>
  <c r="H110" i="71"/>
  <c r="J107" i="71"/>
  <c r="Z81" i="73"/>
  <c r="T84" i="73"/>
  <c r="V81" i="73"/>
  <c r="D36" i="75"/>
  <c r="L33" i="75"/>
  <c r="N33" i="75" s="1"/>
  <c r="F33" i="75"/>
  <c r="X36" i="13"/>
  <c r="T176" i="34"/>
  <c r="Z173" i="34"/>
  <c r="V173" i="34"/>
  <c r="L31" i="54"/>
  <c r="N31" i="54" s="1"/>
  <c r="X126" i="66"/>
  <c r="Z126" i="66" s="1"/>
  <c r="R126" i="66"/>
  <c r="P110" i="71"/>
  <c r="X107" i="71"/>
  <c r="Z107" i="71" s="1"/>
  <c r="R107" i="71"/>
  <c r="L91" i="79"/>
  <c r="N91" i="79" s="1"/>
  <c r="F91" i="79"/>
  <c r="Z31" i="96"/>
  <c r="P173" i="28"/>
  <c r="X170" i="28"/>
  <c r="R170" i="28"/>
  <c r="L36" i="26"/>
  <c r="D176" i="34"/>
  <c r="L173" i="34"/>
  <c r="N173" i="34" s="1"/>
  <c r="F173" i="34"/>
  <c r="P44" i="84"/>
  <c r="X44" i="84" s="1"/>
  <c r="Z44" i="84" s="1"/>
  <c r="X41" i="84"/>
  <c r="Z41" i="84" s="1"/>
  <c r="Z51" i="74"/>
  <c r="N37" i="89"/>
  <c r="D93" i="31"/>
  <c r="L90" i="31"/>
  <c r="N90" i="31" s="1"/>
  <c r="F90" i="31"/>
  <c r="P95" i="64"/>
  <c r="X92" i="64"/>
  <c r="Z92" i="64" s="1"/>
  <c r="R92" i="64"/>
  <c r="Z115" i="77"/>
  <c r="T118" i="77"/>
  <c r="V115" i="77"/>
  <c r="P89" i="92"/>
  <c r="X86" i="92"/>
  <c r="Z86" i="92" s="1"/>
  <c r="R86" i="92"/>
  <c r="T95" i="64"/>
  <c r="V92" i="64"/>
  <c r="Z45" i="93"/>
  <c r="N94" i="94"/>
  <c r="J94" i="94"/>
  <c r="X90" i="70"/>
  <c r="Z90" i="70" s="1"/>
  <c r="R90" i="70"/>
  <c r="V281" i="3"/>
  <c r="Z54" i="67"/>
  <c r="T57" i="67"/>
  <c r="L36" i="20"/>
  <c r="H95" i="64"/>
  <c r="N92" i="64"/>
  <c r="P258" i="18"/>
  <c r="X255" i="18"/>
  <c r="Z255" i="18" s="1"/>
  <c r="R255" i="18"/>
  <c r="P242" i="12"/>
  <c r="X239" i="12"/>
  <c r="Z239" i="12" s="1"/>
  <c r="R239" i="12"/>
  <c r="Z94" i="94"/>
  <c r="V94" i="94"/>
  <c r="L36" i="4"/>
  <c r="L73" i="97"/>
  <c r="N73" i="97" s="1"/>
  <c r="F73" i="97"/>
  <c r="N122" i="36"/>
  <c r="H125" i="36"/>
  <c r="J122" i="36"/>
  <c r="Z108" i="62"/>
  <c r="N123" i="66"/>
  <c r="H126" i="66"/>
  <c r="J123" i="66"/>
  <c r="L112" i="42"/>
  <c r="N112" i="42" s="1"/>
  <c r="L32" i="87"/>
  <c r="N32" i="87" s="1"/>
  <c r="H242" i="12"/>
  <c r="N239" i="12"/>
  <c r="J239" i="12"/>
  <c r="L36" i="50"/>
  <c r="D93" i="85"/>
  <c r="L90" i="85"/>
  <c r="N90" i="85" s="1"/>
  <c r="F90" i="85"/>
  <c r="D110" i="71"/>
  <c r="L107" i="71"/>
  <c r="N107" i="71" s="1"/>
  <c r="F107" i="71"/>
  <c r="Z39" i="88"/>
  <c r="L242" i="12" l="1"/>
  <c r="F242" i="12"/>
  <c r="V232" i="15"/>
  <c r="J89" i="92"/>
  <c r="V110" i="71"/>
  <c r="L110" i="51"/>
  <c r="N110" i="51" s="1"/>
  <c r="F110" i="51"/>
  <c r="X36" i="75"/>
  <c r="R36" i="75"/>
  <c r="X89" i="92"/>
  <c r="R89" i="92"/>
  <c r="X95" i="64"/>
  <c r="R95" i="64"/>
  <c r="Z84" i="73"/>
  <c r="V84" i="73"/>
  <c r="Z54" i="90"/>
  <c r="V115" i="42"/>
  <c r="X115" i="42"/>
  <c r="Z115" i="42" s="1"/>
  <c r="R115" i="42"/>
  <c r="Z110" i="51"/>
  <c r="V110" i="51"/>
  <c r="X93" i="31"/>
  <c r="R93" i="31"/>
  <c r="V37" i="78"/>
  <c r="N115" i="42"/>
  <c r="J115" i="42"/>
  <c r="X73" i="48"/>
  <c r="Z73" i="48" s="1"/>
  <c r="R73" i="48"/>
  <c r="L90" i="70"/>
  <c r="F90" i="70"/>
  <c r="X110" i="51"/>
  <c r="L126" i="39"/>
  <c r="F126" i="39"/>
  <c r="X57" i="67"/>
  <c r="N242" i="12"/>
  <c r="J242" i="12"/>
  <c r="J125" i="36"/>
  <c r="X86" i="76"/>
  <c r="Z86" i="76" s="1"/>
  <c r="R86" i="76"/>
  <c r="X125" i="36"/>
  <c r="R125" i="36"/>
  <c r="X232" i="15"/>
  <c r="Z232" i="15" s="1"/>
  <c r="R232" i="15"/>
  <c r="X102" i="45"/>
  <c r="Z102" i="45" s="1"/>
  <c r="R102" i="45"/>
  <c r="Z89" i="92"/>
  <c r="V89" i="92"/>
  <c r="X84" i="73"/>
  <c r="N35" i="87"/>
  <c r="J35" i="87"/>
  <c r="J36" i="75"/>
  <c r="L110" i="71"/>
  <c r="F110" i="71"/>
  <c r="Z57" i="67"/>
  <c r="V118" i="77"/>
  <c r="L176" i="34"/>
  <c r="N176" i="34" s="1"/>
  <c r="F176" i="34"/>
  <c r="Z176" i="34"/>
  <c r="V176" i="34"/>
  <c r="V242" i="12"/>
  <c r="J93" i="85"/>
  <c r="J176" i="34"/>
  <c r="Z104" i="21"/>
  <c r="V104" i="21"/>
  <c r="L104" i="21"/>
  <c r="N104" i="21" s="1"/>
  <c r="F104" i="21"/>
  <c r="Z125" i="36"/>
  <c r="V125" i="36"/>
  <c r="N126" i="39"/>
  <c r="J126" i="39"/>
  <c r="X73" i="97"/>
  <c r="Z73" i="97" s="1"/>
  <c r="R73" i="97"/>
  <c r="L126" i="66"/>
  <c r="N126" i="66" s="1"/>
  <c r="F126" i="66"/>
  <c r="X54" i="90"/>
  <c r="L125" i="36"/>
  <c r="N125" i="36" s="1"/>
  <c r="X242" i="12"/>
  <c r="Z242" i="12" s="1"/>
  <c r="R242" i="12"/>
  <c r="L93" i="31"/>
  <c r="N93" i="31" s="1"/>
  <c r="F93" i="31"/>
  <c r="V173" i="28"/>
  <c r="V126" i="39"/>
  <c r="N173" i="28"/>
  <c r="J173" i="28"/>
  <c r="L126" i="25"/>
  <c r="N126" i="25" s="1"/>
  <c r="F126" i="25"/>
  <c r="L89" i="92"/>
  <c r="N89" i="92" s="1"/>
  <c r="F89" i="92"/>
  <c r="J156" i="69"/>
  <c r="X37" i="78"/>
  <c r="Z37" i="78" s="1"/>
  <c r="Z90" i="95"/>
  <c r="V258" i="18"/>
  <c r="N232" i="15"/>
  <c r="J232" i="15"/>
  <c r="Z95" i="64"/>
  <c r="V95" i="64"/>
  <c r="X110" i="71"/>
  <c r="Z110" i="71" s="1"/>
  <c r="R110" i="71"/>
  <c r="N110" i="71"/>
  <c r="J110" i="71"/>
  <c r="N73" i="48"/>
  <c r="J73" i="48"/>
  <c r="L73" i="48"/>
  <c r="J118" i="77"/>
  <c r="L84" i="73"/>
  <c r="N84" i="73" s="1"/>
  <c r="L173" i="28"/>
  <c r="F173" i="28"/>
  <c r="L258" i="18"/>
  <c r="N258" i="18" s="1"/>
  <c r="F258" i="18"/>
  <c r="L37" i="78"/>
  <c r="N37" i="78" s="1"/>
  <c r="F37" i="78"/>
  <c r="J110" i="51"/>
  <c r="L95" i="64"/>
  <c r="N95" i="64" s="1"/>
  <c r="F95" i="64"/>
  <c r="Z36" i="75"/>
  <c r="V36" i="75"/>
  <c r="N102" i="45"/>
  <c r="J102" i="45"/>
  <c r="J37" i="78"/>
  <c r="L35" i="87"/>
  <c r="L93" i="85"/>
  <c r="N93" i="85" s="1"/>
  <c r="F93" i="85"/>
  <c r="J126" i="66"/>
  <c r="L118" i="77"/>
  <c r="N118" i="77" s="1"/>
  <c r="L102" i="45"/>
  <c r="F102" i="45"/>
  <c r="X126" i="39"/>
  <c r="Z126" i="39" s="1"/>
  <c r="X104" i="21"/>
  <c r="R104" i="21"/>
  <c r="X118" i="77"/>
  <c r="Z118" i="77" s="1"/>
  <c r="R118" i="77"/>
  <c r="X126" i="25"/>
  <c r="Z126" i="25" s="1"/>
  <c r="R126" i="25"/>
  <c r="Z93" i="31"/>
  <c r="V93" i="31"/>
  <c r="L90" i="95"/>
  <c r="N90" i="95" s="1"/>
  <c r="X258" i="18"/>
  <c r="Z258" i="18" s="1"/>
  <c r="R258" i="18"/>
  <c r="X173" i="28"/>
  <c r="Z173" i="28" s="1"/>
  <c r="R173" i="28"/>
  <c r="L36" i="75"/>
  <c r="N36" i="75" s="1"/>
  <c r="F36" i="75"/>
  <c r="V126" i="25"/>
  <c r="L232" i="15"/>
  <c r="F232" i="15"/>
  <c r="N86" i="76"/>
  <c r="X176" i="34"/>
  <c r="R176" i="34"/>
  <c r="X91" i="79"/>
  <c r="Z91" i="79" s="1"/>
  <c r="R91" i="79"/>
  <c r="L86" i="76"/>
  <c r="L156" i="69"/>
  <c r="N156" i="69" s="1"/>
  <c r="F156" i="69"/>
  <c r="X66" i="65"/>
  <c r="Z66" i="65" s="1"/>
  <c r="R66" i="65"/>
  <c r="X281" i="3"/>
  <c r="Z281" i="3" s="1"/>
  <c r="R281" i="3"/>
  <c r="N90" i="70"/>
  <c r="J90" i="7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<sst xmlns="http://schemas.openxmlformats.org/spreadsheetml/2006/main" count="2870" uniqueCount="315">
  <si>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</si>
  <si>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</si>
  <si>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</si>
  <si>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</si>
  <si>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</si>
  <si>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</si>
  <si>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</si>
  <si>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</si>
  <si>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</si>
  <si>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</si>
  <si>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</si>
  <si>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</si>
  <si>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</si>
  <si>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</si>
  <si>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</si>
  <si>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</si>
  <si>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</si>
  <si>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</si>
  <si>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</si>
  <si>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</si>
  <si>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</si>
  <si>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</si>
  <si>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</si>
  <si>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</si>
  <si>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</si>
  <si>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</si>
  <si>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</si>
  <si>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</si>
  <si>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</si>
  <si>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</si>
  <si>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</si>
  <si>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</si>
  <si>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</si>
  <si>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</si>
  <si>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</si>
  <si>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</si>
  <si>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</si>
  <si>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</si>
  <si>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</si>
  <si>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</si>
  <si>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</si>
  <si>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</si>
  <si>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</si>
  <si>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</si>
  <si>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</si>
  <si>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</si>
  <si>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</si>
  <si>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</si>
  <si>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</si>
  <si>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</si>
  <si>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</si>
  <si>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</si>
  <si>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</si>
  <si>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</si>
  <si>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</si>
  <si>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</si>
  <si>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</si>
  <si>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</si>
  <si>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</si>
  <si>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</si>
  <si>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</si>
  <si>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</si>
  <si>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</si>
  <si>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</si>
  <si>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</si>
  <si>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</si>
  <si>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</si>
  <si>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</si>
  <si>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</si>
  <si>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</si>
  <si>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</si>
  <si>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</si>
  <si>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</si>
  <si>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</si>
  <si>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</si>
  <si>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</si>
  <si>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</si>
  <si>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</si>
  <si>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</si>
  <si>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</si>
  <si>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</si>
  <si>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</si>
  <si>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</si>
  <si>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</si>
  <si>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</si>
  <si>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</si>
  <si>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</si>
  <si>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</si>
  <si>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</si>
  <si>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</si>
  <si>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</si>
  <si>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</si>
  <si>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</si>
  <si>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</si>
  <si>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</si>
  <si>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</si>
  <si>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</si>
  <si>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</si>
  <si>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</si>
  <si>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</si>
  <si>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</si>
  <si>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</si>
  <si>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</si>
  <si>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</si>
  <si>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</si>
  <si>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</si>
  <si>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</si>
  <si>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</si>
  <si>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</si>
  <si>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</si>
  <si>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</si>
  <si>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</si>
  <si>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</si>
  <si>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</si>
  <si>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</si>
  <si>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</si>
  <si>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</si>
  <si>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</si>
  <si>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</si>
  <si>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</si>
  <si>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</si>
  <si>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</si>
  <si>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</si>
  <si>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</si>
  <si>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</si>
  <si>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</si>
  <si>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</si>
  <si>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</si>
  <si>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</si>
  <si>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</si>
  <si>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</si>
  <si>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</si>
  <si>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</si>
  <si>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</si>
  <si>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</si>
  <si>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</si>
  <si>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</si>
  <si>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</si>
  <si>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</si>
  <si>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</si>
  <si>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</si>
  <si>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</si>
  <si>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</si>
  <si>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</si>
  <si>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</si>
  <si>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</si>
  <si>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</si>
  <si>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</si>
  <si>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</si>
  <si>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</si>
  <si>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</si>
  <si>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</si>
  <si>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</si>
  <si>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</si>
  <si>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</si>
  <si>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</si>
  <si>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</si>
  <si>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</si>
  <si>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</si>
  <si>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</si>
  <si>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</si>
  <si>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</si>
  <si>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</si>
  <si>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</si>
  <si>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</si>
  <si>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</si>
  <si>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</si>
  <si>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</si>
  <si>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</si>
  <si>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</si>
  <si>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</si>
  <si>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</si>
  <si>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</si>
  <si>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</si>
  <si>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</si>
  <si>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</si>
  <si>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</si>
  <si>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</si>
  <si>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</si>
  <si>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</si>
  <si>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</si>
  <si>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</si>
  <si>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</si>
  <si>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</si>
  <si>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</si>
  <si>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</si>
  <si>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</si>
  <si>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</si>
  <si>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</si>
  <si>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</si>
  <si>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</si>
  <si>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</si>
  <si>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</si>
  <si>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</si>
  <si>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</si>
  <si>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</si>
  <si>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</si>
  <si>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</si>
  <si>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</si>
  <si>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</si>
  <si>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</si>
  <si>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</si>
  <si>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</si>
  <si>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</si>
  <si>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</si>
  <si>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</si>
  <si>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</si>
  <si>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</si>
  <si>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</si>
  <si>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</si>
  <si>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</si>
  <si>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</si>
  <si>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</si>
  <si>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</si>
  <si>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</si>
  <si>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</si>
  <si>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</si>
  <si>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</si>
  <si>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</si>
  <si>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</si>
  <si>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</si>
  <si>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</si>
  <si>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</si>
  <si>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</si>
  <si>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</si>
  <si>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</si>
  <si>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</si>
  <si>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</si>
  <si>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</si>
  <si>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</si>
  <si>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</si>
  <si>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</si>
  <si>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</si>
  <si>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</si>
  <si>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</si>
  <si>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</si>
  <si>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</si>
  <si>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</si>
  <si>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</si>
  <si>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</si>
  <si>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</si>
  <si>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</si>
  <si>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</si>
  <si>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</si>
  <si>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</si>
  <si>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</si>
  <si>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</si>
  <si>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</si>
  <si>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</si>
  <si>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</si>
  <si>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</si>
  <si>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</si>
  <si>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</si>
  <si>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</si>
  <si>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</si>
  <si>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</si>
  <si>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</si>
  <si>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</si>
  <si>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</si>
  <si>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</si>
  <si>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</si>
  <si>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</si>
  <si>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</si>
  <si>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</si>
  <si>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</si>
  <si>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</si>
  <si>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</si>
  <si>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</si>
  <si>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</si>
  <si>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</si>
  <si>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</si>
  <si>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</si>
  <si>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</si>
  <si>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</si>
  <si>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</si>
  <si>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</si>
  <si>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</si>
  <si>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</si>
  <si>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</si>
  <si>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</si>
  <si>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</si>
  <si>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</si>
  <si>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</si>
  <si>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Prior Year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</si>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</sst>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/d/yy\ h:mm\ AM/PM;@"/>
    <numFmt numFmtId="168" formatCode="[$-409]mmmm\ d\,\ yyyy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sz val="8"/>
      <color theme="0" tint="-0.499984740745262"/>
      <name val="Calibri"/>
      <scheme val="minor"/>
    </font>
    <font>
      <sz val="11"/>
      <color theme="0" tint="-0.499984740745262"/>
      <name val="Calibri"/>
      <scheme val="minor"/>
    </font>
    <font>
      <b/>
      <sz val="12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1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4" fontId="2" fillId="0" borderId="0" xfId="1" applyNumberFormat="1" applyFont="1" applyAlignment="1"/>
    <xf numFmtId="165" fontId="0" fillId="0" borderId="0" xfId="3" applyNumberFormat="1" applyFont="1" applyAlignment="1"/>
    <xf numFmtId="164" fontId="3" fillId="0" borderId="0" xfId="1" applyNumberFormat="1" applyFont="1" applyAlignment="1"/>
    <xf numFmtId="165" fontId="3" fillId="0" borderId="0" xfId="3" applyNumberFormat="1" applyFont="1" applyAlignment="1"/>
    <xf numFmtId="165" fontId="0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165" fontId="2" fillId="0" borderId="0" xfId="3" applyNumberFormat="1" applyFont="1" applyAlignment="1"/>
    <xf numFmtId="0" fontId="0" fillId="0" borderId="0" xfId="0" applyNumberFormat="1" applyFont="1"/>
    <xf numFmtId="164" fontId="2" fillId="2" borderId="0" xfId="1" applyNumberFormat="1" applyFont="1" applyFill="1" applyAlignme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164" fontId="0" fillId="0" borderId="0" xfId="1" applyNumberFormat="1" applyFont="1" applyAlignment="1"/>
    <xf numFmtId="0" fontId="0" fillId="0" borderId="0" xfId="0" applyNumberFormat="1" applyFont="1" applyAlignment="1">
      <alignment horizontal="left"/>
    </xf>
    <xf numFmtId="165" fontId="3" fillId="0" borderId="0" xfId="3" applyNumberFormat="1" applyFont="1" applyAlignment="1"/>
    <xf numFmtId="164" fontId="2" fillId="0" borderId="0" xfId="1" applyNumberFormat="1" applyFont="1" applyAlignment="1"/>
    <xf numFmtId="166" fontId="2" fillId="2" borderId="2" xfId="2" applyNumberFormat="1" applyFont="1" applyFill="1" applyBorder="1" applyAlignment="1"/>
    <xf numFmtId="165" fontId="2" fillId="2" borderId="2" xfId="3" applyNumberFormat="1" applyFont="1" applyFill="1" applyBorder="1" applyAlignment="1"/>
    <xf numFmtId="0" fontId="2" fillId="0" borderId="0" xfId="0" applyNumberFormat="1" applyFont="1"/>
    <xf numFmtId="49" fontId="3" fillId="0" borderId="0" xfId="0" applyNumberFormat="1" applyFont="1" applyAlignment="1">
      <alignment horizontal="right"/>
    </xf>
    <xf numFmtId="49" fontId="0" fillId="0" borderId="0" xfId="0" applyNumberFormat="1" applyFont="1" applyAlignment="1">
      <alignment horizontal="right"/>
    </xf>
    <xf numFmtId="0" fontId="2" fillId="2" borderId="0" xfId="0" applyNumberFormat="1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center"/>
    </xf>
    <xf numFmtId="165" fontId="2" fillId="2" borderId="3" xfId="3" applyNumberFormat="1" applyFont="1" applyFill="1" applyBorder="1" applyAlignment="1"/>
    <xf numFmtId="165" fontId="2" fillId="0" borderId="0" xfId="3" applyNumberFormat="1" applyFont="1" applyAlignment="1"/>
    <xf numFmtId="166" fontId="2" fillId="2" borderId="4" xfId="2" applyNumberFormat="1" applyFont="1" applyFill="1" applyBorder="1" applyAlignment="1"/>
    <xf numFmtId="165" fontId="2" fillId="2" borderId="1" xfId="3" applyNumberFormat="1" applyFont="1" applyFill="1" applyBorder="1" applyAlignment="1">
      <alignment horizontal="center"/>
    </xf>
    <xf numFmtId="165" fontId="2" fillId="2" borderId="4" xfId="3" applyNumberFormat="1" applyFont="1" applyFill="1" applyBorder="1" applyAlignment="1"/>
    <xf numFmtId="166" fontId="2" fillId="2" borderId="3" xfId="2" applyNumberFormat="1" applyFont="1" applyFill="1" applyBorder="1" applyAlignment="1"/>
    <xf numFmtId="0" fontId="0" fillId="0" borderId="0" xfId="0" applyNumberFormat="1" applyFont="1"/>
    <xf numFmtId="165" fontId="2" fillId="2" borderId="1" xfId="3" applyNumberFormat="1" applyFont="1" applyFill="1" applyBorder="1" applyAlignment="1">
      <alignment horizontal="left"/>
    </xf>
    <xf numFmtId="165" fontId="0" fillId="0" borderId="0" xfId="0" applyNumberFormat="1" applyFont="1" applyAlignment="1">
      <alignment horizontal="left"/>
    </xf>
    <xf numFmtId="0" fontId="0" fillId="3" borderId="5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/>
    </xf>
    <xf numFmtId="165" fontId="0" fillId="0" borderId="0" xfId="1" applyNumberFormat="1" applyFont="1" applyAlignment="1"/>
    <xf numFmtId="49" fontId="3" fillId="0" borderId="0" xfId="0" applyNumberFormat="1" applyFont="1"/>
    <xf numFmtId="165" fontId="2" fillId="2" borderId="1" xfId="0" applyNumberFormat="1" applyFont="1" applyFill="1" applyBorder="1" applyAlignment="1">
      <alignment horizontal="left"/>
    </xf>
    <xf numFmtId="165" fontId="0" fillId="0" borderId="0" xfId="0" applyNumberFormat="1" applyFont="1"/>
    <xf numFmtId="0" fontId="2" fillId="2" borderId="1" xfId="0" applyNumberFormat="1" applyFont="1" applyFill="1" applyBorder="1" applyAlignment="1">
      <alignment horizontal="center"/>
    </xf>
    <xf numFmtId="165" fontId="0" fillId="0" borderId="0" xfId="3" applyNumberFormat="1" applyFont="1" applyAlignment="1">
      <alignment horizontal="left"/>
    </xf>
    <xf numFmtId="164" fontId="2" fillId="0" borderId="0" xfId="1" applyNumberFormat="1" applyFont="1" applyAlignment="1">
      <alignment horizontal="left"/>
    </xf>
    <xf numFmtId="49" fontId="2" fillId="0" borderId="0" xfId="0" applyNumberFormat="1" applyFont="1"/>
    <xf numFmtId="0" fontId="2" fillId="0" borderId="0" xfId="0" applyNumberFormat="1" applyFont="1"/>
    <xf numFmtId="167" fontId="4" fillId="0" borderId="0" xfId="0" applyNumberFormat="1" applyFont="1" applyAlignment="1">
      <alignment horizontal="left"/>
    </xf>
    <xf numFmtId="164" fontId="2" fillId="0" borderId="0" xfId="1" applyNumberFormat="1" applyFont="1" applyAlignment="1">
      <alignment horizontal="left"/>
    </xf>
    <xf numFmtId="0" fontId="0" fillId="0" borderId="0" xfId="0" applyNumberFormat="1" applyFont="1" applyAlignment="1">
      <alignment horizontal="left"/>
    </xf>
    <xf numFmtId="0" fontId="4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0" fontId="5" fillId="0" borderId="0" xfId="0" applyNumberFormat="1" applyFont="1"/>
    <xf numFmtId="0" fontId="6" fillId="0" borderId="0" xfId="0" applyNumberFormat="1" applyFont="1"/>
    <xf numFmtId="168" fontId="0" fillId="0" borderId="0" xfId="0" applyNumberFormat="1" applyFont="1"/>
    <xf numFmtId="49" fontId="2" fillId="2" borderId="1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eetMetadata" Target="metadata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987CA-E88C-1659-ABDD-CF1E17B12971}">
  <dimension ref="A1:DZ3"/>
  <sheetViews>
    <sheetView showGridLines="0" defaultGridColor="0" colorId="8" workbookViewId="0"/>
  </sheetViews>
  <sheetFormatPr defaultRowHeight="15" customHeight="1" x14ac:dyDescent="0.25"/>
  <cols>
    <col min="1" max="130" width="20.7109375" style="65" customWidth="1"/>
  </cols>
  <sheetData>
    <row r="1" spans="1:130" ht="15" customHeight="1" x14ac:dyDescent="0.25">
      <c r="B1" s="1">
        <v>4</v>
      </c>
    </row>
    <row r="3" spans="1:130" ht="30" customHeight="1" x14ac:dyDescent="0.25">
      <c r="A3" s="39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39" t="s">
        <v>5</v>
      </c>
      <c r="G3" s="39" t="s">
        <v>6</v>
      </c>
      <c r="H3" s="39" t="s">
        <v>7</v>
      </c>
      <c r="I3" s="39" t="s">
        <v>8</v>
      </c>
      <c r="J3" s="39" t="s">
        <v>9</v>
      </c>
      <c r="K3" s="39" t="s">
        <v>10</v>
      </c>
      <c r="L3" s="39" t="s">
        <v>11</v>
      </c>
      <c r="M3" s="39" t="s">
        <v>12</v>
      </c>
      <c r="N3" s="39" t="s">
        <v>13</v>
      </c>
      <c r="O3" s="39" t="s">
        <v>14</v>
      </c>
      <c r="P3" s="39" t="s">
        <v>15</v>
      </c>
      <c r="Q3" s="39" t="s">
        <v>16</v>
      </c>
      <c r="R3" s="39" t="s">
        <v>17</v>
      </c>
      <c r="S3" s="39" t="s">
        <v>18</v>
      </c>
      <c r="T3" s="39" t="s">
        <v>19</v>
      </c>
      <c r="U3" s="39" t="s">
        <v>20</v>
      </c>
      <c r="V3" s="39" t="s">
        <v>21</v>
      </c>
      <c r="W3" s="39" t="s">
        <v>22</v>
      </c>
      <c r="X3" s="39" t="s">
        <v>23</v>
      </c>
      <c r="Y3" s="39" t="s">
        <v>24</v>
      </c>
      <c r="Z3" s="39" t="s">
        <v>25</v>
      </c>
      <c r="AA3" s="39" t="s">
        <v>26</v>
      </c>
      <c r="AB3" s="39" t="s">
        <v>27</v>
      </c>
      <c r="AC3" s="39" t="s">
        <v>28</v>
      </c>
      <c r="AD3" s="39" t="s">
        <v>29</v>
      </c>
      <c r="AE3" s="39" t="s">
        <v>30</v>
      </c>
      <c r="AF3" s="39" t="s">
        <v>31</v>
      </c>
      <c r="AG3" s="39" t="s">
        <v>32</v>
      </c>
      <c r="AH3" s="39" t="s">
        <v>33</v>
      </c>
      <c r="AI3" s="39" t="s">
        <v>34</v>
      </c>
      <c r="AJ3" s="39" t="s">
        <v>35</v>
      </c>
      <c r="AK3" s="39" t="s">
        <v>36</v>
      </c>
      <c r="AL3" s="39" t="s">
        <v>37</v>
      </c>
      <c r="AM3" s="39" t="s">
        <v>38</v>
      </c>
      <c r="AN3" s="39" t="s">
        <v>39</v>
      </c>
      <c r="AO3" s="39" t="s">
        <v>40</v>
      </c>
      <c r="AP3" s="39" t="s">
        <v>41</v>
      </c>
      <c r="AQ3" s="39" t="s">
        <v>42</v>
      </c>
      <c r="AR3" s="39" t="s">
        <v>43</v>
      </c>
      <c r="AS3" s="39" t="s">
        <v>44</v>
      </c>
      <c r="AT3" s="39" t="s">
        <v>45</v>
      </c>
      <c r="AU3" s="39" t="s">
        <v>46</v>
      </c>
      <c r="AV3" s="39" t="s">
        <v>47</v>
      </c>
      <c r="AW3" s="39" t="s">
        <v>48</v>
      </c>
      <c r="AX3" s="39" t="s">
        <v>49</v>
      </c>
      <c r="AY3" s="39" t="s">
        <v>50</v>
      </c>
      <c r="AZ3" s="39" t="s">
        <v>51</v>
      </c>
      <c r="BA3" s="39" t="s">
        <v>52</v>
      </c>
      <c r="BB3" s="39" t="s">
        <v>53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84978-3C0D-B932-AF37-09544ED73D43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299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4B202-7374-78BF-10A8-F223BE55E266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300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B2E53-E13C-DA62-884B-271EFC7F589F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300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ABB91-EF28-775A-A13C-B608BB62C14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301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99264-8D11-2026-CCBC-F1BCDC6610E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301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82252-2219-DFEC-AEA7-1ABFDC2698C2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302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871D8-4525-3EE1-C6DC-9F1D3A1A3544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302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7E68F-2583-16A8-D321-7CB1E3A742EE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303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2DDF2-67FB-C11D-8B0C-B5614FBED301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303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A26E4-BF8D-740A-97AF-E2FA0C4820AB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304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52BD-9C18-A97D-6D2D-A0DB1892805D}">
  <dimension ref="A1:JL10002"/>
  <sheetViews>
    <sheetView showGridLines="0" defaultGridColor="0" colorId="8" workbookViewId="0"/>
  </sheetViews>
  <sheetFormatPr defaultRowHeight="15" customHeight="1" x14ac:dyDescent="0.25"/>
  <cols>
    <col min="1" max="220" width="20.7109375" style="65" customWidth="1"/>
    <col min="221" max="221" width="20.7109375" style="70" customWidth="1"/>
    <col min="222" max="223" width="20.7109375" style="65" customWidth="1"/>
  </cols>
  <sheetData>
    <row r="1" spans="1:272" ht="15" customHeight="1" x14ac:dyDescent="0.25">
      <c r="D1" s="1">
        <v>4</v>
      </c>
    </row>
    <row r="2" spans="1:272" ht="15" customHeight="1" x14ac:dyDescent="0.25">
      <c r="JK2" s="1">
        <v>271</v>
      </c>
      <c r="JL2" s="1">
        <v>4</v>
      </c>
    </row>
    <row r="3" spans="1:272" ht="30" customHeight="1" x14ac:dyDescent="0.25">
      <c r="A3" s="39" t="s">
        <v>2</v>
      </c>
      <c r="B3" s="39" t="s">
        <v>54</v>
      </c>
      <c r="C3" s="39" t="s">
        <v>5</v>
      </c>
      <c r="D3" s="39" t="s">
        <v>55</v>
      </c>
      <c r="E3" s="39" t="s">
        <v>56</v>
      </c>
      <c r="F3" s="39" t="s">
        <v>57</v>
      </c>
      <c r="G3" s="39" t="s">
        <v>58</v>
      </c>
      <c r="H3" s="39" t="s">
        <v>59</v>
      </c>
      <c r="I3" s="39" t="s">
        <v>60</v>
      </c>
      <c r="J3" s="39" t="s">
        <v>61</v>
      </c>
      <c r="K3" s="39" t="s">
        <v>62</v>
      </c>
      <c r="L3" s="39" t="s">
        <v>63</v>
      </c>
      <c r="M3" s="39" t="s">
        <v>64</v>
      </c>
      <c r="N3" s="39" t="s">
        <v>65</v>
      </c>
      <c r="O3" s="39" t="s">
        <v>66</v>
      </c>
      <c r="P3" s="39" t="s">
        <v>67</v>
      </c>
      <c r="Q3" s="39" t="s">
        <v>68</v>
      </c>
      <c r="R3" s="39" t="s">
        <v>69</v>
      </c>
      <c r="S3" s="39" t="s">
        <v>70</v>
      </c>
      <c r="T3" s="39" t="s">
        <v>71</v>
      </c>
      <c r="U3" s="39" t="s">
        <v>72</v>
      </c>
      <c r="V3" s="39" t="s">
        <v>73</v>
      </c>
      <c r="W3" s="39" t="s">
        <v>74</v>
      </c>
      <c r="X3" s="39" t="s">
        <v>75</v>
      </c>
      <c r="Y3" s="39" t="s">
        <v>76</v>
      </c>
      <c r="Z3" s="39" t="s">
        <v>77</v>
      </c>
      <c r="AA3" s="39" t="s">
        <v>78</v>
      </c>
      <c r="AB3" s="39" t="s">
        <v>79</v>
      </c>
      <c r="AC3" s="39" t="s">
        <v>80</v>
      </c>
      <c r="AD3" s="39" t="s">
        <v>81</v>
      </c>
      <c r="AE3" s="39" t="s">
        <v>82</v>
      </c>
      <c r="AF3" s="39" t="s">
        <v>83</v>
      </c>
      <c r="AG3" s="39" t="s">
        <v>84</v>
      </c>
      <c r="AH3" s="39" t="s">
        <v>85</v>
      </c>
      <c r="AI3" s="39" t="s">
        <v>86</v>
      </c>
      <c r="AJ3" s="39" t="s">
        <v>87</v>
      </c>
      <c r="AK3" s="39" t="s">
        <v>88</v>
      </c>
      <c r="AL3" s="39" t="s">
        <v>89</v>
      </c>
      <c r="AM3" s="39" t="s">
        <v>90</v>
      </c>
      <c r="AN3" s="39" t="s">
        <v>91</v>
      </c>
      <c r="AO3" s="39" t="s">
        <v>92</v>
      </c>
      <c r="AP3" s="39" t="s">
        <v>93</v>
      </c>
      <c r="AQ3" s="39" t="s">
        <v>94</v>
      </c>
      <c r="AR3" s="39" t="s">
        <v>95</v>
      </c>
      <c r="AS3" s="39" t="s">
        <v>96</v>
      </c>
      <c r="AT3" s="39" t="s">
        <v>97</v>
      </c>
      <c r="AU3" s="39" t="s">
        <v>98</v>
      </c>
      <c r="AV3" s="39" t="s">
        <v>99</v>
      </c>
      <c r="AW3" s="39" t="s">
        <v>100</v>
      </c>
      <c r="AX3" s="39" t="s">
        <v>101</v>
      </c>
      <c r="AY3" s="39" t="s">
        <v>102</v>
      </c>
      <c r="AZ3" s="39" t="s">
        <v>103</v>
      </c>
      <c r="BA3" s="39" t="s">
        <v>104</v>
      </c>
      <c r="BB3" s="39" t="s">
        <v>105</v>
      </c>
      <c r="BC3" s="39" t="s">
        <v>106</v>
      </c>
      <c r="BD3" s="39" t="s">
        <v>107</v>
      </c>
      <c r="BE3" s="39" t="s">
        <v>108</v>
      </c>
      <c r="BF3" s="39" t="s">
        <v>109</v>
      </c>
      <c r="BG3" s="39" t="s">
        <v>110</v>
      </c>
      <c r="BH3" s="39" t="s">
        <v>111</v>
      </c>
      <c r="BI3" s="39" t="s">
        <v>112</v>
      </c>
      <c r="BJ3" s="39" t="s">
        <v>113</v>
      </c>
      <c r="BK3" s="39" t="s">
        <v>114</v>
      </c>
      <c r="BL3" s="39" t="s">
        <v>115</v>
      </c>
      <c r="BM3" s="39" t="s">
        <v>116</v>
      </c>
      <c r="BN3" s="39" t="s">
        <v>117</v>
      </c>
      <c r="BO3" s="39" t="s">
        <v>118</v>
      </c>
      <c r="BP3" s="39" t="s">
        <v>119</v>
      </c>
      <c r="BQ3" s="39" t="s">
        <v>120</v>
      </c>
      <c r="BR3" s="39" t="s">
        <v>121</v>
      </c>
      <c r="BS3" s="39" t="s">
        <v>122</v>
      </c>
      <c r="BT3" s="39" t="s">
        <v>123</v>
      </c>
      <c r="BU3" s="39" t="s">
        <v>124</v>
      </c>
      <c r="BV3" s="39" t="s">
        <v>125</v>
      </c>
      <c r="BW3" s="39" t="s">
        <v>126</v>
      </c>
      <c r="BX3" s="39" t="s">
        <v>127</v>
      </c>
      <c r="BY3" s="39" t="s">
        <v>128</v>
      </c>
      <c r="BZ3" s="39" t="s">
        <v>129</v>
      </c>
      <c r="CA3" s="39" t="s">
        <v>130</v>
      </c>
      <c r="CB3" s="39" t="s">
        <v>131</v>
      </c>
      <c r="CC3" s="39" t="s">
        <v>132</v>
      </c>
      <c r="CD3" s="39" t="s">
        <v>133</v>
      </c>
      <c r="CE3" s="39" t="s">
        <v>134</v>
      </c>
      <c r="CF3" s="39" t="s">
        <v>135</v>
      </c>
      <c r="CG3" s="39" t="s">
        <v>136</v>
      </c>
      <c r="CH3" s="39" t="s">
        <v>137</v>
      </c>
      <c r="CI3" s="39" t="s">
        <v>138</v>
      </c>
      <c r="CJ3" s="39" t="s">
        <v>139</v>
      </c>
      <c r="CK3" s="39" t="s">
        <v>140</v>
      </c>
      <c r="CL3" s="39" t="s">
        <v>141</v>
      </c>
      <c r="CM3" s="39" t="s">
        <v>142</v>
      </c>
      <c r="CN3" s="39" t="s">
        <v>143</v>
      </c>
      <c r="CO3" s="39" t="s">
        <v>144</v>
      </c>
      <c r="CP3" s="39" t="s">
        <v>145</v>
      </c>
      <c r="CQ3" s="39" t="s">
        <v>146</v>
      </c>
      <c r="CR3" s="39" t="s">
        <v>147</v>
      </c>
      <c r="CS3" s="39" t="s">
        <v>148</v>
      </c>
      <c r="CT3" s="39" t="s">
        <v>149</v>
      </c>
      <c r="CU3" s="39" t="s">
        <v>150</v>
      </c>
      <c r="CV3" s="39" t="s">
        <v>151</v>
      </c>
      <c r="CW3" s="39" t="s">
        <v>152</v>
      </c>
      <c r="CX3" s="39" t="s">
        <v>153</v>
      </c>
      <c r="CY3" s="39" t="s">
        <v>154</v>
      </c>
      <c r="CZ3" s="39" t="s">
        <v>155</v>
      </c>
      <c r="DA3" s="39" t="s">
        <v>156</v>
      </c>
      <c r="DB3" s="39" t="s">
        <v>157</v>
      </c>
      <c r="DC3" s="39" t="s">
        <v>158</v>
      </c>
      <c r="DD3" s="39" t="s">
        <v>159</v>
      </c>
      <c r="DE3" s="39" t="s">
        <v>160</v>
      </c>
      <c r="DF3" s="39" t="s">
        <v>161</v>
      </c>
      <c r="DG3" s="39" t="s">
        <v>162</v>
      </c>
      <c r="DH3" s="39" t="s">
        <v>163</v>
      </c>
      <c r="DI3" s="39" t="s">
        <v>164</v>
      </c>
      <c r="DJ3" s="39" t="s">
        <v>165</v>
      </c>
      <c r="DK3" s="39" t="s">
        <v>166</v>
      </c>
      <c r="DL3" s="39" t="s">
        <v>167</v>
      </c>
      <c r="DM3" s="39" t="s">
        <v>168</v>
      </c>
      <c r="DN3" s="39" t="s">
        <v>169</v>
      </c>
      <c r="DO3" s="39" t="s">
        <v>170</v>
      </c>
      <c r="DP3" s="39" t="s">
        <v>171</v>
      </c>
      <c r="DQ3" s="39" t="s">
        <v>172</v>
      </c>
      <c r="DR3" s="39" t="s">
        <v>173</v>
      </c>
      <c r="DS3" s="39" t="s">
        <v>174</v>
      </c>
      <c r="DT3" s="39" t="s">
        <v>175</v>
      </c>
      <c r="DU3" s="39" t="s">
        <v>176</v>
      </c>
      <c r="DV3" s="39" t="s">
        <v>177</v>
      </c>
      <c r="DW3" s="39" t="s">
        <v>178</v>
      </c>
      <c r="DX3" s="39" t="s">
        <v>179</v>
      </c>
      <c r="DY3" s="39" t="s">
        <v>180</v>
      </c>
      <c r="DZ3" s="39" t="s">
        <v>181</v>
      </c>
      <c r="EA3" s="39" t="s">
        <v>182</v>
      </c>
      <c r="EB3" s="39" t="s">
        <v>183</v>
      </c>
      <c r="EC3" s="39" t="s">
        <v>184</v>
      </c>
      <c r="ED3" s="39" t="s">
        <v>185</v>
      </c>
      <c r="EE3" s="39" t="s">
        <v>186</v>
      </c>
      <c r="EF3" s="39" t="s">
        <v>187</v>
      </c>
      <c r="EG3" s="39" t="s">
        <v>188</v>
      </c>
      <c r="EH3" s="39" t="s">
        <v>189</v>
      </c>
      <c r="EI3" s="39" t="s">
        <v>190</v>
      </c>
      <c r="EJ3" s="39" t="s">
        <v>191</v>
      </c>
      <c r="EK3" s="39" t="s">
        <v>192</v>
      </c>
      <c r="EL3" s="39" t="s">
        <v>193</v>
      </c>
      <c r="EM3" s="39" t="s">
        <v>194</v>
      </c>
      <c r="EN3" s="39" t="s">
        <v>195</v>
      </c>
      <c r="EO3" s="39" t="s">
        <v>196</v>
      </c>
      <c r="EP3" s="39" t="s">
        <v>197</v>
      </c>
      <c r="EQ3" s="39" t="s">
        <v>198</v>
      </c>
      <c r="ER3" s="39" t="s">
        <v>199</v>
      </c>
      <c r="ES3" s="39" t="s">
        <v>200</v>
      </c>
      <c r="ET3" s="39" t="s">
        <v>201</v>
      </c>
      <c r="EU3" s="39" t="s">
        <v>202</v>
      </c>
      <c r="EV3" s="39" t="s">
        <v>203</v>
      </c>
      <c r="EW3" s="39" t="s">
        <v>204</v>
      </c>
      <c r="EX3" s="39" t="s">
        <v>205</v>
      </c>
      <c r="EY3" s="39" t="s">
        <v>206</v>
      </c>
      <c r="EZ3" s="39" t="s">
        <v>207</v>
      </c>
      <c r="FA3" s="39" t="s">
        <v>208</v>
      </c>
      <c r="FB3" s="39" t="s">
        <v>209</v>
      </c>
      <c r="FC3" s="39" t="s">
        <v>210</v>
      </c>
      <c r="FD3" s="39" t="s">
        <v>211</v>
      </c>
      <c r="FE3" s="39" t="s">
        <v>212</v>
      </c>
      <c r="FF3" s="39" t="s">
        <v>213</v>
      </c>
      <c r="FG3" s="39" t="s">
        <v>214</v>
      </c>
      <c r="FH3" s="39" t="s">
        <v>215</v>
      </c>
      <c r="FI3" s="39" t="s">
        <v>216</v>
      </c>
      <c r="FJ3" s="39" t="s">
        <v>217</v>
      </c>
      <c r="FK3" s="39" t="s">
        <v>218</v>
      </c>
      <c r="FL3" s="39" t="s">
        <v>219</v>
      </c>
      <c r="FM3" s="39" t="s">
        <v>220</v>
      </c>
      <c r="FN3" s="39" t="s">
        <v>221</v>
      </c>
      <c r="FO3" s="39" t="s">
        <v>222</v>
      </c>
      <c r="FP3" s="39" t="s">
        <v>223</v>
      </c>
      <c r="FQ3" s="39" t="s">
        <v>224</v>
      </c>
      <c r="FR3" s="39" t="s">
        <v>225</v>
      </c>
      <c r="FS3" s="39" t="s">
        <v>226</v>
      </c>
      <c r="FT3" s="39" t="s">
        <v>227</v>
      </c>
      <c r="FU3" s="39" t="s">
        <v>228</v>
      </c>
      <c r="FV3" s="39" t="s">
        <v>229</v>
      </c>
      <c r="FW3" s="39" t="s">
        <v>230</v>
      </c>
      <c r="FX3" s="39" t="s">
        <v>231</v>
      </c>
      <c r="FY3" s="39" t="s">
        <v>232</v>
      </c>
      <c r="FZ3" s="39" t="s">
        <v>233</v>
      </c>
      <c r="GA3" s="39" t="s">
        <v>234</v>
      </c>
      <c r="GB3" s="39" t="s">
        <v>235</v>
      </c>
      <c r="GC3" s="39" t="s">
        <v>236</v>
      </c>
      <c r="GD3" s="39" t="s">
        <v>237</v>
      </c>
      <c r="GE3" s="39" t="s">
        <v>238</v>
      </c>
      <c r="GF3" s="39" t="s">
        <v>239</v>
      </c>
      <c r="GG3" s="39" t="s">
        <v>240</v>
      </c>
      <c r="GH3" s="39" t="s">
        <v>241</v>
      </c>
      <c r="GI3" s="39" t="s">
        <v>242</v>
      </c>
      <c r="GJ3" s="39" t="s">
        <v>243</v>
      </c>
      <c r="GK3" s="39" t="s">
        <v>244</v>
      </c>
      <c r="GL3" s="39" t="s">
        <v>245</v>
      </c>
      <c r="GM3" s="39" t="s">
        <v>246</v>
      </c>
      <c r="GN3" s="39" t="s">
        <v>247</v>
      </c>
      <c r="GO3" s="39" t="s">
        <v>248</v>
      </c>
      <c r="GP3" s="39" t="s">
        <v>249</v>
      </c>
      <c r="GQ3" s="39" t="s">
        <v>250</v>
      </c>
      <c r="GR3" s="39" t="s">
        <v>251</v>
      </c>
      <c r="GS3" s="39" t="s">
        <v>252</v>
      </c>
      <c r="GT3" s="39" t="s">
        <v>253</v>
      </c>
      <c r="GU3" s="39" t="s">
        <v>254</v>
      </c>
      <c r="GV3" s="39" t="s">
        <v>255</v>
      </c>
      <c r="GW3" s="39" t="s">
        <v>256</v>
      </c>
      <c r="GX3" s="39" t="s">
        <v>257</v>
      </c>
      <c r="GY3" s="39" t="s">
        <v>258</v>
      </c>
      <c r="GZ3" s="39" t="s">
        <v>259</v>
      </c>
      <c r="HA3" s="39" t="s">
        <v>260</v>
      </c>
      <c r="HB3" s="39" t="s">
        <v>261</v>
      </c>
      <c r="HC3" s="39" t="s">
        <v>262</v>
      </c>
      <c r="HD3" s="39" t="s">
        <v>263</v>
      </c>
      <c r="HE3" s="39" t="s">
        <v>264</v>
      </c>
      <c r="HF3" s="39" t="s">
        <v>265</v>
      </c>
      <c r="HG3" s="39" t="s">
        <v>266</v>
      </c>
      <c r="HH3" s="39" t="s">
        <v>267</v>
      </c>
      <c r="HI3" s="39" t="s">
        <v>268</v>
      </c>
      <c r="HJ3" s="39" t="s">
        <v>269</v>
      </c>
      <c r="HK3" s="39"/>
      <c r="HL3" s="39" t="s">
        <v>270</v>
      </c>
      <c r="HM3" s="61"/>
      <c r="HN3" s="39" t="s">
        <v>52</v>
      </c>
      <c r="HO3" s="39" t="s">
        <v>53</v>
      </c>
      <c r="HP3" s="1" t="s">
        <v>271</v>
      </c>
      <c r="JK3" s="39" t="s">
        <v>272</v>
      </c>
      <c r="JL3" s="39" t="s">
        <v>273</v>
      </c>
    </row>
    <row r="10001" spans="271:272" ht="15" customHeight="1" x14ac:dyDescent="0.25">
      <c r="JK10001">
        <v>271</v>
      </c>
      <c r="JL10001">
        <v>10003</v>
      </c>
    </row>
    <row r="10002" spans="271:272" ht="45" customHeight="1" x14ac:dyDescent="0.25">
      <c r="JK10002" s="39" t="s">
        <v>274</v>
      </c>
      <c r="JL10002" s="39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6F447-B297-9E77-0DDC-C31C4E37BFE5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305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07FCD-8D27-6A5F-45AF-069EA9C0097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305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A8839-3948-3202-CF76-7E31C2B07661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306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55AC1-D904-FB16-6DB4-0E9B96A70EFC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306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359FB-CFC5-8C11-4865-4F5C20298E5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307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2B2FF-1B13-4941-A31E-144AC5EE404C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307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EE9CD-0225-6F49-2CDB-51F24FE54F0C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308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5D59A-5E48-E214-5E67-208E82699CC1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309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5F3C2-0D58-60DC-8FB4-080CA2FEEBD5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309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78212-6316-A548-9604-9E2B8AA6D45F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310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F018-E616-0845-F63D-E38CC978C7D7}">
  <sheetPr>
    <tabColor rgb="FF00B0F0"/>
    <outlinePr summaryBelow="0" summaryRight="0"/>
  </sheetPr>
  <dimension ref="A2:Z286"/>
  <sheetViews>
    <sheetView showGridLines="0" tabSelected="1" defaultGridColor="0" colorId="8" zoomScale="80" workbookViewId="0">
      <pane xSplit="3" ySplit="10" topLeftCell="D19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278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2204775.58</v>
      </c>
      <c r="E12" s="5"/>
      <c r="F12" s="13"/>
      <c r="G12" s="5"/>
      <c r="H12" s="5">
        <f>SUM(OSRRefH13x_0)</f>
        <v>808463.38999999978</v>
      </c>
      <c r="I12" s="5"/>
      <c r="J12" s="13"/>
      <c r="K12" s="5"/>
      <c r="L12" s="5">
        <f t="shared" ref="L12:L43" si="0">+D12-H12</f>
        <v>1396312.1900000004</v>
      </c>
      <c r="M12" s="5"/>
      <c r="N12" s="13">
        <f t="shared" ref="N12:N43" si="1">IF(H12=0,0,L12/H12)</f>
        <v>1.7271186392249633</v>
      </c>
      <c r="O12" s="11"/>
      <c r="P12" s="5">
        <f>SUM(OSRRefP13x_0)</f>
        <v>24064553.359999999</v>
      </c>
      <c r="Q12" s="5"/>
      <c r="R12" s="13"/>
      <c r="S12" s="5"/>
      <c r="T12" s="5">
        <f>SUM(OSRRefT13x_0)</f>
        <v>9812288.8400000036</v>
      </c>
      <c r="U12" s="5"/>
      <c r="V12" s="13"/>
      <c r="W12" s="5"/>
      <c r="X12" s="5">
        <f t="shared" ref="X12:X43" si="2">+P12-T12</f>
        <v>14252264.519999996</v>
      </c>
      <c r="Y12" s="5"/>
      <c r="Z12" s="13">
        <f t="shared" ref="Z12:Z43" si="3">IF(T12=0,0,X12/T12)</f>
        <v>1.4524913353447502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--1264812.81</f>
        <v>1264812.81</v>
      </c>
      <c r="E13" s="3"/>
      <c r="F13" s="20"/>
      <c r="G13" s="3"/>
      <c r="H13" s="3">
        <f>-11409.64</f>
        <v>-11409.64</v>
      </c>
      <c r="I13" s="3"/>
      <c r="J13" s="20"/>
      <c r="K13" s="3"/>
      <c r="L13" s="3">
        <f t="shared" si="0"/>
        <v>1276222.45</v>
      </c>
      <c r="M13" s="3"/>
      <c r="N13" s="20">
        <f t="shared" si="1"/>
        <v>-111.85475177130918</v>
      </c>
      <c r="O13" s="12"/>
      <c r="P13" s="3">
        <f>--8996661.56</f>
        <v>8996661.5600000005</v>
      </c>
      <c r="Q13" s="3"/>
      <c r="R13" s="20"/>
      <c r="S13" s="3"/>
      <c r="T13" s="3">
        <f>-147412.94</f>
        <v>-147412.94</v>
      </c>
      <c r="U13" s="3"/>
      <c r="V13" s="20"/>
      <c r="W13" s="3"/>
      <c r="X13" s="3">
        <f t="shared" si="2"/>
        <v>9144074.5</v>
      </c>
      <c r="Y13" s="3"/>
      <c r="Z13" s="20">
        <f t="shared" si="3"/>
        <v>-62.030338042236998</v>
      </c>
    </row>
    <row r="14" spans="1:26" s="69" customFormat="1" ht="15" hidden="1" customHeight="1" outlineLevel="1" x14ac:dyDescent="0.25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--35278.2</f>
        <v>35278.199999999997</v>
      </c>
      <c r="I14" s="3"/>
      <c r="J14" s="20"/>
      <c r="K14" s="3"/>
      <c r="L14" s="3">
        <f t="shared" si="0"/>
        <v>-35278.199999999997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--1299088.56</f>
        <v>1299088.56</v>
      </c>
      <c r="U14" s="3"/>
      <c r="V14" s="20"/>
      <c r="W14" s="3"/>
      <c r="X14" s="3">
        <f t="shared" si="2"/>
        <v>-1299088.56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--11501.84</f>
        <v>11501.84</v>
      </c>
      <c r="I15" s="3"/>
      <c r="J15" s="20"/>
      <c r="K15" s="3"/>
      <c r="L15" s="3">
        <f t="shared" si="0"/>
        <v>-11501.84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--590270.47</f>
        <v>590270.47</v>
      </c>
      <c r="U15" s="3"/>
      <c r="V15" s="20"/>
      <c r="W15" s="3"/>
      <c r="X15" s="3">
        <f t="shared" si="2"/>
        <v>-590270.47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--494.96</f>
        <v>494.96</v>
      </c>
      <c r="I16" s="3"/>
      <c r="J16" s="20"/>
      <c r="K16" s="3"/>
      <c r="L16" s="3">
        <f t="shared" si="0"/>
        <v>-494.96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--18492.84</f>
        <v>18492.84</v>
      </c>
      <c r="U16" s="3"/>
      <c r="V16" s="20"/>
      <c r="W16" s="3"/>
      <c r="X16" s="3">
        <f t="shared" si="2"/>
        <v>-18492.84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--61.96</f>
        <v>61.96</v>
      </c>
      <c r="I18" s="3"/>
      <c r="J18" s="20"/>
      <c r="K18" s="3"/>
      <c r="L18" s="3">
        <f t="shared" si="0"/>
        <v>-61.96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--1325.79</f>
        <v>1325.79</v>
      </c>
      <c r="U18" s="3"/>
      <c r="V18" s="20"/>
      <c r="W18" s="3"/>
      <c r="X18" s="3">
        <f t="shared" si="2"/>
        <v>-1325.79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--31.17</f>
        <v>31.17</v>
      </c>
      <c r="I19" s="3"/>
      <c r="J19" s="20"/>
      <c r="K19" s="3"/>
      <c r="L19" s="3">
        <f t="shared" si="0"/>
        <v>-31.17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--515.72</f>
        <v>515.72</v>
      </c>
      <c r="U19" s="3"/>
      <c r="V19" s="20"/>
      <c r="W19" s="3"/>
      <c r="X19" s="3">
        <f t="shared" si="2"/>
        <v>-515.72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--35.38</f>
        <v>35.380000000000003</v>
      </c>
      <c r="I20" s="3"/>
      <c r="J20" s="20"/>
      <c r="K20" s="3"/>
      <c r="L20" s="3">
        <f t="shared" si="0"/>
        <v>-35.380000000000003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--508.48</f>
        <v>508.48</v>
      </c>
      <c r="U20" s="3"/>
      <c r="V20" s="20"/>
      <c r="W20" s="3"/>
      <c r="X20" s="3">
        <f t="shared" si="2"/>
        <v>-508.48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--36.37</f>
        <v>36.369999999999997</v>
      </c>
      <c r="I21" s="3"/>
      <c r="J21" s="20"/>
      <c r="K21" s="3"/>
      <c r="L21" s="3">
        <f t="shared" si="0"/>
        <v>-36.369999999999997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--522.54</f>
        <v>522.54</v>
      </c>
      <c r="U21" s="3"/>
      <c r="V21" s="20"/>
      <c r="W21" s="3"/>
      <c r="X21" s="3">
        <f t="shared" si="2"/>
        <v>-522.54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--6033.32</f>
        <v>6033.32</v>
      </c>
      <c r="I22" s="3"/>
      <c r="J22" s="20"/>
      <c r="K22" s="3"/>
      <c r="L22" s="3">
        <f t="shared" si="0"/>
        <v>-6033.32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--70104.29</f>
        <v>70104.289999999994</v>
      </c>
      <c r="U22" s="3"/>
      <c r="V22" s="20"/>
      <c r="W22" s="3"/>
      <c r="X22" s="3">
        <f t="shared" si="2"/>
        <v>-70104.289999999994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--1495.15</f>
        <v>1495.15</v>
      </c>
      <c r="I23" s="3"/>
      <c r="J23" s="20"/>
      <c r="K23" s="3"/>
      <c r="L23" s="3">
        <f t="shared" si="0"/>
        <v>-1495.15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--48395.32</f>
        <v>48395.32</v>
      </c>
      <c r="U23" s="3"/>
      <c r="V23" s="20"/>
      <c r="W23" s="3"/>
      <c r="X23" s="3">
        <f t="shared" si="2"/>
        <v>-48395.32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--490.12</f>
        <v>490.12</v>
      </c>
      <c r="I24" s="3"/>
      <c r="J24" s="20"/>
      <c r="K24" s="3"/>
      <c r="L24" s="3">
        <f t="shared" si="0"/>
        <v>-490.12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--4700.71</f>
        <v>4700.71</v>
      </c>
      <c r="U24" s="3"/>
      <c r="V24" s="20"/>
      <c r="W24" s="3"/>
      <c r="X24" s="3">
        <f t="shared" si="2"/>
        <v>-4700.71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","4032"," - ","TAXABLE SALES-JUICE")</f>
        <v xml:space="preserve">          4032 - TAXABLE SALES-JUICE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--444.59</f>
        <v>444.59</v>
      </c>
      <c r="U25" s="3"/>
      <c r="V25" s="20"/>
      <c r="W25" s="3"/>
      <c r="X25" s="3">
        <f t="shared" si="2"/>
        <v>-444.59</v>
      </c>
      <c r="Y25" s="3"/>
      <c r="Z25" s="20">
        <f t="shared" si="3"/>
        <v>-1</v>
      </c>
    </row>
    <row r="26" spans="1:26" s="69" customFormat="1" ht="15" hidden="1" customHeight="1" outlineLevel="1" x14ac:dyDescent="0.25">
      <c r="A26" s="42"/>
      <c r="B26" s="12" t="str">
        <f>CONCATENATE("          ","4034"," - ","TAXABLE SALES-SODA")</f>
        <v xml:space="preserve">          4034 - TAXABLE SALES-SODA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--6.78</f>
        <v>6.78</v>
      </c>
      <c r="U26" s="3"/>
      <c r="V26" s="20"/>
      <c r="W26" s="3"/>
      <c r="X26" s="3">
        <f t="shared" si="2"/>
        <v>-6.78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","4040"," - ","TAXABLE SALES-LOGO CLOTHING")</f>
        <v xml:space="preserve">          4040 - TAXABLE SALES-LOGO CLOTHING</v>
      </c>
      <c r="C27" s="12"/>
      <c r="D27" s="3">
        <f>0</f>
        <v>0</v>
      </c>
      <c r="E27" s="3"/>
      <c r="F27" s="20"/>
      <c r="G27" s="3"/>
      <c r="H27" s="3">
        <f>--187399.42</f>
        <v>187399.42</v>
      </c>
      <c r="I27" s="3"/>
      <c r="J27" s="20"/>
      <c r="K27" s="3"/>
      <c r="L27" s="3">
        <f t="shared" si="0"/>
        <v>-187399.42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--1100580.15</f>
        <v>1100580.1499999999</v>
      </c>
      <c r="U27" s="3"/>
      <c r="V27" s="20"/>
      <c r="W27" s="3"/>
      <c r="X27" s="3">
        <f t="shared" si="2"/>
        <v>-1100580.1499999999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","4041"," - ","TAXABLE SALES-LOGO GIFTS")</f>
        <v xml:space="preserve">          4041 - TAXABLE SALES-LOGO GIFTS</v>
      </c>
      <c r="C28" s="12"/>
      <c r="D28" s="3">
        <f>0</f>
        <v>0</v>
      </c>
      <c r="E28" s="3"/>
      <c r="F28" s="20"/>
      <c r="G28" s="3"/>
      <c r="H28" s="3">
        <f>--191315.61</f>
        <v>191315.61</v>
      </c>
      <c r="I28" s="3"/>
      <c r="J28" s="20"/>
      <c r="K28" s="3"/>
      <c r="L28" s="3">
        <f t="shared" si="0"/>
        <v>-191315.61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--631772.59</f>
        <v>631772.59</v>
      </c>
      <c r="U28" s="3"/>
      <c r="V28" s="20"/>
      <c r="W28" s="3"/>
      <c r="X28" s="3">
        <f t="shared" si="2"/>
        <v>-631772.59</v>
      </c>
      <c r="Y28" s="3"/>
      <c r="Z28" s="20">
        <f t="shared" si="3"/>
        <v>-1</v>
      </c>
    </row>
    <row r="29" spans="1:26" s="69" customFormat="1" ht="15" hidden="1" customHeight="1" outlineLevel="1" x14ac:dyDescent="0.25">
      <c r="A29" s="42"/>
      <c r="B29" s="12" t="str">
        <f>CONCATENATE("          ","4042"," - ","TAXABLE SALES-EVERYDAY GIFTS")</f>
        <v xml:space="preserve">          4042 - TAXABLE SALES-EVERYDAY GIFTS</v>
      </c>
      <c r="C29" s="12"/>
      <c r="D29" s="3">
        <f>0</f>
        <v>0</v>
      </c>
      <c r="E29" s="3"/>
      <c r="F29" s="20"/>
      <c r="G29" s="3"/>
      <c r="H29" s="3">
        <f>--8228.03</f>
        <v>8228.0300000000007</v>
      </c>
      <c r="I29" s="3"/>
      <c r="J29" s="20"/>
      <c r="K29" s="3"/>
      <c r="L29" s="3">
        <f t="shared" si="0"/>
        <v>-8228.0300000000007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--108906.55</f>
        <v>108906.55</v>
      </c>
      <c r="U29" s="3"/>
      <c r="V29" s="20"/>
      <c r="W29" s="3"/>
      <c r="X29" s="3">
        <f t="shared" si="2"/>
        <v>-108906.55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","4043"," - ","TAXABLE SALES-CARDS")</f>
        <v xml:space="preserve">          4043 - TAXABLE SALES-CARDS</v>
      </c>
      <c r="C30" s="12"/>
      <c r="D30" s="3">
        <f>0</f>
        <v>0</v>
      </c>
      <c r="E30" s="3"/>
      <c r="F30" s="20"/>
      <c r="G30" s="3"/>
      <c r="H30" s="3">
        <f>--7218.29</f>
        <v>7218.29</v>
      </c>
      <c r="I30" s="3"/>
      <c r="J30" s="20"/>
      <c r="K30" s="3"/>
      <c r="L30" s="3">
        <f t="shared" si="0"/>
        <v>-7218.29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--144077.67</f>
        <v>144077.67000000001</v>
      </c>
      <c r="U30" s="3"/>
      <c r="V30" s="20"/>
      <c r="W30" s="3"/>
      <c r="X30" s="3">
        <f t="shared" si="2"/>
        <v>-144077.67000000001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","4044"," - ","TAXABLE SALES-ACCESSORIES")</f>
        <v xml:space="preserve">          4044 - TAXABLE SALES-ACCESSORIES</v>
      </c>
      <c r="C31" s="12"/>
      <c r="D31" s="3">
        <f>0</f>
        <v>0</v>
      </c>
      <c r="E31" s="3"/>
      <c r="F31" s="20"/>
      <c r="G31" s="3"/>
      <c r="H31" s="3">
        <f>--5024.1</f>
        <v>5024.1000000000004</v>
      </c>
      <c r="I31" s="3"/>
      <c r="J31" s="20"/>
      <c r="K31" s="3"/>
      <c r="L31" s="3">
        <f t="shared" si="0"/>
        <v>-5024.1000000000004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--41116.33</f>
        <v>41116.33</v>
      </c>
      <c r="U31" s="3"/>
      <c r="V31" s="20"/>
      <c r="W31" s="3"/>
      <c r="X31" s="3">
        <f t="shared" si="2"/>
        <v>-41116.33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","4045"," - ","TAXABLE SALES-SPECIAL ORDERS")</f>
        <v xml:space="preserve">          4045 - TAXABLE SALES-SPECIAL ORDERS</v>
      </c>
      <c r="C32" s="12"/>
      <c r="D32" s="3">
        <f>0</f>
        <v>0</v>
      </c>
      <c r="E32" s="3"/>
      <c r="F32" s="20"/>
      <c r="G32" s="3"/>
      <c r="H32" s="3">
        <f>--26335.59</f>
        <v>26335.59</v>
      </c>
      <c r="I32" s="3"/>
      <c r="J32" s="20"/>
      <c r="K32" s="3"/>
      <c r="L32" s="3">
        <f t="shared" si="0"/>
        <v>-26335.59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--233577.93</f>
        <v>233577.93</v>
      </c>
      <c r="U32" s="3"/>
      <c r="V32" s="20"/>
      <c r="W32" s="3"/>
      <c r="X32" s="3">
        <f t="shared" si="2"/>
        <v>-233577.93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","4051"," - ","TAXABLE SALES-FOOD")</f>
        <v xml:space="preserve">          4051 - TAXABLE SALES-FOOD</v>
      </c>
      <c r="C33" s="12"/>
      <c r="D33" s="3">
        <f>--27103.03</f>
        <v>27103.03</v>
      </c>
      <c r="E33" s="3"/>
      <c r="F33" s="20"/>
      <c r="G33" s="3"/>
      <c r="H33" s="3">
        <f>--7161.66</f>
        <v>7161.66</v>
      </c>
      <c r="I33" s="3"/>
      <c r="J33" s="20"/>
      <c r="K33" s="3"/>
      <c r="L33" s="3">
        <f t="shared" si="0"/>
        <v>19941.37</v>
      </c>
      <c r="M33" s="3"/>
      <c r="N33" s="20">
        <f t="shared" si="1"/>
        <v>2.7844619822778518</v>
      </c>
      <c r="O33" s="12"/>
      <c r="P33" s="3">
        <f>--346036.45</f>
        <v>346036.45</v>
      </c>
      <c r="Q33" s="3"/>
      <c r="R33" s="20"/>
      <c r="S33" s="3"/>
      <c r="T33" s="3">
        <f>--39282.92</f>
        <v>39282.92</v>
      </c>
      <c r="U33" s="3"/>
      <c r="V33" s="20"/>
      <c r="W33" s="3"/>
      <c r="X33" s="3">
        <f t="shared" si="2"/>
        <v>306753.53000000003</v>
      </c>
      <c r="Y33" s="3"/>
      <c r="Z33" s="20">
        <f t="shared" si="3"/>
        <v>7.8088270933016188</v>
      </c>
    </row>
    <row r="34" spans="1:26" s="69" customFormat="1" ht="15" hidden="1" customHeight="1" outlineLevel="1" x14ac:dyDescent="0.25">
      <c r="A34" s="42"/>
      <c r="B34" s="12" t="str">
        <f>CONCATENATE("          ","4052"," - ","TAXABLE SALES-FOOD")</f>
        <v xml:space="preserve">          4052 - TAXABLE SALES-FOOD</v>
      </c>
      <c r="C34" s="12"/>
      <c r="D34" s="3">
        <f>0</f>
        <v>0</v>
      </c>
      <c r="E34" s="3"/>
      <c r="F34" s="20"/>
      <c r="G34" s="3"/>
      <c r="H34" s="3">
        <f>--47978.22</f>
        <v>47978.22</v>
      </c>
      <c r="I34" s="3"/>
      <c r="J34" s="20"/>
      <c r="K34" s="3"/>
      <c r="L34" s="3">
        <f t="shared" si="0"/>
        <v>-47978.22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--428653.01</f>
        <v>428653.01</v>
      </c>
      <c r="U34" s="3"/>
      <c r="V34" s="20"/>
      <c r="W34" s="3"/>
      <c r="X34" s="3">
        <f t="shared" si="2"/>
        <v>-428653.01</v>
      </c>
      <c r="Y34" s="3"/>
      <c r="Z34" s="20">
        <f t="shared" si="3"/>
        <v>-1</v>
      </c>
    </row>
    <row r="35" spans="1:26" s="69" customFormat="1" ht="15" hidden="1" customHeight="1" outlineLevel="1" x14ac:dyDescent="0.25">
      <c r="A35" s="42"/>
      <c r="B35" s="12" t="str">
        <f>CONCATENATE("          ","4053"," - ","TAXABLE SALES-FOOD")</f>
        <v xml:space="preserve">          4053 - TAXABLE SALES-FOOD</v>
      </c>
      <c r="C35" s="12"/>
      <c r="D35" s="3">
        <f>--1064.77</f>
        <v>1064.77</v>
      </c>
      <c r="E35" s="3"/>
      <c r="F35" s="20"/>
      <c r="G35" s="3"/>
      <c r="H35" s="3">
        <f>--21.66</f>
        <v>21.66</v>
      </c>
      <c r="I35" s="3"/>
      <c r="J35" s="20"/>
      <c r="K35" s="3"/>
      <c r="L35" s="3">
        <f t="shared" si="0"/>
        <v>1043.1099999999999</v>
      </c>
      <c r="M35" s="3"/>
      <c r="N35" s="20">
        <f t="shared" si="1"/>
        <v>48.15835641735918</v>
      </c>
      <c r="O35" s="12"/>
      <c r="P35" s="3">
        <f>--31189.03</f>
        <v>31189.03</v>
      </c>
      <c r="Q35" s="3"/>
      <c r="R35" s="20"/>
      <c r="S35" s="3"/>
      <c r="T35" s="3">
        <f>--1106.56</f>
        <v>1106.56</v>
      </c>
      <c r="U35" s="3"/>
      <c r="V35" s="20"/>
      <c r="W35" s="3"/>
      <c r="X35" s="3">
        <f t="shared" si="2"/>
        <v>30082.469999999998</v>
      </c>
      <c r="Y35" s="3"/>
      <c r="Z35" s="20">
        <f t="shared" si="3"/>
        <v>27.185575115673799</v>
      </c>
    </row>
    <row r="36" spans="1:26" s="69" customFormat="1" ht="15" hidden="1" customHeight="1" outlineLevel="1" x14ac:dyDescent="0.25">
      <c r="A36" s="42"/>
      <c r="B36" s="12" t="str">
        <f>CONCATENATE("          ","4055"," - ","TAXABLE SALES-FOOD")</f>
        <v xml:space="preserve">          4055 - TAXABLE SALES-FOOD</v>
      </c>
      <c r="C36" s="12"/>
      <c r="D36" s="3">
        <f>--514.53</f>
        <v>514.53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514.53</v>
      </c>
      <c r="M36" s="3"/>
      <c r="N36" s="20">
        <f t="shared" si="1"/>
        <v>0</v>
      </c>
      <c r="O36" s="12"/>
      <c r="P36" s="3">
        <f>--2070.63</f>
        <v>2070.63</v>
      </c>
      <c r="Q36" s="3"/>
      <c r="R36" s="20"/>
      <c r="S36" s="3"/>
      <c r="T36" s="3">
        <f>0</f>
        <v>0</v>
      </c>
      <c r="U36" s="3"/>
      <c r="V36" s="20"/>
      <c r="W36" s="3"/>
      <c r="X36" s="3">
        <f t="shared" si="2"/>
        <v>2070.63</v>
      </c>
      <c r="Y36" s="3"/>
      <c r="Z36" s="20">
        <f t="shared" si="3"/>
        <v>0</v>
      </c>
    </row>
    <row r="37" spans="1:26" s="69" customFormat="1" ht="15" hidden="1" customHeight="1" outlineLevel="1" x14ac:dyDescent="0.25">
      <c r="A37" s="42"/>
      <c r="B37" s="12" t="str">
        <f>CONCATENATE("          ","4058"," - ","TAXABLE SALES-FOOD")</f>
        <v xml:space="preserve">          4058 - TAXABLE SALES-FOOD</v>
      </c>
      <c r="C37" s="12"/>
      <c r="D37" s="3">
        <f>0</f>
        <v>0</v>
      </c>
      <c r="E37" s="3"/>
      <c r="F37" s="20"/>
      <c r="G37" s="3"/>
      <c r="H37" s="3">
        <f>0</f>
        <v>0</v>
      </c>
      <c r="I37" s="3"/>
      <c r="J37" s="20"/>
      <c r="K37" s="3"/>
      <c r="L37" s="3">
        <f t="shared" si="0"/>
        <v>0</v>
      </c>
      <c r="M37" s="3"/>
      <c r="N37" s="20">
        <f t="shared" si="1"/>
        <v>0</v>
      </c>
      <c r="O37" s="12"/>
      <c r="P37" s="3">
        <f>0</f>
        <v>0</v>
      </c>
      <c r="Q37" s="3"/>
      <c r="R37" s="20"/>
      <c r="S37" s="3"/>
      <c r="T37" s="3">
        <f>--974.91</f>
        <v>974.91</v>
      </c>
      <c r="U37" s="3"/>
      <c r="V37" s="20"/>
      <c r="W37" s="3"/>
      <c r="X37" s="3">
        <f t="shared" si="2"/>
        <v>-974.91</v>
      </c>
      <c r="Y37" s="3"/>
      <c r="Z37" s="20">
        <f t="shared" si="3"/>
        <v>-1</v>
      </c>
    </row>
    <row r="38" spans="1:26" s="69" customFormat="1" ht="15" hidden="1" customHeight="1" outlineLevel="1" x14ac:dyDescent="0.25">
      <c r="A38" s="42"/>
      <c r="B38" s="12" t="str">
        <f>CONCATENATE("          ","4081"," - ","TAXABLE SALES-ELECTRONICS")</f>
        <v xml:space="preserve">          4081 - TAXABLE SALES-ELECTRONICS</v>
      </c>
      <c r="C38" s="12"/>
      <c r="D38" s="3">
        <f>0</f>
        <v>0</v>
      </c>
      <c r="E38" s="3"/>
      <c r="F38" s="20"/>
      <c r="G38" s="3"/>
      <c r="H38" s="3">
        <f>--1857.91</f>
        <v>1857.91</v>
      </c>
      <c r="I38" s="3"/>
      <c r="J38" s="20"/>
      <c r="K38" s="3"/>
      <c r="L38" s="3">
        <f t="shared" si="0"/>
        <v>-1857.91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--64025.93</f>
        <v>64025.93</v>
      </c>
      <c r="U38" s="3"/>
      <c r="V38" s="20"/>
      <c r="W38" s="3"/>
      <c r="X38" s="3">
        <f t="shared" si="2"/>
        <v>-64025.93</v>
      </c>
      <c r="Y38" s="3"/>
      <c r="Z38" s="20">
        <f t="shared" si="3"/>
        <v>-1</v>
      </c>
    </row>
    <row r="39" spans="1:26" s="69" customFormat="1" ht="15" hidden="1" customHeight="1" outlineLevel="1" x14ac:dyDescent="0.25">
      <c r="A39" s="42"/>
      <c r="B39" s="12" t="str">
        <f>CONCATENATE("          ","4082"," - ","TAXABLE SALES-COMPUTER HARDWAR")</f>
        <v xml:space="preserve">          4082 - TAXABLE SALES-COMPUTER HARDWAR</v>
      </c>
      <c r="C39" s="12"/>
      <c r="D39" s="3">
        <f>0</f>
        <v>0</v>
      </c>
      <c r="E39" s="3"/>
      <c r="F39" s="20"/>
      <c r="G39" s="3"/>
      <c r="H39" s="3">
        <f>--117610.99</f>
        <v>117610.99</v>
      </c>
      <c r="I39" s="3"/>
      <c r="J39" s="20"/>
      <c r="K39" s="3"/>
      <c r="L39" s="3">
        <f t="shared" si="0"/>
        <v>-117610.99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--2129658.62</f>
        <v>2129658.62</v>
      </c>
      <c r="U39" s="3"/>
      <c r="V39" s="20"/>
      <c r="W39" s="3"/>
      <c r="X39" s="3">
        <f t="shared" si="2"/>
        <v>-2129658.62</v>
      </c>
      <c r="Y39" s="3"/>
      <c r="Z39" s="20">
        <f t="shared" si="3"/>
        <v>-1</v>
      </c>
    </row>
    <row r="40" spans="1:26" s="69" customFormat="1" ht="15" hidden="1" customHeight="1" outlineLevel="1" x14ac:dyDescent="0.25">
      <c r="A40" s="42"/>
      <c r="B40" s="12" t="str">
        <f>CONCATENATE("          ","4083"," - ","TAXABLE SALES-COMPUTER EQUIPME")</f>
        <v xml:space="preserve">          4083 - TAXABLE SALES-COMPUTER EQUIPME</v>
      </c>
      <c r="C40" s="12"/>
      <c r="D40" s="3">
        <f>0</f>
        <v>0</v>
      </c>
      <c r="E40" s="3"/>
      <c r="F40" s="20"/>
      <c r="G40" s="3"/>
      <c r="H40" s="3">
        <f>--10204.05</f>
        <v>10204.049999999999</v>
      </c>
      <c r="I40" s="3"/>
      <c r="J40" s="20"/>
      <c r="K40" s="3"/>
      <c r="L40" s="3">
        <f t="shared" si="0"/>
        <v>-10204.049999999999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--137146.98</f>
        <v>137146.98000000001</v>
      </c>
      <c r="U40" s="3"/>
      <c r="V40" s="20"/>
      <c r="W40" s="3"/>
      <c r="X40" s="3">
        <f t="shared" si="2"/>
        <v>-137146.98000000001</v>
      </c>
      <c r="Y40" s="3"/>
      <c r="Z40" s="20">
        <f t="shared" si="3"/>
        <v>-1</v>
      </c>
    </row>
    <row r="41" spans="1:26" s="69" customFormat="1" ht="15" hidden="1" customHeight="1" outlineLevel="1" x14ac:dyDescent="0.25">
      <c r="A41" s="42"/>
      <c r="B41" s="12" t="str">
        <f>CONCATENATE("          ","4085"," - ","TAXABLE SALES-SOFTWARE")</f>
        <v xml:space="preserve">          4085 - TAXABLE SALES-SOFTWARE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--4870.79</f>
        <v>4870.79</v>
      </c>
      <c r="U41" s="3"/>
      <c r="V41" s="20"/>
      <c r="W41" s="3"/>
      <c r="X41" s="3">
        <f t="shared" si="2"/>
        <v>-4870.79</v>
      </c>
      <c r="Y41" s="3"/>
      <c r="Z41" s="20">
        <f t="shared" si="3"/>
        <v>-1</v>
      </c>
    </row>
    <row r="42" spans="1:26" s="69" customFormat="1" ht="15" hidden="1" customHeight="1" outlineLevel="1" x14ac:dyDescent="0.25">
      <c r="A42" s="42"/>
      <c r="B42" s="12" t="str">
        <f>CONCATENATE("          ","4086"," - ","TAXABLE SALES-COMPUTER SUPPLIE")</f>
        <v xml:space="preserve">          4086 - TAXABLE SALES-COMPUTER SUPPLIE</v>
      </c>
      <c r="C42" s="12"/>
      <c r="D42" s="3">
        <f>0</f>
        <v>0</v>
      </c>
      <c r="E42" s="3"/>
      <c r="F42" s="20"/>
      <c r="G42" s="3"/>
      <c r="H42" s="3">
        <f>--1662.79</f>
        <v>1662.79</v>
      </c>
      <c r="I42" s="3"/>
      <c r="J42" s="20"/>
      <c r="K42" s="3"/>
      <c r="L42" s="3">
        <f t="shared" si="0"/>
        <v>-1662.79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--66932.42</f>
        <v>66932.42</v>
      </c>
      <c r="U42" s="3"/>
      <c r="V42" s="20"/>
      <c r="W42" s="3"/>
      <c r="X42" s="3">
        <f t="shared" si="2"/>
        <v>-66932.42</v>
      </c>
      <c r="Y42" s="3"/>
      <c r="Z42" s="20">
        <f t="shared" si="3"/>
        <v>-1</v>
      </c>
    </row>
    <row r="43" spans="1:26" s="69" customFormat="1" ht="15" hidden="1" customHeight="1" outlineLevel="1" x14ac:dyDescent="0.25">
      <c r="A43" s="42"/>
      <c r="B43" s="12" t="str">
        <f>CONCATENATE("          ","4095"," - ","TAXABLE SALES-CUSTOMER SERVICE")</f>
        <v xml:space="preserve">          4095 - TAXABLE SALES-CUSTOMER SERVICE</v>
      </c>
      <c r="C43" s="12"/>
      <c r="D43" s="3">
        <f>0</f>
        <v>0</v>
      </c>
      <c r="E43" s="3"/>
      <c r="F43" s="20"/>
      <c r="G43" s="3"/>
      <c r="H43" s="3">
        <f>--10891.24</f>
        <v>10891.24</v>
      </c>
      <c r="I43" s="3"/>
      <c r="J43" s="20"/>
      <c r="K43" s="3"/>
      <c r="L43" s="3">
        <f t="shared" si="0"/>
        <v>-10891.24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--13925.83</f>
        <v>13925.83</v>
      </c>
      <c r="U43" s="3"/>
      <c r="V43" s="20"/>
      <c r="W43" s="3"/>
      <c r="X43" s="3">
        <f t="shared" si="2"/>
        <v>-13925.83</v>
      </c>
      <c r="Y43" s="3"/>
      <c r="Z43" s="20">
        <f t="shared" si="3"/>
        <v>-1</v>
      </c>
    </row>
    <row r="44" spans="1:26" s="69" customFormat="1" ht="15" hidden="1" customHeight="1" outlineLevel="1" x14ac:dyDescent="0.25">
      <c r="A44" s="42"/>
      <c r="B44" s="12" t="str">
        <f>CONCATENATE("          ","4100"," - ","NON-TAXABLE SALES")</f>
        <v xml:space="preserve">          4100 - NON-TAXABLE SALES</v>
      </c>
      <c r="C44" s="12"/>
      <c r="D44" s="3">
        <f>--228555.64</f>
        <v>228555.64</v>
      </c>
      <c r="E44" s="3"/>
      <c r="F44" s="20"/>
      <c r="G44" s="3"/>
      <c r="H44" s="3">
        <f>--43179.21</f>
        <v>43179.21</v>
      </c>
      <c r="I44" s="3"/>
      <c r="J44" s="20"/>
      <c r="K44" s="3"/>
      <c r="L44" s="3">
        <f t="shared" ref="L44:L75" si="4">+D44-H44</f>
        <v>185376.43000000002</v>
      </c>
      <c r="M44" s="3"/>
      <c r="N44" s="20">
        <f t="shared" ref="N44:N75" si="5">IF(H44=0,0,L44/H44)</f>
        <v>4.2931871611361121</v>
      </c>
      <c r="O44" s="12"/>
      <c r="P44" s="3">
        <f>--2861228.1</f>
        <v>2861228.1</v>
      </c>
      <c r="Q44" s="3"/>
      <c r="R44" s="20"/>
      <c r="S44" s="3"/>
      <c r="T44" s="3">
        <f>--794570.98</f>
        <v>794570.98</v>
      </c>
      <c r="U44" s="3"/>
      <c r="V44" s="20"/>
      <c r="W44" s="3"/>
      <c r="X44" s="3">
        <f t="shared" ref="X44:X75" si="6">+P44-T44</f>
        <v>2066657.12</v>
      </c>
      <c r="Y44" s="3"/>
      <c r="Z44" s="20">
        <f t="shared" ref="Z44:Z75" si="7">IF(T44=0,0,X44/T44)</f>
        <v>2.6009723133860239</v>
      </c>
    </row>
    <row r="45" spans="1:26" s="69" customFormat="1" ht="15" hidden="1" customHeight="1" outlineLevel="1" x14ac:dyDescent="0.25">
      <c r="A45" s="42"/>
      <c r="B45" s="12" t="str">
        <f>CONCATENATE("          ","4101"," - ","NON-TAXABLE SALES-NEW TEXT")</f>
        <v xml:space="preserve">          4101 - NON-TAXABLE SALES-NEW TEXT</v>
      </c>
      <c r="C45" s="12"/>
      <c r="D45" s="3">
        <f>0</f>
        <v>0</v>
      </c>
      <c r="E45" s="3"/>
      <c r="F45" s="20"/>
      <c r="G45" s="3"/>
      <c r="H45" s="3">
        <f>--6450.33</f>
        <v>6450.33</v>
      </c>
      <c r="I45" s="3"/>
      <c r="J45" s="20"/>
      <c r="K45" s="3"/>
      <c r="L45" s="3">
        <f t="shared" si="4"/>
        <v>-6450.33</v>
      </c>
      <c r="M45" s="3"/>
      <c r="N45" s="20">
        <f t="shared" si="5"/>
        <v>-1</v>
      </c>
      <c r="O45" s="12"/>
      <c r="P45" s="3">
        <f>0</f>
        <v>0</v>
      </c>
      <c r="Q45" s="3"/>
      <c r="R45" s="20"/>
      <c r="S45" s="3"/>
      <c r="T45" s="3">
        <f>--119247.07</f>
        <v>119247.07</v>
      </c>
      <c r="U45" s="3"/>
      <c r="V45" s="20"/>
      <c r="W45" s="3"/>
      <c r="X45" s="3">
        <f t="shared" si="6"/>
        <v>-119247.07</v>
      </c>
      <c r="Y45" s="3"/>
      <c r="Z45" s="20">
        <f t="shared" si="7"/>
        <v>-1</v>
      </c>
    </row>
    <row r="46" spans="1:26" s="69" customFormat="1" ht="15" hidden="1" customHeight="1" outlineLevel="1" x14ac:dyDescent="0.25">
      <c r="A46" s="42"/>
      <c r="B46" s="12" t="str">
        <f>CONCATENATE("          ","4102"," - ","NON-TAXABLE SALES-USED TEXT")</f>
        <v xml:space="preserve">          4102 - NON-TAXABLE SALES-USED TEXT</v>
      </c>
      <c r="C46" s="12"/>
      <c r="D46" s="3">
        <f>0</f>
        <v>0</v>
      </c>
      <c r="E46" s="3"/>
      <c r="F46" s="20"/>
      <c r="G46" s="3"/>
      <c r="H46" s="3">
        <f>--2343.31</f>
        <v>2343.31</v>
      </c>
      <c r="I46" s="3"/>
      <c r="J46" s="20"/>
      <c r="K46" s="3"/>
      <c r="L46" s="3">
        <f t="shared" si="4"/>
        <v>-2343.31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--51046.73</f>
        <v>51046.73</v>
      </c>
      <c r="U46" s="3"/>
      <c r="V46" s="20"/>
      <c r="W46" s="3"/>
      <c r="X46" s="3">
        <f t="shared" si="6"/>
        <v>-51046.73</v>
      </c>
      <c r="Y46" s="3"/>
      <c r="Z46" s="20">
        <f t="shared" si="7"/>
        <v>-1</v>
      </c>
    </row>
    <row r="47" spans="1:26" s="69" customFormat="1" ht="15" hidden="1" customHeight="1" outlineLevel="1" x14ac:dyDescent="0.25">
      <c r="A47" s="42"/>
      <c r="B47" s="12" t="str">
        <f>CONCATENATE("          ","4103"," - ","NON-TAXABLE SALES-RENTAL TEXT")</f>
        <v xml:space="preserve">          4103 - NON-TAXABLE SALES-RENTAL TEXT</v>
      </c>
      <c r="C47" s="12"/>
      <c r="D47" s="3">
        <f>0</f>
        <v>0</v>
      </c>
      <c r="E47" s="3"/>
      <c r="F47" s="20"/>
      <c r="G47" s="3"/>
      <c r="H47" s="3">
        <f>0</f>
        <v>0</v>
      </c>
      <c r="I47" s="3"/>
      <c r="J47" s="20"/>
      <c r="K47" s="3"/>
      <c r="L47" s="3">
        <f t="shared" si="4"/>
        <v>0</v>
      </c>
      <c r="M47" s="3"/>
      <c r="N47" s="20">
        <f t="shared" si="5"/>
        <v>0</v>
      </c>
      <c r="O47" s="12"/>
      <c r="P47" s="3">
        <f>0</f>
        <v>0</v>
      </c>
      <c r="Q47" s="3"/>
      <c r="R47" s="20"/>
      <c r="S47" s="3"/>
      <c r="T47" s="3">
        <f>--1138.95</f>
        <v>1138.95</v>
      </c>
      <c r="U47" s="3"/>
      <c r="V47" s="20"/>
      <c r="W47" s="3"/>
      <c r="X47" s="3">
        <f t="shared" si="6"/>
        <v>-1138.95</v>
      </c>
      <c r="Y47" s="3"/>
      <c r="Z47" s="20">
        <f t="shared" si="7"/>
        <v>-1</v>
      </c>
    </row>
    <row r="48" spans="1:26" s="69" customFormat="1" ht="15" hidden="1" customHeight="1" outlineLevel="1" x14ac:dyDescent="0.25">
      <c r="A48" s="42"/>
      <c r="B48" s="12" t="str">
        <f>CONCATENATE("          ","4104"," - ","NON-TAXABLE SALES-DIGITAL TEXT")</f>
        <v xml:space="preserve">          4104 - NON-TAXABLE SALES-DIGITAL TEXT</v>
      </c>
      <c r="C48" s="12"/>
      <c r="D48" s="3">
        <f>0</f>
        <v>0</v>
      </c>
      <c r="E48" s="3"/>
      <c r="F48" s="20"/>
      <c r="G48" s="3"/>
      <c r="H48" s="3">
        <f>--10484.56</f>
        <v>10484.56</v>
      </c>
      <c r="I48" s="3"/>
      <c r="J48" s="20"/>
      <c r="K48" s="3"/>
      <c r="L48" s="3">
        <f t="shared" si="4"/>
        <v>-10484.56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--490887.73</f>
        <v>490887.73</v>
      </c>
      <c r="U48" s="3"/>
      <c r="V48" s="20"/>
      <c r="W48" s="3"/>
      <c r="X48" s="3">
        <f t="shared" si="6"/>
        <v>-490887.73</v>
      </c>
      <c r="Y48" s="3"/>
      <c r="Z48" s="20">
        <f t="shared" si="7"/>
        <v>-1</v>
      </c>
    </row>
    <row r="49" spans="1:26" s="69" customFormat="1" ht="15" hidden="1" customHeight="1" outlineLevel="1" x14ac:dyDescent="0.25">
      <c r="A49" s="42"/>
      <c r="B49" s="12" t="str">
        <f>CONCATENATE("          ","4113"," - ","NON-TAXABLE SALES-TRADE BOOKS")</f>
        <v xml:space="preserve">          4113 - NON-TAXABLE SALES-TRADE BOOKS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--12127.25</f>
        <v>12127.25</v>
      </c>
      <c r="U49" s="3"/>
      <c r="V49" s="20"/>
      <c r="W49" s="3"/>
      <c r="X49" s="3">
        <f t="shared" si="6"/>
        <v>-12127.25</v>
      </c>
      <c r="Y49" s="3"/>
      <c r="Z49" s="20">
        <f t="shared" si="7"/>
        <v>-1</v>
      </c>
    </row>
    <row r="50" spans="1:26" s="69" customFormat="1" ht="15" hidden="1" customHeight="1" outlineLevel="1" x14ac:dyDescent="0.25">
      <c r="A50" s="42"/>
      <c r="B50" s="12" t="str">
        <f>CONCATENATE("          ","4118"," - ","NON-TAXABLE SALES-STUDY GUIDES")</f>
        <v xml:space="preserve">          4118 - NON-TAXABLE SALES-STUDY GUIDES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--771.73</f>
        <v>771.73</v>
      </c>
      <c r="U50" s="3"/>
      <c r="V50" s="20"/>
      <c r="W50" s="3"/>
      <c r="X50" s="3">
        <f t="shared" si="6"/>
        <v>-771.73</v>
      </c>
      <c r="Y50" s="3"/>
      <c r="Z50" s="20">
        <f t="shared" si="7"/>
        <v>-1</v>
      </c>
    </row>
    <row r="51" spans="1:26" s="69" customFormat="1" ht="15" hidden="1" customHeight="1" outlineLevel="1" x14ac:dyDescent="0.25">
      <c r="A51" s="42"/>
      <c r="B51" s="12" t="str">
        <f>CONCATENATE("          ","4126"," - ","NON-TAXABLE SALES-WRITING INST")</f>
        <v xml:space="preserve">          4126 - NON-TAXABLE SALES-WRITING INST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--52.68</f>
        <v>52.68</v>
      </c>
      <c r="U51" s="3"/>
      <c r="V51" s="20"/>
      <c r="W51" s="3"/>
      <c r="X51" s="3">
        <f t="shared" si="6"/>
        <v>-52.68</v>
      </c>
      <c r="Y51" s="3"/>
      <c r="Z51" s="20">
        <f t="shared" si="7"/>
        <v>-1</v>
      </c>
    </row>
    <row r="52" spans="1:26" s="69" customFormat="1" ht="15" hidden="1" customHeight="1" outlineLevel="1" x14ac:dyDescent="0.25">
      <c r="A52" s="42"/>
      <c r="B52" s="12" t="str">
        <f>CONCATENATE("          ","4127"," - ","NON-TAXABLE SALES-SCHOOL SUPPL")</f>
        <v xml:space="preserve">          4127 - NON-TAXABLE SALES-SCHOOL SUPPL</v>
      </c>
      <c r="C52" s="12"/>
      <c r="D52" s="3">
        <f>0</f>
        <v>0</v>
      </c>
      <c r="E52" s="3"/>
      <c r="F52" s="20"/>
      <c r="G52" s="3"/>
      <c r="H52" s="3">
        <f>--548.05</f>
        <v>548.04999999999995</v>
      </c>
      <c r="I52" s="3"/>
      <c r="J52" s="20"/>
      <c r="K52" s="3"/>
      <c r="L52" s="3">
        <f t="shared" si="4"/>
        <v>-548.04999999999995</v>
      </c>
      <c r="M52" s="3"/>
      <c r="N52" s="20">
        <f t="shared" si="5"/>
        <v>-1</v>
      </c>
      <c r="O52" s="12"/>
      <c r="P52" s="3">
        <f>0</f>
        <v>0</v>
      </c>
      <c r="Q52" s="3"/>
      <c r="R52" s="20"/>
      <c r="S52" s="3"/>
      <c r="T52" s="3">
        <f>--7648.73</f>
        <v>7648.73</v>
      </c>
      <c r="U52" s="3"/>
      <c r="V52" s="20"/>
      <c r="W52" s="3"/>
      <c r="X52" s="3">
        <f t="shared" si="6"/>
        <v>-7648.73</v>
      </c>
      <c r="Y52" s="3"/>
      <c r="Z52" s="20">
        <f t="shared" si="7"/>
        <v>-1</v>
      </c>
    </row>
    <row r="53" spans="1:26" s="69" customFormat="1" ht="15" hidden="1" customHeight="1" outlineLevel="1" x14ac:dyDescent="0.25">
      <c r="A53" s="42"/>
      <c r="B53" s="12" t="str">
        <f>CONCATENATE("          ","4128"," - ","NON-TAXABLE SALES-ART/TECH")</f>
        <v xml:space="preserve">          4128 - NON-TAXABLE SALES-ART/TECH</v>
      </c>
      <c r="C53" s="12"/>
      <c r="D53" s="3">
        <f>0</f>
        <v>0</v>
      </c>
      <c r="E53" s="3"/>
      <c r="F53" s="20"/>
      <c r="G53" s="3"/>
      <c r="H53" s="3">
        <f>--45.96</f>
        <v>45.96</v>
      </c>
      <c r="I53" s="3"/>
      <c r="J53" s="20"/>
      <c r="K53" s="3"/>
      <c r="L53" s="3">
        <f t="shared" si="4"/>
        <v>-45.96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--115.91</f>
        <v>115.91</v>
      </c>
      <c r="U53" s="3"/>
      <c r="V53" s="20"/>
      <c r="W53" s="3"/>
      <c r="X53" s="3">
        <f t="shared" si="6"/>
        <v>-115.91</v>
      </c>
      <c r="Y53" s="3"/>
      <c r="Z53" s="20">
        <f t="shared" si="7"/>
        <v>-1</v>
      </c>
    </row>
    <row r="54" spans="1:26" s="69" customFormat="1" ht="15" hidden="1" customHeight="1" outlineLevel="1" x14ac:dyDescent="0.25">
      <c r="A54" s="42"/>
      <c r="B54" s="12" t="str">
        <f>CONCATENATE("          ","4131"," - ","NON-TAXABLE SALES-FOOD")</f>
        <v xml:space="preserve">          4131 - NON-TAXABLE SALES-FOOD</v>
      </c>
      <c r="C54" s="12"/>
      <c r="D54" s="3">
        <f>0</f>
        <v>0</v>
      </c>
      <c r="E54" s="3"/>
      <c r="F54" s="20"/>
      <c r="G54" s="3"/>
      <c r="H54" s="3">
        <f>--775.78</f>
        <v>775.78</v>
      </c>
      <c r="I54" s="3"/>
      <c r="J54" s="20"/>
      <c r="K54" s="3"/>
      <c r="L54" s="3">
        <f t="shared" si="4"/>
        <v>-775.78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--12156.14</f>
        <v>12156.14</v>
      </c>
      <c r="U54" s="3"/>
      <c r="V54" s="20"/>
      <c r="W54" s="3"/>
      <c r="X54" s="3">
        <f t="shared" si="6"/>
        <v>-12156.14</v>
      </c>
      <c r="Y54" s="3"/>
      <c r="Z54" s="20">
        <f t="shared" si="7"/>
        <v>-1</v>
      </c>
    </row>
    <row r="55" spans="1:26" s="69" customFormat="1" ht="15" hidden="1" customHeight="1" outlineLevel="1" x14ac:dyDescent="0.25">
      <c r="A55" s="42"/>
      <c r="B55" s="12" t="str">
        <f>CONCATENATE("          ","4132"," - ","NON-TAXABLE SALES-JUICE")</f>
        <v xml:space="preserve">          4132 - NON-TAXABLE SALES-JUICE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4"/>
        <v>0</v>
      </c>
      <c r="M55" s="3"/>
      <c r="N55" s="20">
        <f t="shared" si="5"/>
        <v>0</v>
      </c>
      <c r="O55" s="12"/>
      <c r="P55" s="3">
        <f>0</f>
        <v>0</v>
      </c>
      <c r="Q55" s="3"/>
      <c r="R55" s="20"/>
      <c r="S55" s="3"/>
      <c r="T55" s="3">
        <f>--2054.37</f>
        <v>2054.37</v>
      </c>
      <c r="U55" s="3"/>
      <c r="V55" s="20"/>
      <c r="W55" s="3"/>
      <c r="X55" s="3">
        <f t="shared" si="6"/>
        <v>-2054.37</v>
      </c>
      <c r="Y55" s="3"/>
      <c r="Z55" s="20">
        <f t="shared" si="7"/>
        <v>-1</v>
      </c>
    </row>
    <row r="56" spans="1:26" s="69" customFormat="1" ht="15" hidden="1" customHeight="1" outlineLevel="1" x14ac:dyDescent="0.25">
      <c r="A56" s="42"/>
      <c r="B56" s="12" t="str">
        <f>CONCATENATE("          ","4133"," - ","NON-TAXABLE SALES-CANDY")</f>
        <v xml:space="preserve">          4133 - NON-TAXABLE SALES-CANDY</v>
      </c>
      <c r="C56" s="12"/>
      <c r="D56" s="3">
        <f>0</f>
        <v>0</v>
      </c>
      <c r="E56" s="3"/>
      <c r="F56" s="20"/>
      <c r="G56" s="3"/>
      <c r="H56" s="3">
        <f>0</f>
        <v>0</v>
      </c>
      <c r="I56" s="3"/>
      <c r="J56" s="20"/>
      <c r="K56" s="3"/>
      <c r="L56" s="3">
        <f t="shared" si="4"/>
        <v>0</v>
      </c>
      <c r="M56" s="3"/>
      <c r="N56" s="20">
        <f t="shared" si="5"/>
        <v>0</v>
      </c>
      <c r="O56" s="12"/>
      <c r="P56" s="3">
        <f>0</f>
        <v>0</v>
      </c>
      <c r="Q56" s="3"/>
      <c r="R56" s="20"/>
      <c r="S56" s="3"/>
      <c r="T56" s="3">
        <f>--80.71</f>
        <v>80.709999999999994</v>
      </c>
      <c r="U56" s="3"/>
      <c r="V56" s="20"/>
      <c r="W56" s="3"/>
      <c r="X56" s="3">
        <f t="shared" si="6"/>
        <v>-80.709999999999994</v>
      </c>
      <c r="Y56" s="3"/>
      <c r="Z56" s="20">
        <f t="shared" si="7"/>
        <v>-1</v>
      </c>
    </row>
    <row r="57" spans="1:26" s="69" customFormat="1" ht="15" hidden="1" customHeight="1" outlineLevel="1" x14ac:dyDescent="0.25">
      <c r="A57" s="42"/>
      <c r="B57" s="12" t="str">
        <f>CONCATENATE("          ","4134"," - ","NON-TAXABLE SALES-SODA")</f>
        <v xml:space="preserve">          4134 - NON-TAXABLE SALES-SODA</v>
      </c>
      <c r="C57" s="12"/>
      <c r="D57" s="3">
        <f>0</f>
        <v>0</v>
      </c>
      <c r="E57" s="3"/>
      <c r="F57" s="20"/>
      <c r="G57" s="3"/>
      <c r="H57" s="3">
        <f>0</f>
        <v>0</v>
      </c>
      <c r="I57" s="3"/>
      <c r="J57" s="20"/>
      <c r="K57" s="3"/>
      <c r="L57" s="3">
        <f t="shared" si="4"/>
        <v>0</v>
      </c>
      <c r="M57" s="3"/>
      <c r="N57" s="20">
        <f t="shared" si="5"/>
        <v>0</v>
      </c>
      <c r="O57" s="12"/>
      <c r="P57" s="3">
        <f>0</f>
        <v>0</v>
      </c>
      <c r="Q57" s="3"/>
      <c r="R57" s="20"/>
      <c r="S57" s="3"/>
      <c r="T57" s="3">
        <f>--45.53</f>
        <v>45.53</v>
      </c>
      <c r="U57" s="3"/>
      <c r="V57" s="20"/>
      <c r="W57" s="3"/>
      <c r="X57" s="3">
        <f t="shared" si="6"/>
        <v>-45.53</v>
      </c>
      <c r="Y57" s="3"/>
      <c r="Z57" s="20">
        <f t="shared" si="7"/>
        <v>-1</v>
      </c>
    </row>
    <row r="58" spans="1:26" s="69" customFormat="1" ht="15" hidden="1" customHeight="1" outlineLevel="1" x14ac:dyDescent="0.25">
      <c r="A58" s="42"/>
      <c r="B58" s="12" t="str">
        <f>CONCATENATE("          ","4137"," - ","NON-TAXABLE SALES-WATER")</f>
        <v xml:space="preserve">          4137 - NON-TAXABLE SALES-WATER</v>
      </c>
      <c r="C58" s="12"/>
      <c r="D58" s="3">
        <f>0</f>
        <v>0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0</v>
      </c>
      <c r="M58" s="3"/>
      <c r="N58" s="20">
        <f t="shared" si="5"/>
        <v>0</v>
      </c>
      <c r="O58" s="12"/>
      <c r="P58" s="3">
        <f>0</f>
        <v>0</v>
      </c>
      <c r="Q58" s="3"/>
      <c r="R58" s="20"/>
      <c r="S58" s="3"/>
      <c r="T58" s="3">
        <f>--68.25</f>
        <v>68.25</v>
      </c>
      <c r="U58" s="3"/>
      <c r="V58" s="20"/>
      <c r="W58" s="3"/>
      <c r="X58" s="3">
        <f t="shared" si="6"/>
        <v>-68.25</v>
      </c>
      <c r="Y58" s="3"/>
      <c r="Z58" s="20">
        <f t="shared" si="7"/>
        <v>-1</v>
      </c>
    </row>
    <row r="59" spans="1:26" s="69" customFormat="1" ht="15" hidden="1" customHeight="1" outlineLevel="1" x14ac:dyDescent="0.25">
      <c r="A59" s="42"/>
      <c r="B59" s="12" t="str">
        <f>CONCATENATE("          ","4140"," - ","NON-TAXABLE SALES-LOGO CLOTHIN")</f>
        <v xml:space="preserve">          4140 - NON-TAXABLE SALES-LOGO CLOTHIN</v>
      </c>
      <c r="C59" s="12"/>
      <c r="D59" s="3">
        <f>0</f>
        <v>0</v>
      </c>
      <c r="E59" s="3"/>
      <c r="F59" s="20"/>
      <c r="G59" s="3"/>
      <c r="H59" s="3">
        <f>--16733.37</f>
        <v>16733.37</v>
      </c>
      <c r="I59" s="3"/>
      <c r="J59" s="20"/>
      <c r="K59" s="3"/>
      <c r="L59" s="3">
        <f t="shared" si="4"/>
        <v>-16733.37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--171525.76</f>
        <v>171525.76000000001</v>
      </c>
      <c r="U59" s="3"/>
      <c r="V59" s="20"/>
      <c r="W59" s="3"/>
      <c r="X59" s="3">
        <f t="shared" si="6"/>
        <v>-171525.76000000001</v>
      </c>
      <c r="Y59" s="3"/>
      <c r="Z59" s="20">
        <f t="shared" si="7"/>
        <v>-1</v>
      </c>
    </row>
    <row r="60" spans="1:26" s="69" customFormat="1" ht="15" hidden="1" customHeight="1" outlineLevel="1" x14ac:dyDescent="0.25">
      <c r="A60" s="42"/>
      <c r="B60" s="12" t="str">
        <f>CONCATENATE("          ","4141"," - ","NON-TAXABLE SALES-LOGO GIFTS")</f>
        <v xml:space="preserve">          4141 - NON-TAXABLE SALES-LOGO GIFTS</v>
      </c>
      <c r="C60" s="12"/>
      <c r="D60" s="3">
        <f>0</f>
        <v>0</v>
      </c>
      <c r="E60" s="3"/>
      <c r="F60" s="20"/>
      <c r="G60" s="3"/>
      <c r="H60" s="3">
        <f>--2359.22</f>
        <v>2359.2199999999998</v>
      </c>
      <c r="I60" s="3"/>
      <c r="J60" s="20"/>
      <c r="K60" s="3"/>
      <c r="L60" s="3">
        <f t="shared" si="4"/>
        <v>-2359.2199999999998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--39156.03</f>
        <v>39156.03</v>
      </c>
      <c r="U60" s="3"/>
      <c r="V60" s="20"/>
      <c r="W60" s="3"/>
      <c r="X60" s="3">
        <f t="shared" si="6"/>
        <v>-39156.03</v>
      </c>
      <c r="Y60" s="3"/>
      <c r="Z60" s="20">
        <f t="shared" si="7"/>
        <v>-1</v>
      </c>
    </row>
    <row r="61" spans="1:26" s="69" customFormat="1" ht="15" hidden="1" customHeight="1" outlineLevel="1" x14ac:dyDescent="0.25">
      <c r="A61" s="42"/>
      <c r="B61" s="12" t="str">
        <f>CONCATENATE("          ","4142"," - ","NON-TAXABLE SALES-EVERYDAY GIF")</f>
        <v xml:space="preserve">          4142 - NON-TAXABLE SALES-EVERYDAY GIF</v>
      </c>
      <c r="C61" s="12"/>
      <c r="D61" s="3">
        <f>0</f>
        <v>0</v>
      </c>
      <c r="E61" s="3"/>
      <c r="F61" s="20"/>
      <c r="G61" s="3"/>
      <c r="H61" s="3">
        <f>--16.35</f>
        <v>16.350000000000001</v>
      </c>
      <c r="I61" s="3"/>
      <c r="J61" s="20"/>
      <c r="K61" s="3"/>
      <c r="L61" s="3">
        <f t="shared" si="4"/>
        <v>-16.350000000000001</v>
      </c>
      <c r="M61" s="3"/>
      <c r="N61" s="20">
        <f t="shared" si="5"/>
        <v>-1</v>
      </c>
      <c r="O61" s="12"/>
      <c r="P61" s="3">
        <f>0</f>
        <v>0</v>
      </c>
      <c r="Q61" s="3"/>
      <c r="R61" s="20"/>
      <c r="S61" s="3"/>
      <c r="T61" s="3">
        <f>--2604.45</f>
        <v>2604.4499999999998</v>
      </c>
      <c r="U61" s="3"/>
      <c r="V61" s="20"/>
      <c r="W61" s="3"/>
      <c r="X61" s="3">
        <f t="shared" si="6"/>
        <v>-2604.4499999999998</v>
      </c>
      <c r="Y61" s="3"/>
      <c r="Z61" s="20">
        <f t="shared" si="7"/>
        <v>-1</v>
      </c>
    </row>
    <row r="62" spans="1:26" s="69" customFormat="1" ht="15" hidden="1" customHeight="1" outlineLevel="1" x14ac:dyDescent="0.25">
      <c r="A62" s="42"/>
      <c r="B62" s="12" t="str">
        <f>CONCATENATE("          ","4143"," - ","NON-TAXABLE SALES-CARDS")</f>
        <v xml:space="preserve">          4143 - NON-TAXABLE SALES-CARDS</v>
      </c>
      <c r="C62" s="12"/>
      <c r="D62" s="3">
        <f>0</f>
        <v>0</v>
      </c>
      <c r="E62" s="3"/>
      <c r="F62" s="20"/>
      <c r="G62" s="3"/>
      <c r="H62" s="3">
        <f>--120.71</f>
        <v>120.71</v>
      </c>
      <c r="I62" s="3"/>
      <c r="J62" s="20"/>
      <c r="K62" s="3"/>
      <c r="L62" s="3">
        <f t="shared" si="4"/>
        <v>-120.71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--2552.16</f>
        <v>2552.16</v>
      </c>
      <c r="U62" s="3"/>
      <c r="V62" s="20"/>
      <c r="W62" s="3"/>
      <c r="X62" s="3">
        <f t="shared" si="6"/>
        <v>-2552.16</v>
      </c>
      <c r="Y62" s="3"/>
      <c r="Z62" s="20">
        <f t="shared" si="7"/>
        <v>-1</v>
      </c>
    </row>
    <row r="63" spans="1:26" s="69" customFormat="1" ht="15" hidden="1" customHeight="1" outlineLevel="1" x14ac:dyDescent="0.25">
      <c r="A63" s="42"/>
      <c r="B63" s="12" t="str">
        <f>CONCATENATE("          ","4144"," - ","NON-TAXABLE SALES-ACCESSORIES")</f>
        <v xml:space="preserve">          4144 - NON-TAXABLE SALES-ACCESSORIES</v>
      </c>
      <c r="C63" s="12"/>
      <c r="D63" s="3">
        <f>0</f>
        <v>0</v>
      </c>
      <c r="E63" s="3"/>
      <c r="F63" s="20"/>
      <c r="G63" s="3"/>
      <c r="H63" s="3">
        <f>--164.7</f>
        <v>164.7</v>
      </c>
      <c r="I63" s="3"/>
      <c r="J63" s="20"/>
      <c r="K63" s="3"/>
      <c r="L63" s="3">
        <f t="shared" si="4"/>
        <v>-164.7</v>
      </c>
      <c r="M63" s="3"/>
      <c r="N63" s="20">
        <f t="shared" si="5"/>
        <v>-1</v>
      </c>
      <c r="O63" s="12"/>
      <c r="P63" s="3">
        <f>0</f>
        <v>0</v>
      </c>
      <c r="Q63" s="3"/>
      <c r="R63" s="20"/>
      <c r="S63" s="3"/>
      <c r="T63" s="3">
        <f>--873.8</f>
        <v>873.8</v>
      </c>
      <c r="U63" s="3"/>
      <c r="V63" s="20"/>
      <c r="W63" s="3"/>
      <c r="X63" s="3">
        <f t="shared" si="6"/>
        <v>-873.8</v>
      </c>
      <c r="Y63" s="3"/>
      <c r="Z63" s="20">
        <f t="shared" si="7"/>
        <v>-1</v>
      </c>
    </row>
    <row r="64" spans="1:26" s="69" customFormat="1" ht="15" hidden="1" customHeight="1" outlineLevel="1" x14ac:dyDescent="0.25">
      <c r="A64" s="42"/>
      <c r="B64" s="12" t="str">
        <f>CONCATENATE("          ","4145"," - ","NON-TAXABLE SALES-SPECIAL ORDE")</f>
        <v xml:space="preserve">          4145 - NON-TAXABLE SALES-SPECIAL ORDE</v>
      </c>
      <c r="C64" s="12"/>
      <c r="D64" s="3">
        <f>0</f>
        <v>0</v>
      </c>
      <c r="E64" s="3"/>
      <c r="F64" s="20"/>
      <c r="G64" s="3"/>
      <c r="H64" s="3">
        <f>0</f>
        <v>0</v>
      </c>
      <c r="I64" s="3"/>
      <c r="J64" s="20"/>
      <c r="K64" s="3"/>
      <c r="L64" s="3">
        <f t="shared" si="4"/>
        <v>0</v>
      </c>
      <c r="M64" s="3"/>
      <c r="N64" s="20">
        <f t="shared" si="5"/>
        <v>0</v>
      </c>
      <c r="O64" s="12"/>
      <c r="P64" s="3">
        <f>0</f>
        <v>0</v>
      </c>
      <c r="Q64" s="3"/>
      <c r="R64" s="20"/>
      <c r="S64" s="3"/>
      <c r="T64" s="3">
        <f>--74066.89</f>
        <v>74066.89</v>
      </c>
      <c r="U64" s="3"/>
      <c r="V64" s="20"/>
      <c r="W64" s="3"/>
      <c r="X64" s="3">
        <f t="shared" si="6"/>
        <v>-74066.89</v>
      </c>
      <c r="Y64" s="3"/>
      <c r="Z64" s="20">
        <f t="shared" si="7"/>
        <v>-1</v>
      </c>
    </row>
    <row r="65" spans="1:26" s="69" customFormat="1" ht="15" hidden="1" customHeight="1" outlineLevel="1" x14ac:dyDescent="0.25">
      <c r="A65" s="42"/>
      <c r="B65" s="12" t="str">
        <f>CONCATENATE("          ","4146"," - ","NON-TAXABLE SALES-COIN OP MACH")</f>
        <v xml:space="preserve">          4146 - NON-TAXABLE SALES-COIN OP MACH</v>
      </c>
      <c r="C65" s="12"/>
      <c r="D65" s="3">
        <f>0</f>
        <v>0</v>
      </c>
      <c r="E65" s="3"/>
      <c r="F65" s="20"/>
      <c r="G65" s="3"/>
      <c r="H65" s="3">
        <f>--56.6</f>
        <v>56.6</v>
      </c>
      <c r="I65" s="3"/>
      <c r="J65" s="20"/>
      <c r="K65" s="3"/>
      <c r="L65" s="3">
        <f t="shared" si="4"/>
        <v>-56.6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--385.9</f>
        <v>385.9</v>
      </c>
      <c r="U65" s="3"/>
      <c r="V65" s="20"/>
      <c r="W65" s="3"/>
      <c r="X65" s="3">
        <f t="shared" si="6"/>
        <v>-385.9</v>
      </c>
      <c r="Y65" s="3"/>
      <c r="Z65" s="20">
        <f t="shared" si="7"/>
        <v>-1</v>
      </c>
    </row>
    <row r="66" spans="1:26" s="69" customFormat="1" ht="15" hidden="1" customHeight="1" outlineLevel="1" x14ac:dyDescent="0.25">
      <c r="A66" s="42"/>
      <c r="B66" s="12" t="str">
        <f>CONCATENATE("          ","4147"," - ","NON-TAXABLE SALES-MISC")</f>
        <v xml:space="preserve">          4147 - NON-TAXABLE SALES-MISC</v>
      </c>
      <c r="C66" s="12"/>
      <c r="D66" s="3">
        <f>0</f>
        <v>0</v>
      </c>
      <c r="E66" s="3"/>
      <c r="F66" s="20"/>
      <c r="G66" s="3"/>
      <c r="H66" s="3">
        <f>--13.5</f>
        <v>13.5</v>
      </c>
      <c r="I66" s="3"/>
      <c r="J66" s="20"/>
      <c r="K66" s="3"/>
      <c r="L66" s="3">
        <f t="shared" si="4"/>
        <v>-13.5</v>
      </c>
      <c r="M66" s="3"/>
      <c r="N66" s="20">
        <f t="shared" si="5"/>
        <v>-1</v>
      </c>
      <c r="O66" s="12"/>
      <c r="P66" s="3">
        <f>0</f>
        <v>0</v>
      </c>
      <c r="Q66" s="3"/>
      <c r="R66" s="20"/>
      <c r="S66" s="3"/>
      <c r="T66" s="3">
        <f>--168</f>
        <v>168</v>
      </c>
      <c r="U66" s="3"/>
      <c r="V66" s="20"/>
      <c r="W66" s="3"/>
      <c r="X66" s="3">
        <f t="shared" si="6"/>
        <v>-168</v>
      </c>
      <c r="Y66" s="3"/>
      <c r="Z66" s="20">
        <f t="shared" si="7"/>
        <v>-1</v>
      </c>
    </row>
    <row r="67" spans="1:26" s="69" customFormat="1" ht="15" hidden="1" customHeight="1" outlineLevel="1" x14ac:dyDescent="0.25">
      <c r="A67" s="42"/>
      <c r="B67" s="12" t="str">
        <f>CONCATENATE("          ","4151"," - ","NON-TAXABLE SALES-FOOD")</f>
        <v xml:space="preserve">          4151 - NON-TAXABLE SALES-FOOD</v>
      </c>
      <c r="C67" s="12"/>
      <c r="D67" s="3">
        <f>--773084.43</f>
        <v>773084.43</v>
      </c>
      <c r="E67" s="3"/>
      <c r="F67" s="20"/>
      <c r="G67" s="3"/>
      <c r="H67" s="3">
        <f>--54229.87</f>
        <v>54229.87</v>
      </c>
      <c r="I67" s="3"/>
      <c r="J67" s="20"/>
      <c r="K67" s="3"/>
      <c r="L67" s="3">
        <f t="shared" si="4"/>
        <v>718854.56</v>
      </c>
      <c r="M67" s="3"/>
      <c r="N67" s="20">
        <f t="shared" si="5"/>
        <v>13.255693956116804</v>
      </c>
      <c r="O67" s="12"/>
      <c r="P67" s="3">
        <f>--12624987.46</f>
        <v>12624987.460000001</v>
      </c>
      <c r="Q67" s="3"/>
      <c r="R67" s="20"/>
      <c r="S67" s="3"/>
      <c r="T67" s="3">
        <f>--978326.99</f>
        <v>978326.99</v>
      </c>
      <c r="U67" s="3"/>
      <c r="V67" s="20"/>
      <c r="W67" s="3"/>
      <c r="X67" s="3">
        <f t="shared" si="6"/>
        <v>11646660.470000001</v>
      </c>
      <c r="Y67" s="3"/>
      <c r="Z67" s="20">
        <f t="shared" si="7"/>
        <v>11.904670513076615</v>
      </c>
    </row>
    <row r="68" spans="1:26" s="69" customFormat="1" ht="15" hidden="1" customHeight="1" outlineLevel="1" x14ac:dyDescent="0.25">
      <c r="A68" s="42"/>
      <c r="B68" s="12" t="str">
        <f>CONCATENATE("          ","4152"," - ","NON-TAXABLE SALES-FOOD")</f>
        <v xml:space="preserve">          4152 - NON-TAXABLE SALES-FOOD</v>
      </c>
      <c r="C68" s="12"/>
      <c r="D68" s="3">
        <f>0</f>
        <v>0</v>
      </c>
      <c r="E68" s="3"/>
      <c r="F68" s="20"/>
      <c r="G68" s="3"/>
      <c r="H68" s="3">
        <f>0</f>
        <v>0</v>
      </c>
      <c r="I68" s="3"/>
      <c r="J68" s="20"/>
      <c r="K68" s="3"/>
      <c r="L68" s="3">
        <f t="shared" si="4"/>
        <v>0</v>
      </c>
      <c r="M68" s="3"/>
      <c r="N68" s="20">
        <f t="shared" si="5"/>
        <v>0</v>
      </c>
      <c r="O68" s="12"/>
      <c r="P68" s="3">
        <f>0</f>
        <v>0</v>
      </c>
      <c r="Q68" s="3"/>
      <c r="R68" s="20"/>
      <c r="S68" s="3"/>
      <c r="T68" s="3">
        <f>--11580.95</f>
        <v>11580.95</v>
      </c>
      <c r="U68" s="3"/>
      <c r="V68" s="20"/>
      <c r="W68" s="3"/>
      <c r="X68" s="3">
        <f t="shared" si="6"/>
        <v>-11580.95</v>
      </c>
      <c r="Y68" s="3"/>
      <c r="Z68" s="20">
        <f t="shared" si="7"/>
        <v>-1</v>
      </c>
    </row>
    <row r="69" spans="1:26" s="69" customFormat="1" ht="15" hidden="1" customHeight="1" outlineLevel="1" x14ac:dyDescent="0.25">
      <c r="A69" s="42"/>
      <c r="B69" s="12" t="str">
        <f>CONCATENATE("          ","4153"," - ","NON-TAXABLE SALES-FOOD")</f>
        <v xml:space="preserve">          4153 - NON-TAXABLE SALES-FOOD</v>
      </c>
      <c r="C69" s="12"/>
      <c r="D69" s="3">
        <f>--6068.42</f>
        <v>6068.42</v>
      </c>
      <c r="E69" s="3"/>
      <c r="F69" s="20"/>
      <c r="G69" s="3"/>
      <c r="H69" s="3">
        <f>--2896.04</f>
        <v>2896.04</v>
      </c>
      <c r="I69" s="3"/>
      <c r="J69" s="20"/>
      <c r="K69" s="3"/>
      <c r="L69" s="3">
        <f t="shared" si="4"/>
        <v>3172.38</v>
      </c>
      <c r="M69" s="3"/>
      <c r="N69" s="20">
        <f t="shared" si="5"/>
        <v>1.0954199527630835</v>
      </c>
      <c r="O69" s="12"/>
      <c r="P69" s="3">
        <f>--118114.99</f>
        <v>118114.99</v>
      </c>
      <c r="Q69" s="3"/>
      <c r="R69" s="20"/>
      <c r="S69" s="3"/>
      <c r="T69" s="3">
        <f>--50734.77</f>
        <v>50734.77</v>
      </c>
      <c r="U69" s="3"/>
      <c r="V69" s="20"/>
      <c r="W69" s="3"/>
      <c r="X69" s="3">
        <f t="shared" si="6"/>
        <v>67380.22</v>
      </c>
      <c r="Y69" s="3"/>
      <c r="Z69" s="20">
        <f t="shared" si="7"/>
        <v>1.3280876211718315</v>
      </c>
    </row>
    <row r="70" spans="1:26" s="69" customFormat="1" ht="15" hidden="1" customHeight="1" outlineLevel="1" x14ac:dyDescent="0.25">
      <c r="A70" s="42"/>
      <c r="B70" s="12" t="str">
        <f>CONCATENATE("          ","4155"," - ","NON-TAXABLE SALES-FOOD")</f>
        <v xml:space="preserve">          4155 - NON-TAXABLE SALES-FOOD</v>
      </c>
      <c r="C70" s="12"/>
      <c r="D70" s="3">
        <f>--884.09</f>
        <v>884.09</v>
      </c>
      <c r="E70" s="3"/>
      <c r="F70" s="20"/>
      <c r="G70" s="3"/>
      <c r="H70" s="3">
        <f>0</f>
        <v>0</v>
      </c>
      <c r="I70" s="3"/>
      <c r="J70" s="20"/>
      <c r="K70" s="3"/>
      <c r="L70" s="3">
        <f t="shared" si="4"/>
        <v>884.09</v>
      </c>
      <c r="M70" s="3"/>
      <c r="N70" s="20">
        <f t="shared" si="5"/>
        <v>0</v>
      </c>
      <c r="O70" s="12"/>
      <c r="P70" s="3">
        <f>--4683.41</f>
        <v>4683.41</v>
      </c>
      <c r="Q70" s="3"/>
      <c r="R70" s="20"/>
      <c r="S70" s="3"/>
      <c r="T70" s="3">
        <f>0</f>
        <v>0</v>
      </c>
      <c r="U70" s="3"/>
      <c r="V70" s="20"/>
      <c r="W70" s="3"/>
      <c r="X70" s="3">
        <f t="shared" si="6"/>
        <v>4683.41</v>
      </c>
      <c r="Y70" s="3"/>
      <c r="Z70" s="20">
        <f t="shared" si="7"/>
        <v>0</v>
      </c>
    </row>
    <row r="71" spans="1:26" s="69" customFormat="1" ht="15" hidden="1" customHeight="1" outlineLevel="1" x14ac:dyDescent="0.25">
      <c r="A71" s="42"/>
      <c r="B71" s="12" t="str">
        <f>CONCATENATE("          ","4181"," - ","NON-TAXABLE SALES-ELECTRONICS")</f>
        <v xml:space="preserve">          4181 - NON-TAXABLE SALES-ELECTRONICS</v>
      </c>
      <c r="C71" s="12"/>
      <c r="D71" s="3">
        <f>0</f>
        <v>0</v>
      </c>
      <c r="E71" s="3"/>
      <c r="F71" s="20"/>
      <c r="G71" s="3"/>
      <c r="H71" s="3">
        <f>--1779.96</f>
        <v>1779.96</v>
      </c>
      <c r="I71" s="3"/>
      <c r="J71" s="20"/>
      <c r="K71" s="3"/>
      <c r="L71" s="3">
        <f t="shared" si="4"/>
        <v>-1779.96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--14288.58</f>
        <v>14288.58</v>
      </c>
      <c r="U71" s="3"/>
      <c r="V71" s="20"/>
      <c r="W71" s="3"/>
      <c r="X71" s="3">
        <f t="shared" si="6"/>
        <v>-14288.58</v>
      </c>
      <c r="Y71" s="3"/>
      <c r="Z71" s="20">
        <f t="shared" si="7"/>
        <v>-1</v>
      </c>
    </row>
    <row r="72" spans="1:26" s="69" customFormat="1" ht="15" hidden="1" customHeight="1" outlineLevel="1" x14ac:dyDescent="0.25">
      <c r="A72" s="42"/>
      <c r="B72" s="12" t="str">
        <f>CONCATENATE("          ","4182"," - ","NON-TAXABLE SALES-COMPUTER HAR")</f>
        <v xml:space="preserve">          4182 - NON-TAXABLE SALES-COMPUTER HAR</v>
      </c>
      <c r="C72" s="12"/>
      <c r="D72" s="3">
        <f>0</f>
        <v>0</v>
      </c>
      <c r="E72" s="3"/>
      <c r="F72" s="20"/>
      <c r="G72" s="3"/>
      <c r="H72" s="3">
        <f>--33038.75</f>
        <v>33038.75</v>
      </c>
      <c r="I72" s="3"/>
      <c r="J72" s="20"/>
      <c r="K72" s="3"/>
      <c r="L72" s="3">
        <f t="shared" si="4"/>
        <v>-33038.75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--347529.22</f>
        <v>347529.22</v>
      </c>
      <c r="U72" s="3"/>
      <c r="V72" s="20"/>
      <c r="W72" s="3"/>
      <c r="X72" s="3">
        <f t="shared" si="6"/>
        <v>-347529.22</v>
      </c>
      <c r="Y72" s="3"/>
      <c r="Z72" s="20">
        <f t="shared" si="7"/>
        <v>-1</v>
      </c>
    </row>
    <row r="73" spans="1:26" s="69" customFormat="1" ht="15" hidden="1" customHeight="1" outlineLevel="1" x14ac:dyDescent="0.25">
      <c r="A73" s="42"/>
      <c r="B73" s="12" t="str">
        <f>CONCATENATE("          ","4183"," - ","NON-TAXABLE SALES-COMPUTER EQU")</f>
        <v xml:space="preserve">          4183 - NON-TAXABLE SALES-COMPUTER EQU</v>
      </c>
      <c r="C73" s="12"/>
      <c r="D73" s="3">
        <f>0</f>
        <v>0</v>
      </c>
      <c r="E73" s="3"/>
      <c r="F73" s="20"/>
      <c r="G73" s="3"/>
      <c r="H73" s="3">
        <f>--2959.73</f>
        <v>2959.73</v>
      </c>
      <c r="I73" s="3"/>
      <c r="J73" s="20"/>
      <c r="K73" s="3"/>
      <c r="L73" s="3">
        <f t="shared" si="4"/>
        <v>-2959.73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--22445.75</f>
        <v>22445.75</v>
      </c>
      <c r="U73" s="3"/>
      <c r="V73" s="20"/>
      <c r="W73" s="3"/>
      <c r="X73" s="3">
        <f t="shared" si="6"/>
        <v>-22445.75</v>
      </c>
      <c r="Y73" s="3"/>
      <c r="Z73" s="20">
        <f t="shared" si="7"/>
        <v>-1</v>
      </c>
    </row>
    <row r="74" spans="1:26" s="69" customFormat="1" ht="15" hidden="1" customHeight="1" outlineLevel="1" x14ac:dyDescent="0.25">
      <c r="A74" s="42"/>
      <c r="B74" s="12" t="str">
        <f>CONCATENATE("          ","4185"," - ","NON-TAXABLE SALES-SOFTWARE")</f>
        <v xml:space="preserve">          4185 - NON-TAXABLE SALES-SOFTWARE</v>
      </c>
      <c r="C74" s="12"/>
      <c r="D74" s="3">
        <f>0</f>
        <v>0</v>
      </c>
      <c r="E74" s="3"/>
      <c r="F74" s="20"/>
      <c r="G74" s="3"/>
      <c r="H74" s="3">
        <f>--5925.22</f>
        <v>5925.22</v>
      </c>
      <c r="I74" s="3"/>
      <c r="J74" s="20"/>
      <c r="K74" s="3"/>
      <c r="L74" s="3">
        <f t="shared" si="4"/>
        <v>-5925.22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--55957.61</f>
        <v>55957.61</v>
      </c>
      <c r="U74" s="3"/>
      <c r="V74" s="20"/>
      <c r="W74" s="3"/>
      <c r="X74" s="3">
        <f t="shared" si="6"/>
        <v>-55957.61</v>
      </c>
      <c r="Y74" s="3"/>
      <c r="Z74" s="20">
        <f t="shared" si="7"/>
        <v>-1</v>
      </c>
    </row>
    <row r="75" spans="1:26" s="69" customFormat="1" ht="15" hidden="1" customHeight="1" outlineLevel="1" x14ac:dyDescent="0.25">
      <c r="A75" s="42"/>
      <c r="B75" s="12" t="str">
        <f>CONCATENATE("          ","4186"," - ","NON-TAXABLE SALES-COMPUTER SUP")</f>
        <v xml:space="preserve">          4186 - NON-TAXABLE SALES-COMPUTER SUP</v>
      </c>
      <c r="C75" s="12"/>
      <c r="D75" s="3">
        <f>0</f>
        <v>0</v>
      </c>
      <c r="E75" s="3"/>
      <c r="F75" s="20"/>
      <c r="G75" s="3"/>
      <c r="H75" s="3">
        <f>--133.97</f>
        <v>133.97</v>
      </c>
      <c r="I75" s="3"/>
      <c r="J75" s="20"/>
      <c r="K75" s="3"/>
      <c r="L75" s="3">
        <f t="shared" si="4"/>
        <v>-133.97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--3479.14</f>
        <v>3479.14</v>
      </c>
      <c r="U75" s="3"/>
      <c r="V75" s="20"/>
      <c r="W75" s="3"/>
      <c r="X75" s="3">
        <f t="shared" si="6"/>
        <v>-3479.14</v>
      </c>
      <c r="Y75" s="3"/>
      <c r="Z75" s="20">
        <f t="shared" si="7"/>
        <v>-1</v>
      </c>
    </row>
    <row r="76" spans="1:26" s="69" customFormat="1" ht="15" hidden="1" customHeight="1" outlineLevel="1" x14ac:dyDescent="0.25">
      <c r="A76" s="42"/>
      <c r="B76" s="12" t="str">
        <f>CONCATENATE("          ","4200"," - ","TAXABLE RETURNS")</f>
        <v xml:space="preserve">          4200 - TAXABLE RETURNS</v>
      </c>
      <c r="C76" s="12"/>
      <c r="D76" s="3">
        <f>-75304.99</f>
        <v>-75304.990000000005</v>
      </c>
      <c r="E76" s="3"/>
      <c r="F76" s="20"/>
      <c r="G76" s="3"/>
      <c r="H76" s="3">
        <f>0</f>
        <v>0</v>
      </c>
      <c r="I76" s="3"/>
      <c r="J76" s="20"/>
      <c r="K76" s="3"/>
      <c r="L76" s="3">
        <f t="shared" ref="L76:L106" si="8">+D76-H76</f>
        <v>-75304.990000000005</v>
      </c>
      <c r="M76" s="3"/>
      <c r="N76" s="20">
        <f t="shared" ref="N76:N106" si="9">IF(H76=0,0,L76/H76)</f>
        <v>0</v>
      </c>
      <c r="O76" s="12"/>
      <c r="P76" s="3">
        <f>-748175.6</f>
        <v>-748175.6</v>
      </c>
      <c r="Q76" s="3"/>
      <c r="R76" s="20"/>
      <c r="S76" s="3"/>
      <c r="T76" s="3">
        <f>0</f>
        <v>0</v>
      </c>
      <c r="U76" s="3"/>
      <c r="V76" s="20"/>
      <c r="W76" s="3"/>
      <c r="X76" s="3">
        <f t="shared" ref="X76:X106" si="10">+P76-T76</f>
        <v>-748175.6</v>
      </c>
      <c r="Y76" s="3"/>
      <c r="Z76" s="20">
        <f t="shared" ref="Z76:Z106" si="11">IF(T76=0,0,X76/T76)</f>
        <v>0</v>
      </c>
    </row>
    <row r="77" spans="1:26" s="69" customFormat="1" ht="15" hidden="1" customHeight="1" outlineLevel="1" x14ac:dyDescent="0.25">
      <c r="A77" s="42"/>
      <c r="B77" s="12" t="str">
        <f>CONCATENATE("          ","4201"," - ","SALES RETURN TAXABLE-NEW TEXT")</f>
        <v xml:space="preserve">          4201 - SALES RETURN TAXABLE-NEW TEXT</v>
      </c>
      <c r="C77" s="12"/>
      <c r="D77" s="3">
        <f>0</f>
        <v>0</v>
      </c>
      <c r="E77" s="3"/>
      <c r="F77" s="20"/>
      <c r="G77" s="3"/>
      <c r="H77" s="3">
        <f>-658.4</f>
        <v>-658.4</v>
      </c>
      <c r="I77" s="3"/>
      <c r="J77" s="20"/>
      <c r="K77" s="3"/>
      <c r="L77" s="3">
        <f t="shared" si="8"/>
        <v>658.4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-52296.42</f>
        <v>-52296.42</v>
      </c>
      <c r="U77" s="3"/>
      <c r="V77" s="20"/>
      <c r="W77" s="3"/>
      <c r="X77" s="3">
        <f t="shared" si="10"/>
        <v>52296.42</v>
      </c>
      <c r="Y77" s="3"/>
      <c r="Z77" s="20">
        <f t="shared" si="11"/>
        <v>-1</v>
      </c>
    </row>
    <row r="78" spans="1:26" s="69" customFormat="1" ht="15" hidden="1" customHeight="1" outlineLevel="1" x14ac:dyDescent="0.25">
      <c r="A78" s="42"/>
      <c r="B78" s="12" t="str">
        <f>CONCATENATE("          ","4202"," - ","SALES RETURN TAXABLE-USED TEXT")</f>
        <v xml:space="preserve">          4202 - SALES RETURN TAXABLE-USED TEXT</v>
      </c>
      <c r="C78" s="12"/>
      <c r="D78" s="3">
        <f>0</f>
        <v>0</v>
      </c>
      <c r="E78" s="3"/>
      <c r="F78" s="20"/>
      <c r="G78" s="3"/>
      <c r="H78" s="3">
        <f>-359.4</f>
        <v>-359.4</v>
      </c>
      <c r="I78" s="3"/>
      <c r="J78" s="20"/>
      <c r="K78" s="3"/>
      <c r="L78" s="3">
        <f t="shared" si="8"/>
        <v>359.4</v>
      </c>
      <c r="M78" s="3"/>
      <c r="N78" s="20">
        <f t="shared" si="9"/>
        <v>-1</v>
      </c>
      <c r="O78" s="12"/>
      <c r="P78" s="3">
        <f>0</f>
        <v>0</v>
      </c>
      <c r="Q78" s="3"/>
      <c r="R78" s="20"/>
      <c r="S78" s="3"/>
      <c r="T78" s="3">
        <f>-20455.66</f>
        <v>-20455.66</v>
      </c>
      <c r="U78" s="3"/>
      <c r="V78" s="20"/>
      <c r="W78" s="3"/>
      <c r="X78" s="3">
        <f t="shared" si="10"/>
        <v>20455.66</v>
      </c>
      <c r="Y78" s="3"/>
      <c r="Z78" s="20">
        <f t="shared" si="11"/>
        <v>-1</v>
      </c>
    </row>
    <row r="79" spans="1:26" s="69" customFormat="1" ht="15" hidden="1" customHeight="1" outlineLevel="1" x14ac:dyDescent="0.25">
      <c r="A79" s="42"/>
      <c r="B79" s="12" t="str">
        <f>CONCATENATE("          ","4204"," - ","SALES RETURN TAXABLE-DIGITAL T")</f>
        <v xml:space="preserve">          4204 - SALES RETURN TAXABLE-DIGITAL T</v>
      </c>
      <c r="C79" s="12"/>
      <c r="D79" s="3">
        <f>0</f>
        <v>0</v>
      </c>
      <c r="E79" s="3"/>
      <c r="F79" s="20"/>
      <c r="G79" s="3"/>
      <c r="H79" s="3">
        <f>0</f>
        <v>0</v>
      </c>
      <c r="I79" s="3"/>
      <c r="J79" s="20"/>
      <c r="K79" s="3"/>
      <c r="L79" s="3">
        <f t="shared" si="8"/>
        <v>0</v>
      </c>
      <c r="M79" s="3"/>
      <c r="N79" s="20">
        <f t="shared" si="9"/>
        <v>0</v>
      </c>
      <c r="O79" s="12"/>
      <c r="P79" s="3">
        <f>0</f>
        <v>0</v>
      </c>
      <c r="Q79" s="3"/>
      <c r="R79" s="20"/>
      <c r="S79" s="3"/>
      <c r="T79" s="3">
        <f>-1763.1</f>
        <v>-1763.1</v>
      </c>
      <c r="U79" s="3"/>
      <c r="V79" s="20"/>
      <c r="W79" s="3"/>
      <c r="X79" s="3">
        <f t="shared" si="10"/>
        <v>1763.1</v>
      </c>
      <c r="Y79" s="3"/>
      <c r="Z79" s="20">
        <f t="shared" si="11"/>
        <v>-1</v>
      </c>
    </row>
    <row r="80" spans="1:26" s="69" customFormat="1" ht="15" hidden="1" customHeight="1" outlineLevel="1" x14ac:dyDescent="0.25">
      <c r="A80" s="42"/>
      <c r="B80" s="12" t="str">
        <f>CONCATENATE("          ","4213"," - ","NON-TAXABLE SALES-TRADE BOOKS")</f>
        <v xml:space="preserve">          4213 - NON-TAXABLE SALES-TRADE BOOKS</v>
      </c>
      <c r="C80" s="12"/>
      <c r="D80" s="3">
        <f>0</f>
        <v>0</v>
      </c>
      <c r="E80" s="3"/>
      <c r="F80" s="20"/>
      <c r="G80" s="3"/>
      <c r="H80" s="3">
        <f>-8.99</f>
        <v>-8.99</v>
      </c>
      <c r="I80" s="3"/>
      <c r="J80" s="20"/>
      <c r="K80" s="3"/>
      <c r="L80" s="3">
        <f t="shared" si="8"/>
        <v>8.99</v>
      </c>
      <c r="M80" s="3"/>
      <c r="N80" s="20">
        <f t="shared" si="9"/>
        <v>-1</v>
      </c>
      <c r="O80" s="12"/>
      <c r="P80" s="3">
        <f>0</f>
        <v>0</v>
      </c>
      <c r="Q80" s="3"/>
      <c r="R80" s="20"/>
      <c r="S80" s="3"/>
      <c r="T80" s="3">
        <f>-78.92</f>
        <v>-78.92</v>
      </c>
      <c r="U80" s="3"/>
      <c r="V80" s="20"/>
      <c r="W80" s="3"/>
      <c r="X80" s="3">
        <f t="shared" si="10"/>
        <v>78.92</v>
      </c>
      <c r="Y80" s="3"/>
      <c r="Z80" s="20">
        <f t="shared" si="11"/>
        <v>-1</v>
      </c>
    </row>
    <row r="81" spans="1:26" s="69" customFormat="1" ht="15" hidden="1" customHeight="1" outlineLevel="1" x14ac:dyDescent="0.25">
      <c r="A81" s="42"/>
      <c r="B81" s="12" t="str">
        <f>CONCATENATE("          ","4218"," - ","SALES RETURN TAXABLE-STUDY GUI")</f>
        <v xml:space="preserve">          4218 - SALES RETURN TAXABLE-STUDY GUI</v>
      </c>
      <c r="C81" s="12"/>
      <c r="D81" s="3">
        <f>0</f>
        <v>0</v>
      </c>
      <c r="E81" s="3"/>
      <c r="F81" s="20"/>
      <c r="G81" s="3"/>
      <c r="H81" s="3">
        <f>0</f>
        <v>0</v>
      </c>
      <c r="I81" s="3"/>
      <c r="J81" s="20"/>
      <c r="K81" s="3"/>
      <c r="L81" s="3">
        <f t="shared" si="8"/>
        <v>0</v>
      </c>
      <c r="M81" s="3"/>
      <c r="N81" s="20">
        <f t="shared" si="9"/>
        <v>0</v>
      </c>
      <c r="O81" s="12"/>
      <c r="P81" s="3">
        <f>0</f>
        <v>0</v>
      </c>
      <c r="Q81" s="3"/>
      <c r="R81" s="20"/>
      <c r="S81" s="3"/>
      <c r="T81" s="3">
        <f>-5.21</f>
        <v>-5.21</v>
      </c>
      <c r="U81" s="3"/>
      <c r="V81" s="20"/>
      <c r="W81" s="3"/>
      <c r="X81" s="3">
        <f t="shared" si="10"/>
        <v>5.21</v>
      </c>
      <c r="Y81" s="3"/>
      <c r="Z81" s="20">
        <f t="shared" si="11"/>
        <v>-1</v>
      </c>
    </row>
    <row r="82" spans="1:26" s="69" customFormat="1" ht="15" hidden="1" customHeight="1" outlineLevel="1" x14ac:dyDescent="0.25">
      <c r="A82" s="42"/>
      <c r="B82" s="12" t="str">
        <f>CONCATENATE("          ","4226"," - ","SALES RETURN TAXABLE-WRITING I")</f>
        <v xml:space="preserve">          4226 - SALES RETURN TAXABLE-WRITING I</v>
      </c>
      <c r="C82" s="12"/>
      <c r="D82" s="3">
        <f>0</f>
        <v>0</v>
      </c>
      <c r="E82" s="3"/>
      <c r="F82" s="20"/>
      <c r="G82" s="3"/>
      <c r="H82" s="3">
        <f>-0.79</f>
        <v>-0.79</v>
      </c>
      <c r="I82" s="3"/>
      <c r="J82" s="20"/>
      <c r="K82" s="3"/>
      <c r="L82" s="3">
        <f t="shared" si="8"/>
        <v>0.79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-35.02</f>
        <v>-35.020000000000003</v>
      </c>
      <c r="U82" s="3"/>
      <c r="V82" s="20"/>
      <c r="W82" s="3"/>
      <c r="X82" s="3">
        <f t="shared" si="10"/>
        <v>35.020000000000003</v>
      </c>
      <c r="Y82" s="3"/>
      <c r="Z82" s="20">
        <f t="shared" si="11"/>
        <v>-1</v>
      </c>
    </row>
    <row r="83" spans="1:26" s="69" customFormat="1" ht="15" hidden="1" customHeight="1" outlineLevel="1" x14ac:dyDescent="0.25">
      <c r="A83" s="42"/>
      <c r="B83" s="12" t="str">
        <f>CONCATENATE("          ","4227"," - ","SALES RETURN TAXABLE-SCHOOL SU")</f>
        <v xml:space="preserve">          4227 - SALES RETURN TAXABLE-SCHOOL SU</v>
      </c>
      <c r="C83" s="12"/>
      <c r="D83" s="3">
        <f>0</f>
        <v>0</v>
      </c>
      <c r="E83" s="3"/>
      <c r="F83" s="20"/>
      <c r="G83" s="3"/>
      <c r="H83" s="3">
        <f>-137.82</f>
        <v>-137.82</v>
      </c>
      <c r="I83" s="3"/>
      <c r="J83" s="20"/>
      <c r="K83" s="3"/>
      <c r="L83" s="3">
        <f t="shared" si="8"/>
        <v>137.82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-1484.48</f>
        <v>-1484.48</v>
      </c>
      <c r="U83" s="3"/>
      <c r="V83" s="20"/>
      <c r="W83" s="3"/>
      <c r="X83" s="3">
        <f t="shared" si="10"/>
        <v>1484.48</v>
      </c>
      <c r="Y83" s="3"/>
      <c r="Z83" s="20">
        <f t="shared" si="11"/>
        <v>-1</v>
      </c>
    </row>
    <row r="84" spans="1:26" s="69" customFormat="1" ht="15" hidden="1" customHeight="1" outlineLevel="1" x14ac:dyDescent="0.25">
      <c r="A84" s="42"/>
      <c r="B84" s="12" t="str">
        <f>CONCATENATE("          ","4228"," - ","SALES RETURN TAXABLE-ART/TECH")</f>
        <v xml:space="preserve">          4228 - SALES RETURN TAXABLE-ART/TECH</v>
      </c>
      <c r="C84" s="12"/>
      <c r="D84" s="3">
        <f>0</f>
        <v>0</v>
      </c>
      <c r="E84" s="3"/>
      <c r="F84" s="20"/>
      <c r="G84" s="3"/>
      <c r="H84" s="3">
        <f>0</f>
        <v>0</v>
      </c>
      <c r="I84" s="3"/>
      <c r="J84" s="20"/>
      <c r="K84" s="3"/>
      <c r="L84" s="3">
        <f t="shared" si="8"/>
        <v>0</v>
      </c>
      <c r="M84" s="3"/>
      <c r="N84" s="20">
        <f t="shared" si="9"/>
        <v>0</v>
      </c>
      <c r="O84" s="12"/>
      <c r="P84" s="3">
        <f>0</f>
        <v>0</v>
      </c>
      <c r="Q84" s="3"/>
      <c r="R84" s="20"/>
      <c r="S84" s="3"/>
      <c r="T84" s="3">
        <f>-12973.73</f>
        <v>-12973.73</v>
      </c>
      <c r="U84" s="3"/>
      <c r="V84" s="20"/>
      <c r="W84" s="3"/>
      <c r="X84" s="3">
        <f t="shared" si="10"/>
        <v>12973.73</v>
      </c>
      <c r="Y84" s="3"/>
      <c r="Z84" s="20">
        <f t="shared" si="11"/>
        <v>-1</v>
      </c>
    </row>
    <row r="85" spans="1:26" s="69" customFormat="1" ht="15" hidden="1" customHeight="1" outlineLevel="1" x14ac:dyDescent="0.25">
      <c r="A85" s="42"/>
      <c r="B85" s="12" t="str">
        <f>CONCATENATE("          ","4240"," - ","SALES RETURN TAXABLE-LOGO CLOT")</f>
        <v xml:space="preserve">          4240 - SALES RETURN TAXABLE-LOGO CLOT</v>
      </c>
      <c r="C85" s="12"/>
      <c r="D85" s="3">
        <f>0</f>
        <v>0</v>
      </c>
      <c r="E85" s="3"/>
      <c r="F85" s="20"/>
      <c r="G85" s="3"/>
      <c r="H85" s="3">
        <f>-6427.17</f>
        <v>-6427.17</v>
      </c>
      <c r="I85" s="3"/>
      <c r="J85" s="20"/>
      <c r="K85" s="3"/>
      <c r="L85" s="3">
        <f t="shared" si="8"/>
        <v>6427.17</v>
      </c>
      <c r="M85" s="3"/>
      <c r="N85" s="20">
        <f t="shared" si="9"/>
        <v>-1</v>
      </c>
      <c r="O85" s="12"/>
      <c r="P85" s="3">
        <f>0</f>
        <v>0</v>
      </c>
      <c r="Q85" s="3"/>
      <c r="R85" s="20"/>
      <c r="S85" s="3"/>
      <c r="T85" s="3">
        <f>-47093.44</f>
        <v>-47093.440000000002</v>
      </c>
      <c r="U85" s="3"/>
      <c r="V85" s="20"/>
      <c r="W85" s="3"/>
      <c r="X85" s="3">
        <f t="shared" si="10"/>
        <v>47093.440000000002</v>
      </c>
      <c r="Y85" s="3"/>
      <c r="Z85" s="20">
        <f t="shared" si="11"/>
        <v>-1</v>
      </c>
    </row>
    <row r="86" spans="1:26" s="69" customFormat="1" ht="15" hidden="1" customHeight="1" outlineLevel="1" x14ac:dyDescent="0.25">
      <c r="A86" s="42"/>
      <c r="B86" s="12" t="str">
        <f>CONCATENATE("          ","4241"," - ","SALES RETURN TAXABLE-LOGO GIFT")</f>
        <v xml:space="preserve">          4241 - SALES RETURN TAXABLE-LOGO GIFT</v>
      </c>
      <c r="C86" s="12"/>
      <c r="D86" s="3">
        <f>0</f>
        <v>0</v>
      </c>
      <c r="E86" s="3"/>
      <c r="F86" s="20"/>
      <c r="G86" s="3"/>
      <c r="H86" s="3">
        <f>-4505.29</f>
        <v>-4505.29</v>
      </c>
      <c r="I86" s="3"/>
      <c r="J86" s="20"/>
      <c r="K86" s="3"/>
      <c r="L86" s="3">
        <f t="shared" si="8"/>
        <v>4505.29</v>
      </c>
      <c r="M86" s="3"/>
      <c r="N86" s="20">
        <f t="shared" si="9"/>
        <v>-1</v>
      </c>
      <c r="O86" s="12"/>
      <c r="P86" s="3">
        <f>0</f>
        <v>0</v>
      </c>
      <c r="Q86" s="3"/>
      <c r="R86" s="20"/>
      <c r="S86" s="3"/>
      <c r="T86" s="3">
        <f>-16680.54</f>
        <v>-16680.54</v>
      </c>
      <c r="U86" s="3"/>
      <c r="V86" s="20"/>
      <c r="W86" s="3"/>
      <c r="X86" s="3">
        <f t="shared" si="10"/>
        <v>16680.54</v>
      </c>
      <c r="Y86" s="3"/>
      <c r="Z86" s="20">
        <f t="shared" si="11"/>
        <v>-1</v>
      </c>
    </row>
    <row r="87" spans="1:26" s="69" customFormat="1" ht="15" hidden="1" customHeight="1" outlineLevel="1" x14ac:dyDescent="0.25">
      <c r="A87" s="42"/>
      <c r="B87" s="12" t="str">
        <f>CONCATENATE("          ","4242"," - ","SALES RETURN TAXABLE-EVERYDAY")</f>
        <v xml:space="preserve">          4242 - SALES RETURN TAXABLE-EVERYDAY</v>
      </c>
      <c r="C87" s="12"/>
      <c r="D87" s="3">
        <f>0</f>
        <v>0</v>
      </c>
      <c r="E87" s="3"/>
      <c r="F87" s="20"/>
      <c r="G87" s="3"/>
      <c r="H87" s="3">
        <f>-107</f>
        <v>-107</v>
      </c>
      <c r="I87" s="3"/>
      <c r="J87" s="20"/>
      <c r="K87" s="3"/>
      <c r="L87" s="3">
        <f t="shared" si="8"/>
        <v>107</v>
      </c>
      <c r="M87" s="3"/>
      <c r="N87" s="20">
        <f t="shared" si="9"/>
        <v>-1</v>
      </c>
      <c r="O87" s="12"/>
      <c r="P87" s="3">
        <f>0</f>
        <v>0</v>
      </c>
      <c r="Q87" s="3"/>
      <c r="R87" s="20"/>
      <c r="S87" s="3"/>
      <c r="T87" s="3">
        <f>-2743.09</f>
        <v>-2743.09</v>
      </c>
      <c r="U87" s="3"/>
      <c r="V87" s="20"/>
      <c r="W87" s="3"/>
      <c r="X87" s="3">
        <f t="shared" si="10"/>
        <v>2743.09</v>
      </c>
      <c r="Y87" s="3"/>
      <c r="Z87" s="20">
        <f t="shared" si="11"/>
        <v>-1</v>
      </c>
    </row>
    <row r="88" spans="1:26" s="69" customFormat="1" ht="15" hidden="1" customHeight="1" outlineLevel="1" x14ac:dyDescent="0.25">
      <c r="A88" s="42"/>
      <c r="B88" s="12" t="str">
        <f>CONCATENATE("          ","4243"," - ","SALES RETURN TAXABLE-CARDS")</f>
        <v xml:space="preserve">          4243 - SALES RETURN TAXABLE-CARDS</v>
      </c>
      <c r="C88" s="12"/>
      <c r="D88" s="3">
        <f>0</f>
        <v>0</v>
      </c>
      <c r="E88" s="3"/>
      <c r="F88" s="20"/>
      <c r="G88" s="3"/>
      <c r="H88" s="3">
        <f>-76.9</f>
        <v>-76.900000000000006</v>
      </c>
      <c r="I88" s="3"/>
      <c r="J88" s="20"/>
      <c r="K88" s="3"/>
      <c r="L88" s="3">
        <f t="shared" si="8"/>
        <v>76.900000000000006</v>
      </c>
      <c r="M88" s="3"/>
      <c r="N88" s="20">
        <f t="shared" si="9"/>
        <v>-1</v>
      </c>
      <c r="O88" s="12"/>
      <c r="P88" s="3">
        <f>0</f>
        <v>0</v>
      </c>
      <c r="Q88" s="3"/>
      <c r="R88" s="20"/>
      <c r="S88" s="3"/>
      <c r="T88" s="3">
        <f>-6218.99</f>
        <v>-6218.99</v>
      </c>
      <c r="U88" s="3"/>
      <c r="V88" s="20"/>
      <c r="W88" s="3"/>
      <c r="X88" s="3">
        <f t="shared" si="10"/>
        <v>6218.99</v>
      </c>
      <c r="Y88" s="3"/>
      <c r="Z88" s="20">
        <f t="shared" si="11"/>
        <v>-1</v>
      </c>
    </row>
    <row r="89" spans="1:26" s="69" customFormat="1" ht="15" hidden="1" customHeight="1" outlineLevel="1" x14ac:dyDescent="0.25">
      <c r="A89" s="42"/>
      <c r="B89" s="12" t="str">
        <f>CONCATENATE("          ","4244"," - ","SALES RETURN TAXABLE-ACCESSORI")</f>
        <v xml:space="preserve">          4244 - SALES RETURN TAXABLE-ACCESSORI</v>
      </c>
      <c r="C89" s="12"/>
      <c r="D89" s="3">
        <f>0</f>
        <v>0</v>
      </c>
      <c r="E89" s="3"/>
      <c r="F89" s="20"/>
      <c r="G89" s="3"/>
      <c r="H89" s="3">
        <f>-24.41</f>
        <v>-24.41</v>
      </c>
      <c r="I89" s="3"/>
      <c r="J89" s="20"/>
      <c r="K89" s="3"/>
      <c r="L89" s="3">
        <f t="shared" si="8"/>
        <v>24.41</v>
      </c>
      <c r="M89" s="3"/>
      <c r="N89" s="20">
        <f t="shared" si="9"/>
        <v>-1</v>
      </c>
      <c r="O89" s="12"/>
      <c r="P89" s="3">
        <f>0</f>
        <v>0</v>
      </c>
      <c r="Q89" s="3"/>
      <c r="R89" s="20"/>
      <c r="S89" s="3"/>
      <c r="T89" s="3">
        <f>-1267.91</f>
        <v>-1267.9100000000001</v>
      </c>
      <c r="U89" s="3"/>
      <c r="V89" s="20"/>
      <c r="W89" s="3"/>
      <c r="X89" s="3">
        <f t="shared" si="10"/>
        <v>1267.9100000000001</v>
      </c>
      <c r="Y89" s="3"/>
      <c r="Z89" s="20">
        <f t="shared" si="11"/>
        <v>-1</v>
      </c>
    </row>
    <row r="90" spans="1:26" s="69" customFormat="1" ht="15" hidden="1" customHeight="1" outlineLevel="1" x14ac:dyDescent="0.25">
      <c r="A90" s="42"/>
      <c r="B90" s="12" t="str">
        <f>CONCATENATE("          ","4245"," - ","SALES RETURN TAXABLE-SPECIAL O")</f>
        <v xml:space="preserve">          4245 - SALES RETURN TAXABLE-SPECIAL O</v>
      </c>
      <c r="C90" s="12"/>
      <c r="D90" s="3">
        <f>0</f>
        <v>0</v>
      </c>
      <c r="E90" s="3"/>
      <c r="F90" s="20"/>
      <c r="G90" s="3"/>
      <c r="H90" s="3">
        <f>-36</f>
        <v>-36</v>
      </c>
      <c r="I90" s="3"/>
      <c r="J90" s="20"/>
      <c r="K90" s="3"/>
      <c r="L90" s="3">
        <f t="shared" si="8"/>
        <v>36</v>
      </c>
      <c r="M90" s="3"/>
      <c r="N90" s="20">
        <f t="shared" si="9"/>
        <v>-1</v>
      </c>
      <c r="O90" s="12"/>
      <c r="P90" s="3">
        <f>0</f>
        <v>0</v>
      </c>
      <c r="Q90" s="3"/>
      <c r="R90" s="20"/>
      <c r="S90" s="3"/>
      <c r="T90" s="3">
        <f>-15460.73</f>
        <v>-15460.73</v>
      </c>
      <c r="U90" s="3"/>
      <c r="V90" s="20"/>
      <c r="W90" s="3"/>
      <c r="X90" s="3">
        <f t="shared" si="10"/>
        <v>15460.73</v>
      </c>
      <c r="Y90" s="3"/>
      <c r="Z90" s="20">
        <f t="shared" si="11"/>
        <v>-1</v>
      </c>
    </row>
    <row r="91" spans="1:26" s="69" customFormat="1" ht="15" hidden="1" customHeight="1" outlineLevel="1" x14ac:dyDescent="0.25">
      <c r="A91" s="42"/>
      <c r="B91" s="12" t="str">
        <f>CONCATENATE("          ","4281"," - ","SALES RETURN TAXABLE-ELECTRONI")</f>
        <v xml:space="preserve">          4281 - SALES RETURN TAXABLE-ELECTRONI</v>
      </c>
      <c r="C91" s="12"/>
      <c r="D91" s="3">
        <f>0</f>
        <v>0</v>
      </c>
      <c r="E91" s="3"/>
      <c r="F91" s="20"/>
      <c r="G91" s="3"/>
      <c r="H91" s="3">
        <f>-79.99</f>
        <v>-79.989999999999995</v>
      </c>
      <c r="I91" s="3"/>
      <c r="J91" s="20"/>
      <c r="K91" s="3"/>
      <c r="L91" s="3">
        <f t="shared" si="8"/>
        <v>79.989999999999995</v>
      </c>
      <c r="M91" s="3"/>
      <c r="N91" s="20">
        <f t="shared" si="9"/>
        <v>-1</v>
      </c>
      <c r="O91" s="12"/>
      <c r="P91" s="3">
        <f>0</f>
        <v>0</v>
      </c>
      <c r="Q91" s="3"/>
      <c r="R91" s="20"/>
      <c r="S91" s="3"/>
      <c r="T91" s="3">
        <f>-14842.13</f>
        <v>-14842.13</v>
      </c>
      <c r="U91" s="3"/>
      <c r="V91" s="20"/>
      <c r="W91" s="3"/>
      <c r="X91" s="3">
        <f t="shared" si="10"/>
        <v>14842.13</v>
      </c>
      <c r="Y91" s="3"/>
      <c r="Z91" s="20">
        <f t="shared" si="11"/>
        <v>-1</v>
      </c>
    </row>
    <row r="92" spans="1:26" s="69" customFormat="1" ht="15" hidden="1" customHeight="1" outlineLevel="1" x14ac:dyDescent="0.25">
      <c r="A92" s="42"/>
      <c r="B92" s="12" t="str">
        <f>CONCATENATE("          ","4282"," - ","SALES RETURN TAXABLE-COMPUTER")</f>
        <v xml:space="preserve">          4282 - SALES RETURN TAXABLE-COMPUTER</v>
      </c>
      <c r="C92" s="12"/>
      <c r="D92" s="3">
        <f>0</f>
        <v>0</v>
      </c>
      <c r="E92" s="3"/>
      <c r="F92" s="20"/>
      <c r="G92" s="3"/>
      <c r="H92" s="3">
        <f>-25075.01</f>
        <v>-25075.01</v>
      </c>
      <c r="I92" s="3"/>
      <c r="J92" s="20"/>
      <c r="K92" s="3"/>
      <c r="L92" s="3">
        <f t="shared" si="8"/>
        <v>25075.01</v>
      </c>
      <c r="M92" s="3"/>
      <c r="N92" s="20">
        <f t="shared" si="9"/>
        <v>-1</v>
      </c>
      <c r="O92" s="12"/>
      <c r="P92" s="3">
        <f>0</f>
        <v>0</v>
      </c>
      <c r="Q92" s="3"/>
      <c r="R92" s="20"/>
      <c r="S92" s="3"/>
      <c r="T92" s="3">
        <f>-240220.17</f>
        <v>-240220.17</v>
      </c>
      <c r="U92" s="3"/>
      <c r="V92" s="20"/>
      <c r="W92" s="3"/>
      <c r="X92" s="3">
        <f t="shared" si="10"/>
        <v>240220.17</v>
      </c>
      <c r="Y92" s="3"/>
      <c r="Z92" s="20">
        <f t="shared" si="11"/>
        <v>-1</v>
      </c>
    </row>
    <row r="93" spans="1:26" s="69" customFormat="1" ht="15" hidden="1" customHeight="1" outlineLevel="1" x14ac:dyDescent="0.25">
      <c r="A93" s="42"/>
      <c r="B93" s="12" t="str">
        <f>CONCATENATE("          ","4283"," - ","SALES RETURN TAXABLE-COMPUTER")</f>
        <v xml:space="preserve">          4283 - SALES RETURN TAXABLE-COMPUTER</v>
      </c>
      <c r="C93" s="12"/>
      <c r="D93" s="3">
        <f>0</f>
        <v>0</v>
      </c>
      <c r="E93" s="3"/>
      <c r="F93" s="20"/>
      <c r="G93" s="3"/>
      <c r="H93" s="3">
        <f>-181.97</f>
        <v>-181.97</v>
      </c>
      <c r="I93" s="3"/>
      <c r="J93" s="20"/>
      <c r="K93" s="3"/>
      <c r="L93" s="3">
        <f t="shared" si="8"/>
        <v>181.97</v>
      </c>
      <c r="M93" s="3"/>
      <c r="N93" s="20">
        <f t="shared" si="9"/>
        <v>-1</v>
      </c>
      <c r="O93" s="12"/>
      <c r="P93" s="3">
        <f>0</f>
        <v>0</v>
      </c>
      <c r="Q93" s="3"/>
      <c r="R93" s="20"/>
      <c r="S93" s="3"/>
      <c r="T93" s="3">
        <f>-4129.17</f>
        <v>-4129.17</v>
      </c>
      <c r="U93" s="3"/>
      <c r="V93" s="20"/>
      <c r="W93" s="3"/>
      <c r="X93" s="3">
        <f t="shared" si="10"/>
        <v>4129.17</v>
      </c>
      <c r="Y93" s="3"/>
      <c r="Z93" s="20">
        <f t="shared" si="11"/>
        <v>-1</v>
      </c>
    </row>
    <row r="94" spans="1:26" s="69" customFormat="1" ht="15" hidden="1" customHeight="1" outlineLevel="1" x14ac:dyDescent="0.25">
      <c r="A94" s="42"/>
      <c r="B94" s="12" t="str">
        <f>CONCATENATE("          ","4285"," - ","SALES RETURN TAXABLE-SOFTWARE")</f>
        <v xml:space="preserve">          4285 - SALES RETURN TAXABLE-SOFTWARE</v>
      </c>
      <c r="C94" s="12"/>
      <c r="D94" s="3">
        <f>0</f>
        <v>0</v>
      </c>
      <c r="E94" s="3"/>
      <c r="F94" s="20"/>
      <c r="G94" s="3"/>
      <c r="H94" s="3">
        <f>0</f>
        <v>0</v>
      </c>
      <c r="I94" s="3"/>
      <c r="J94" s="20"/>
      <c r="K94" s="3"/>
      <c r="L94" s="3">
        <f t="shared" si="8"/>
        <v>0</v>
      </c>
      <c r="M94" s="3"/>
      <c r="N94" s="20">
        <f t="shared" si="9"/>
        <v>0</v>
      </c>
      <c r="O94" s="12"/>
      <c r="P94" s="3">
        <f>0</f>
        <v>0</v>
      </c>
      <c r="Q94" s="3"/>
      <c r="R94" s="20"/>
      <c r="S94" s="3"/>
      <c r="T94" s="3">
        <f>-1091.79</f>
        <v>-1091.79</v>
      </c>
      <c r="U94" s="3"/>
      <c r="V94" s="20"/>
      <c r="W94" s="3"/>
      <c r="X94" s="3">
        <f t="shared" si="10"/>
        <v>1091.79</v>
      </c>
      <c r="Y94" s="3"/>
      <c r="Z94" s="20">
        <f t="shared" si="11"/>
        <v>-1</v>
      </c>
    </row>
    <row r="95" spans="1:26" s="69" customFormat="1" ht="15" hidden="1" customHeight="1" outlineLevel="1" x14ac:dyDescent="0.25">
      <c r="A95" s="42"/>
      <c r="B95" s="12" t="str">
        <f>CONCATENATE("          ","4286"," - ","SALES RETURN TAXABLE-COMPUTER")</f>
        <v xml:space="preserve">          4286 - SALES RETURN TAXABLE-COMPUTER</v>
      </c>
      <c r="C95" s="12"/>
      <c r="D95" s="3">
        <f>0</f>
        <v>0</v>
      </c>
      <c r="E95" s="3"/>
      <c r="F95" s="20"/>
      <c r="G95" s="3"/>
      <c r="H95" s="3">
        <f>0</f>
        <v>0</v>
      </c>
      <c r="I95" s="3"/>
      <c r="J95" s="20"/>
      <c r="K95" s="3"/>
      <c r="L95" s="3">
        <f t="shared" si="8"/>
        <v>0</v>
      </c>
      <c r="M95" s="3"/>
      <c r="N95" s="20">
        <f t="shared" si="9"/>
        <v>0</v>
      </c>
      <c r="O95" s="12"/>
      <c r="P95" s="3">
        <f>0</f>
        <v>0</v>
      </c>
      <c r="Q95" s="3"/>
      <c r="R95" s="20"/>
      <c r="S95" s="3"/>
      <c r="T95" s="3">
        <f>-4802.29</f>
        <v>-4802.29</v>
      </c>
      <c r="U95" s="3"/>
      <c r="V95" s="20"/>
      <c r="W95" s="3"/>
      <c r="X95" s="3">
        <f t="shared" si="10"/>
        <v>4802.29</v>
      </c>
      <c r="Y95" s="3"/>
      <c r="Z95" s="20">
        <f t="shared" si="11"/>
        <v>-1</v>
      </c>
    </row>
    <row r="96" spans="1:26" s="69" customFormat="1" ht="15" hidden="1" customHeight="1" outlineLevel="1" x14ac:dyDescent="0.25">
      <c r="A96" s="42"/>
      <c r="B96" s="12" t="str">
        <f>CONCATENATE("          ","4300"," - ","NON-TAX RETURNS")</f>
        <v xml:space="preserve">          4300 - NON-TAX RETURNS</v>
      </c>
      <c r="C96" s="12"/>
      <c r="D96" s="3">
        <f>-554.21</f>
        <v>-554.21</v>
      </c>
      <c r="E96" s="3"/>
      <c r="F96" s="20"/>
      <c r="G96" s="3"/>
      <c r="H96" s="3">
        <f>0</f>
        <v>0</v>
      </c>
      <c r="I96" s="3"/>
      <c r="J96" s="20"/>
      <c r="K96" s="3"/>
      <c r="L96" s="3">
        <f t="shared" si="8"/>
        <v>-554.21</v>
      </c>
      <c r="M96" s="3"/>
      <c r="N96" s="20">
        <f t="shared" si="9"/>
        <v>0</v>
      </c>
      <c r="O96" s="12"/>
      <c r="P96" s="3">
        <f>-42885.58</f>
        <v>-42885.58</v>
      </c>
      <c r="Q96" s="3"/>
      <c r="R96" s="20"/>
      <c r="S96" s="3"/>
      <c r="T96" s="3">
        <f>0</f>
        <v>0</v>
      </c>
      <c r="U96" s="3"/>
      <c r="V96" s="20"/>
      <c r="W96" s="3"/>
      <c r="X96" s="3">
        <f t="shared" si="10"/>
        <v>-42885.58</v>
      </c>
      <c r="Y96" s="3"/>
      <c r="Z96" s="20">
        <f t="shared" si="11"/>
        <v>0</v>
      </c>
    </row>
    <row r="97" spans="1:26" s="69" customFormat="1" ht="15" hidden="1" customHeight="1" outlineLevel="1" x14ac:dyDescent="0.25">
      <c r="A97" s="42"/>
      <c r="B97" s="12" t="str">
        <f>CONCATENATE("          ","4301"," - ","SALES RETURN NON TAXABLE-NEW T")</f>
        <v xml:space="preserve">          4301 - SALES RETURN NON TAXABLE-NEW T</v>
      </c>
      <c r="C97" s="12"/>
      <c r="D97" s="3">
        <f>0</f>
        <v>0</v>
      </c>
      <c r="E97" s="3"/>
      <c r="F97" s="20"/>
      <c r="G97" s="3"/>
      <c r="H97" s="3">
        <f>-1333.16</f>
        <v>-1333.16</v>
      </c>
      <c r="I97" s="3"/>
      <c r="J97" s="20"/>
      <c r="K97" s="3"/>
      <c r="L97" s="3">
        <f t="shared" si="8"/>
        <v>1333.16</v>
      </c>
      <c r="M97" s="3"/>
      <c r="N97" s="20">
        <f t="shared" si="9"/>
        <v>-1</v>
      </c>
      <c r="O97" s="12"/>
      <c r="P97" s="3">
        <f>0</f>
        <v>0</v>
      </c>
      <c r="Q97" s="3"/>
      <c r="R97" s="20"/>
      <c r="S97" s="3"/>
      <c r="T97" s="3">
        <f>-4796.36</f>
        <v>-4796.3599999999997</v>
      </c>
      <c r="U97" s="3"/>
      <c r="V97" s="20"/>
      <c r="W97" s="3"/>
      <c r="X97" s="3">
        <f t="shared" si="10"/>
        <v>4796.3599999999997</v>
      </c>
      <c r="Y97" s="3"/>
      <c r="Z97" s="20">
        <f t="shared" si="11"/>
        <v>-1</v>
      </c>
    </row>
    <row r="98" spans="1:26" s="69" customFormat="1" ht="15" hidden="1" customHeight="1" outlineLevel="1" x14ac:dyDescent="0.25">
      <c r="A98" s="42"/>
      <c r="B98" s="12" t="str">
        <f>CONCATENATE("          ","4302"," - ","SALES RETURN NON TAXABLE-TEXT")</f>
        <v xml:space="preserve">          4302 - SALES RETURN NON TAXABLE-TEXT</v>
      </c>
      <c r="C98" s="12"/>
      <c r="D98" s="3">
        <f>0</f>
        <v>0</v>
      </c>
      <c r="E98" s="3"/>
      <c r="F98" s="20"/>
      <c r="G98" s="3"/>
      <c r="H98" s="3">
        <f>-134.22</f>
        <v>-134.22</v>
      </c>
      <c r="I98" s="3"/>
      <c r="J98" s="20"/>
      <c r="K98" s="3"/>
      <c r="L98" s="3">
        <f t="shared" si="8"/>
        <v>134.22</v>
      </c>
      <c r="M98" s="3"/>
      <c r="N98" s="20">
        <f t="shared" si="9"/>
        <v>-1</v>
      </c>
      <c r="O98" s="12"/>
      <c r="P98" s="3">
        <f>0</f>
        <v>0</v>
      </c>
      <c r="Q98" s="3"/>
      <c r="R98" s="20"/>
      <c r="S98" s="3"/>
      <c r="T98" s="3">
        <f>-2577.54</f>
        <v>-2577.54</v>
      </c>
      <c r="U98" s="3"/>
      <c r="V98" s="20"/>
      <c r="W98" s="3"/>
      <c r="X98" s="3">
        <f t="shared" si="10"/>
        <v>2577.54</v>
      </c>
      <c r="Y98" s="3"/>
      <c r="Z98" s="20">
        <f t="shared" si="11"/>
        <v>-1</v>
      </c>
    </row>
    <row r="99" spans="1:26" s="69" customFormat="1" ht="15" hidden="1" customHeight="1" outlineLevel="1" x14ac:dyDescent="0.25">
      <c r="A99" s="42"/>
      <c r="B99" s="12" t="str">
        <f>CONCATENATE("          ","4304"," - ","SALES RETURN NON TAXABLE-DIGIT")</f>
        <v xml:space="preserve">          4304 - SALES RETURN NON TAXABLE-DIGIT</v>
      </c>
      <c r="C99" s="12"/>
      <c r="D99" s="3">
        <f>0</f>
        <v>0</v>
      </c>
      <c r="E99" s="3"/>
      <c r="F99" s="20"/>
      <c r="G99" s="3"/>
      <c r="H99" s="3">
        <f>-3338.22</f>
        <v>-3338.22</v>
      </c>
      <c r="I99" s="3"/>
      <c r="J99" s="20"/>
      <c r="K99" s="3"/>
      <c r="L99" s="3">
        <f t="shared" si="8"/>
        <v>3338.22</v>
      </c>
      <c r="M99" s="3"/>
      <c r="N99" s="20">
        <f t="shared" si="9"/>
        <v>-1</v>
      </c>
      <c r="O99" s="12"/>
      <c r="P99" s="3">
        <f>0</f>
        <v>0</v>
      </c>
      <c r="Q99" s="3"/>
      <c r="R99" s="20"/>
      <c r="S99" s="3"/>
      <c r="T99" s="3">
        <f>-30881.98</f>
        <v>-30881.98</v>
      </c>
      <c r="U99" s="3"/>
      <c r="V99" s="20"/>
      <c r="W99" s="3"/>
      <c r="X99" s="3">
        <f t="shared" si="10"/>
        <v>30881.98</v>
      </c>
      <c r="Y99" s="3"/>
      <c r="Z99" s="20">
        <f t="shared" si="11"/>
        <v>-1</v>
      </c>
    </row>
    <row r="100" spans="1:26" s="69" customFormat="1" ht="15" hidden="1" customHeight="1" outlineLevel="1" x14ac:dyDescent="0.25">
      <c r="A100" s="42"/>
      <c r="B100" s="12" t="str">
        <f>CONCATENATE("          ","4327"," - ","SALES RETURN NON TAXABLE-SCHOO")</f>
        <v xml:space="preserve">          4327 - SALES RETURN NON TAXABLE-SCHOO</v>
      </c>
      <c r="C100" s="12"/>
      <c r="D100" s="3">
        <f>0</f>
        <v>0</v>
      </c>
      <c r="E100" s="3"/>
      <c r="F100" s="20"/>
      <c r="G100" s="3"/>
      <c r="H100" s="3">
        <f>-17.41</f>
        <v>-17.41</v>
      </c>
      <c r="I100" s="3"/>
      <c r="J100" s="20"/>
      <c r="K100" s="3"/>
      <c r="L100" s="3">
        <f t="shared" si="8"/>
        <v>17.41</v>
      </c>
      <c r="M100" s="3"/>
      <c r="N100" s="20">
        <f t="shared" si="9"/>
        <v>-1</v>
      </c>
      <c r="O100" s="12"/>
      <c r="P100" s="3">
        <f>0</f>
        <v>0</v>
      </c>
      <c r="Q100" s="3"/>
      <c r="R100" s="20"/>
      <c r="S100" s="3"/>
      <c r="T100" s="3">
        <f>-17.41</f>
        <v>-17.41</v>
      </c>
      <c r="U100" s="3"/>
      <c r="V100" s="20"/>
      <c r="W100" s="3"/>
      <c r="X100" s="3">
        <f t="shared" si="10"/>
        <v>17.41</v>
      </c>
      <c r="Y100" s="3"/>
      <c r="Z100" s="20">
        <f t="shared" si="11"/>
        <v>-1</v>
      </c>
    </row>
    <row r="101" spans="1:26" s="69" customFormat="1" ht="15" hidden="1" customHeight="1" outlineLevel="1" x14ac:dyDescent="0.25">
      <c r="A101" s="42"/>
      <c r="B101" s="12" t="str">
        <f>CONCATENATE("          ","4340"," - ","SALES RETURN NON TAXABLE-LOGO")</f>
        <v xml:space="preserve">          4340 - SALES RETURN NON TAXABLE-LOGO</v>
      </c>
      <c r="C101" s="12"/>
      <c r="D101" s="3">
        <f>0</f>
        <v>0</v>
      </c>
      <c r="E101" s="3"/>
      <c r="F101" s="20"/>
      <c r="G101" s="3"/>
      <c r="H101" s="3">
        <f>-143.74</f>
        <v>-143.74</v>
      </c>
      <c r="I101" s="3"/>
      <c r="J101" s="20"/>
      <c r="K101" s="3"/>
      <c r="L101" s="3">
        <f t="shared" si="8"/>
        <v>143.74</v>
      </c>
      <c r="M101" s="3"/>
      <c r="N101" s="20">
        <f t="shared" si="9"/>
        <v>-1</v>
      </c>
      <c r="O101" s="12"/>
      <c r="P101" s="3">
        <f>0</f>
        <v>0</v>
      </c>
      <c r="Q101" s="3"/>
      <c r="R101" s="20"/>
      <c r="S101" s="3"/>
      <c r="T101" s="3">
        <f>-3451.26</f>
        <v>-3451.26</v>
      </c>
      <c r="U101" s="3"/>
      <c r="V101" s="20"/>
      <c r="W101" s="3"/>
      <c r="X101" s="3">
        <f t="shared" si="10"/>
        <v>3451.26</v>
      </c>
      <c r="Y101" s="3"/>
      <c r="Z101" s="20">
        <f t="shared" si="11"/>
        <v>-1</v>
      </c>
    </row>
    <row r="102" spans="1:26" s="69" customFormat="1" ht="15" hidden="1" customHeight="1" outlineLevel="1" x14ac:dyDescent="0.25">
      <c r="A102" s="42"/>
      <c r="B102" s="12" t="str">
        <f>CONCATENATE("          ","4341"," - ","SALES RETURN NON TAXABLE-LOGO")</f>
        <v xml:space="preserve">          4341 - SALES RETURN NON TAXABLE-LOGO</v>
      </c>
      <c r="C102" s="12"/>
      <c r="D102" s="3">
        <f>0</f>
        <v>0</v>
      </c>
      <c r="E102" s="3"/>
      <c r="F102" s="20"/>
      <c r="G102" s="3"/>
      <c r="H102" s="3">
        <f>-104.3</f>
        <v>-104.3</v>
      </c>
      <c r="I102" s="3"/>
      <c r="J102" s="20"/>
      <c r="K102" s="3"/>
      <c r="L102" s="3">
        <f t="shared" si="8"/>
        <v>104.3</v>
      </c>
      <c r="M102" s="3"/>
      <c r="N102" s="20">
        <f t="shared" si="9"/>
        <v>-1</v>
      </c>
      <c r="O102" s="12"/>
      <c r="P102" s="3">
        <f>0</f>
        <v>0</v>
      </c>
      <c r="Q102" s="3"/>
      <c r="R102" s="20"/>
      <c r="S102" s="3"/>
      <c r="T102" s="3">
        <f>-506.74</f>
        <v>-506.74</v>
      </c>
      <c r="U102" s="3"/>
      <c r="V102" s="20"/>
      <c r="W102" s="3"/>
      <c r="X102" s="3">
        <f t="shared" si="10"/>
        <v>506.74</v>
      </c>
      <c r="Y102" s="3"/>
      <c r="Z102" s="20">
        <f t="shared" si="11"/>
        <v>-1</v>
      </c>
    </row>
    <row r="103" spans="1:26" s="69" customFormat="1" ht="15" hidden="1" customHeight="1" outlineLevel="1" x14ac:dyDescent="0.25">
      <c r="A103" s="42"/>
      <c r="B103" s="12" t="str">
        <f>CONCATENATE("          ","4342"," - ","SALES RETURN NON TAXABLE-EVERY")</f>
        <v xml:space="preserve">          4342 - SALES RETURN NON TAXABLE-EVERY</v>
      </c>
      <c r="C103" s="12"/>
      <c r="D103" s="3">
        <f>0</f>
        <v>0</v>
      </c>
      <c r="E103" s="3"/>
      <c r="F103" s="20"/>
      <c r="G103" s="3"/>
      <c r="H103" s="3">
        <f>0</f>
        <v>0</v>
      </c>
      <c r="I103" s="3"/>
      <c r="J103" s="20"/>
      <c r="K103" s="3"/>
      <c r="L103" s="3">
        <f t="shared" si="8"/>
        <v>0</v>
      </c>
      <c r="M103" s="3"/>
      <c r="N103" s="20">
        <f t="shared" si="9"/>
        <v>0</v>
      </c>
      <c r="O103" s="12"/>
      <c r="P103" s="3">
        <f>0</f>
        <v>0</v>
      </c>
      <c r="Q103" s="3"/>
      <c r="R103" s="20"/>
      <c r="S103" s="3"/>
      <c r="T103" s="3">
        <f>-118.7</f>
        <v>-118.7</v>
      </c>
      <c r="U103" s="3"/>
      <c r="V103" s="20"/>
      <c r="W103" s="3"/>
      <c r="X103" s="3">
        <f t="shared" si="10"/>
        <v>118.7</v>
      </c>
      <c r="Y103" s="3"/>
      <c r="Z103" s="20">
        <f t="shared" si="11"/>
        <v>-1</v>
      </c>
    </row>
    <row r="104" spans="1:26" s="69" customFormat="1" ht="15" hidden="1" customHeight="1" outlineLevel="1" x14ac:dyDescent="0.25">
      <c r="A104" s="42"/>
      <c r="B104" s="12" t="str">
        <f>CONCATENATE("          ","4381"," - ","SALES RETURN NON TAXABLE-ELECT")</f>
        <v xml:space="preserve">          4381 - SALES RETURN NON TAXABLE-ELECT</v>
      </c>
      <c r="C104" s="12"/>
      <c r="D104" s="3">
        <f>0</f>
        <v>0</v>
      </c>
      <c r="E104" s="3"/>
      <c r="F104" s="20"/>
      <c r="G104" s="3"/>
      <c r="H104" s="3">
        <f>0</f>
        <v>0</v>
      </c>
      <c r="I104" s="3"/>
      <c r="J104" s="20"/>
      <c r="K104" s="3"/>
      <c r="L104" s="3">
        <f t="shared" si="8"/>
        <v>0</v>
      </c>
      <c r="M104" s="3"/>
      <c r="N104" s="20">
        <f t="shared" si="9"/>
        <v>0</v>
      </c>
      <c r="O104" s="12"/>
      <c r="P104" s="3">
        <f>0</f>
        <v>0</v>
      </c>
      <c r="Q104" s="3"/>
      <c r="R104" s="20"/>
      <c r="S104" s="3"/>
      <c r="T104" s="3">
        <f>-5624.15</f>
        <v>-5624.15</v>
      </c>
      <c r="U104" s="3"/>
      <c r="V104" s="20"/>
      <c r="W104" s="3"/>
      <c r="X104" s="3">
        <f t="shared" si="10"/>
        <v>5624.15</v>
      </c>
      <c r="Y104" s="3"/>
      <c r="Z104" s="20">
        <f t="shared" si="11"/>
        <v>-1</v>
      </c>
    </row>
    <row r="105" spans="1:26" s="69" customFormat="1" ht="15" hidden="1" customHeight="1" outlineLevel="1" x14ac:dyDescent="0.25">
      <c r="A105" s="42"/>
      <c r="B105" s="12" t="str">
        <f>CONCATENATE("          ","4383"," - ","SALES RETURN NON TAXABLE-COMPU")</f>
        <v xml:space="preserve">          4383 - SALES RETURN NON TAXABLE-COMPU</v>
      </c>
      <c r="C105" s="12"/>
      <c r="D105" s="3">
        <f>0</f>
        <v>0</v>
      </c>
      <c r="E105" s="3"/>
      <c r="F105" s="20"/>
      <c r="G105" s="3"/>
      <c r="H105" s="3">
        <f>0</f>
        <v>0</v>
      </c>
      <c r="I105" s="3"/>
      <c r="J105" s="20"/>
      <c r="K105" s="3"/>
      <c r="L105" s="3">
        <f t="shared" si="8"/>
        <v>0</v>
      </c>
      <c r="M105" s="3"/>
      <c r="N105" s="20">
        <f t="shared" si="9"/>
        <v>0</v>
      </c>
      <c r="O105" s="12"/>
      <c r="P105" s="3">
        <f>0</f>
        <v>0</v>
      </c>
      <c r="Q105" s="3"/>
      <c r="R105" s="20"/>
      <c r="S105" s="3"/>
      <c r="T105" s="3">
        <f>-14.99</f>
        <v>-14.99</v>
      </c>
      <c r="U105" s="3"/>
      <c r="V105" s="20"/>
      <c r="W105" s="3"/>
      <c r="X105" s="3">
        <f t="shared" si="10"/>
        <v>14.99</v>
      </c>
      <c r="Y105" s="3"/>
      <c r="Z105" s="20">
        <f t="shared" si="11"/>
        <v>-1</v>
      </c>
    </row>
    <row r="106" spans="1:26" s="69" customFormat="1" ht="15" hidden="1" customHeight="1" outlineLevel="1" x14ac:dyDescent="0.25">
      <c r="A106" s="42"/>
      <c r="B106" s="12" t="str">
        <f>CONCATENATE("          ","4500"," - ","SALES DISCOUNT")</f>
        <v xml:space="preserve">          4500 - SALES DISCOUNT</v>
      </c>
      <c r="C106" s="12"/>
      <c r="D106" s="3">
        <f>-21452.94</f>
        <v>-21452.94</v>
      </c>
      <c r="E106" s="3"/>
      <c r="F106" s="20"/>
      <c r="G106" s="3"/>
      <c r="H106" s="3">
        <f>0</f>
        <v>0</v>
      </c>
      <c r="I106" s="3"/>
      <c r="J106" s="20"/>
      <c r="K106" s="3"/>
      <c r="L106" s="3">
        <f t="shared" si="8"/>
        <v>-21452.94</v>
      </c>
      <c r="M106" s="3"/>
      <c r="N106" s="20">
        <f t="shared" si="9"/>
        <v>0</v>
      </c>
      <c r="O106" s="12"/>
      <c r="P106" s="3">
        <f>-129357.09</f>
        <v>-129357.09</v>
      </c>
      <c r="Q106" s="3"/>
      <c r="R106" s="20"/>
      <c r="S106" s="3"/>
      <c r="T106" s="3">
        <f>0</f>
        <v>0</v>
      </c>
      <c r="U106" s="3"/>
      <c r="V106" s="20"/>
      <c r="W106" s="3"/>
      <c r="X106" s="3">
        <f t="shared" si="10"/>
        <v>-129357.09</v>
      </c>
      <c r="Y106" s="3"/>
      <c r="Z106" s="20">
        <f t="shared" si="11"/>
        <v>0</v>
      </c>
    </row>
    <row r="107" spans="1:26" ht="15" customHeight="1" x14ac:dyDescent="0.25">
      <c r="A107" s="10"/>
      <c r="B107" s="11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s="62" customFormat="1" ht="15" customHeight="1" collapsed="1" x14ac:dyDescent="0.25">
      <c r="A108" s="11"/>
      <c r="B108" s="28" t="s">
        <v>287</v>
      </c>
      <c r="C108" s="11"/>
      <c r="D108" s="5">
        <f>SUM(OSRRefD16x_0)</f>
        <v>999875.91</v>
      </c>
      <c r="E108" s="5"/>
      <c r="F108" s="13">
        <f t="shared" ref="F108:F139" si="12">IF(D$12=0,0,D108/D$12)</f>
        <v>0.45350461927739605</v>
      </c>
      <c r="G108" s="5"/>
      <c r="H108" s="5">
        <f>SUM(OSRRefH16x_0)</f>
        <v>334574</v>
      </c>
      <c r="I108" s="5"/>
      <c r="J108" s="13">
        <f t="shared" ref="J108:J139" si="13">IF(H$12=0,0,H108/H$12)</f>
        <v>0.41383939475601994</v>
      </c>
      <c r="K108" s="5"/>
      <c r="L108" s="5">
        <f t="shared" ref="L108:L139" si="14">+D108-H108</f>
        <v>665301.91</v>
      </c>
      <c r="M108" s="5"/>
      <c r="N108" s="13">
        <f t="shared" ref="N108:N139" si="15">IF(H108=0,0,L108/H108)</f>
        <v>1.9885045161907382</v>
      </c>
      <c r="O108" s="11"/>
      <c r="P108" s="5">
        <f>SUM(OSRRefP16x_0)</f>
        <v>9759695.2299999986</v>
      </c>
      <c r="Q108" s="5"/>
      <c r="R108" s="13">
        <f t="shared" ref="R108:R139" si="16">IF(P$12=0,0,P108/P$12)</f>
        <v>0.40556311534219136</v>
      </c>
      <c r="S108" s="5"/>
      <c r="T108" s="5">
        <f>SUM(OSRRefT16x_0)</f>
        <v>5970496.9100000011</v>
      </c>
      <c r="U108" s="5"/>
      <c r="V108" s="13">
        <f t="shared" ref="V108:V139" si="17">IF(T$12=0,0,T108/T$12)</f>
        <v>0.60847137781565741</v>
      </c>
      <c r="W108" s="5"/>
      <c r="X108" s="5">
        <f t="shared" ref="X108:X139" si="18">+P108-T108</f>
        <v>3789198.3199999975</v>
      </c>
      <c r="Y108" s="5"/>
      <c r="Z108" s="13">
        <f t="shared" ref="Z108:Z139" si="19">IF(T108=0,0,X108/T108)</f>
        <v>0.63465376117245098</v>
      </c>
    </row>
    <row r="109" spans="1:26" s="69" customFormat="1" ht="15" hidden="1" customHeight="1" outlineLevel="1" x14ac:dyDescent="0.25">
      <c r="A109" s="42"/>
      <c r="B109" s="12" t="str">
        <f>CONCATENATE("          ","5000"," - ","PURCHASES @ COST")</f>
        <v xml:space="preserve">          5000 - PURCHASES @ COST</v>
      </c>
      <c r="C109" s="12"/>
      <c r="D109" s="3">
        <v>819824.79</v>
      </c>
      <c r="E109" s="3"/>
      <c r="F109" s="20">
        <f t="shared" si="12"/>
        <v>0.37184047094716099</v>
      </c>
      <c r="G109" s="3"/>
      <c r="H109" s="3"/>
      <c r="I109" s="3"/>
      <c r="J109" s="20">
        <f t="shared" si="13"/>
        <v>0</v>
      </c>
      <c r="K109" s="3"/>
      <c r="L109" s="3">
        <f t="shared" si="14"/>
        <v>819824.79</v>
      </c>
      <c r="M109" s="3"/>
      <c r="N109" s="20">
        <f t="shared" si="15"/>
        <v>0</v>
      </c>
      <c r="O109" s="12"/>
      <c r="P109" s="3">
        <v>6253910.0800000001</v>
      </c>
      <c r="Q109" s="3"/>
      <c r="R109" s="20">
        <f t="shared" si="16"/>
        <v>0.25988057980727886</v>
      </c>
      <c r="S109" s="3"/>
      <c r="T109" s="3">
        <v>0</v>
      </c>
      <c r="U109" s="3"/>
      <c r="V109" s="20">
        <f t="shared" si="17"/>
        <v>0</v>
      </c>
      <c r="W109" s="3"/>
      <c r="X109" s="3">
        <f t="shared" si="18"/>
        <v>6253910.0800000001</v>
      </c>
      <c r="Y109" s="3"/>
      <c r="Z109" s="20">
        <f t="shared" si="19"/>
        <v>0</v>
      </c>
    </row>
    <row r="110" spans="1:26" s="69" customFormat="1" ht="15" hidden="1" customHeight="1" outlineLevel="1" x14ac:dyDescent="0.25">
      <c r="A110" s="42"/>
      <c r="B110" s="12" t="str">
        <f>CONCATENATE("          ","5001"," - ","PURCHASES @ COST-NEW TEXT")</f>
        <v xml:space="preserve">          5001 - PURCHASES @ COST-NEW TEXT</v>
      </c>
      <c r="C110" s="12"/>
      <c r="D110" s="3"/>
      <c r="E110" s="3"/>
      <c r="F110" s="20">
        <f t="shared" si="12"/>
        <v>0</v>
      </c>
      <c r="G110" s="3"/>
      <c r="H110" s="3">
        <v>65020.01</v>
      </c>
      <c r="I110" s="3"/>
      <c r="J110" s="20">
        <f t="shared" si="13"/>
        <v>8.0424185936236417E-2</v>
      </c>
      <c r="K110" s="3"/>
      <c r="L110" s="3">
        <f t="shared" si="14"/>
        <v>-65020.01</v>
      </c>
      <c r="M110" s="3"/>
      <c r="N110" s="20">
        <f t="shared" si="15"/>
        <v>-1</v>
      </c>
      <c r="O110" s="12"/>
      <c r="P110" s="3">
        <v>0</v>
      </c>
      <c r="Q110" s="3"/>
      <c r="R110" s="20">
        <f t="shared" si="16"/>
        <v>0</v>
      </c>
      <c r="S110" s="3"/>
      <c r="T110" s="3">
        <v>1071566.48</v>
      </c>
      <c r="U110" s="3"/>
      <c r="V110" s="20">
        <f t="shared" si="17"/>
        <v>0.10920657733104396</v>
      </c>
      <c r="W110" s="3"/>
      <c r="X110" s="3">
        <f t="shared" si="18"/>
        <v>-1071566.48</v>
      </c>
      <c r="Y110" s="3"/>
      <c r="Z110" s="20">
        <f t="shared" si="19"/>
        <v>-1</v>
      </c>
    </row>
    <row r="111" spans="1:26" s="69" customFormat="1" ht="15" hidden="1" customHeight="1" outlineLevel="1" x14ac:dyDescent="0.25">
      <c r="A111" s="42"/>
      <c r="B111" s="12" t="str">
        <f>CONCATENATE("          ","5002"," - ","PURCHASES @ COST-USED TEXT")</f>
        <v xml:space="preserve">          5002 - PURCHASES @ COST-USED TEXT</v>
      </c>
      <c r="C111" s="12"/>
      <c r="D111" s="3"/>
      <c r="E111" s="3"/>
      <c r="F111" s="20">
        <f t="shared" si="12"/>
        <v>0</v>
      </c>
      <c r="G111" s="3"/>
      <c r="H111" s="3">
        <v>4952.26</v>
      </c>
      <c r="I111" s="3"/>
      <c r="J111" s="20">
        <f t="shared" si="13"/>
        <v>6.1255216516359528E-3</v>
      </c>
      <c r="K111" s="3"/>
      <c r="L111" s="3">
        <f t="shared" si="14"/>
        <v>-4952.26</v>
      </c>
      <c r="M111" s="3"/>
      <c r="N111" s="20">
        <f t="shared" si="15"/>
        <v>-1</v>
      </c>
      <c r="O111" s="12"/>
      <c r="P111" s="3">
        <v>0</v>
      </c>
      <c r="Q111" s="3"/>
      <c r="R111" s="20">
        <f t="shared" si="16"/>
        <v>0</v>
      </c>
      <c r="S111" s="3"/>
      <c r="T111" s="3">
        <v>279913.28000000003</v>
      </c>
      <c r="U111" s="3"/>
      <c r="V111" s="20">
        <f t="shared" si="17"/>
        <v>2.8526808022500072E-2</v>
      </c>
      <c r="W111" s="3"/>
      <c r="X111" s="3">
        <f t="shared" si="18"/>
        <v>-279913.28000000003</v>
      </c>
      <c r="Y111" s="3"/>
      <c r="Z111" s="20">
        <f t="shared" si="19"/>
        <v>-1</v>
      </c>
    </row>
    <row r="112" spans="1:26" s="69" customFormat="1" ht="15" hidden="1" customHeight="1" outlineLevel="1" x14ac:dyDescent="0.25">
      <c r="A112" s="42"/>
      <c r="B112" s="12" t="str">
        <f>CONCATENATE("          ","5003"," - ","PURCHASES @ COST-RENTAL TEXT")</f>
        <v xml:space="preserve">          5003 - PURCHASES @ COST-RENTAL TEXT</v>
      </c>
      <c r="C112" s="12"/>
      <c r="D112" s="3"/>
      <c r="E112" s="3"/>
      <c r="F112" s="20">
        <f t="shared" si="12"/>
        <v>0</v>
      </c>
      <c r="G112" s="3"/>
      <c r="H112" s="3">
        <v>7179.56</v>
      </c>
      <c r="I112" s="3"/>
      <c r="J112" s="20">
        <f t="shared" si="13"/>
        <v>8.8805010700608259E-3</v>
      </c>
      <c r="K112" s="3"/>
      <c r="L112" s="3">
        <f t="shared" si="14"/>
        <v>-7179.56</v>
      </c>
      <c r="M112" s="3"/>
      <c r="N112" s="20">
        <f t="shared" si="15"/>
        <v>-1</v>
      </c>
      <c r="O112" s="12"/>
      <c r="P112" s="3"/>
      <c r="Q112" s="3"/>
      <c r="R112" s="20">
        <f t="shared" si="16"/>
        <v>0</v>
      </c>
      <c r="S112" s="3"/>
      <c r="T112" s="3">
        <v>7212.08</v>
      </c>
      <c r="U112" s="3"/>
      <c r="V112" s="20">
        <f t="shared" si="17"/>
        <v>7.3500486151608204E-4</v>
      </c>
      <c r="W112" s="3"/>
      <c r="X112" s="3">
        <f t="shared" si="18"/>
        <v>-7212.08</v>
      </c>
      <c r="Y112" s="3"/>
      <c r="Z112" s="20">
        <f t="shared" si="19"/>
        <v>-1</v>
      </c>
    </row>
    <row r="113" spans="1:26" s="69" customFormat="1" ht="15" hidden="1" customHeight="1" outlineLevel="1" x14ac:dyDescent="0.25">
      <c r="A113" s="42"/>
      <c r="B113" s="12" t="str">
        <f>CONCATENATE("          ","5004"," - ","PURCHASES @ COST-DIGITAL TEXT")</f>
        <v xml:space="preserve">          5004 - PURCHASES @ COST-DIGITAL TEXT</v>
      </c>
      <c r="C113" s="12"/>
      <c r="D113" s="3"/>
      <c r="E113" s="3"/>
      <c r="F113" s="20">
        <f t="shared" si="12"/>
        <v>0</v>
      </c>
      <c r="G113" s="3"/>
      <c r="H113" s="3">
        <v>-7843.95</v>
      </c>
      <c r="I113" s="3"/>
      <c r="J113" s="20">
        <f t="shared" si="13"/>
        <v>-9.7022946209104188E-3</v>
      </c>
      <c r="K113" s="3"/>
      <c r="L113" s="3">
        <f t="shared" si="14"/>
        <v>7843.95</v>
      </c>
      <c r="M113" s="3"/>
      <c r="N113" s="20">
        <f t="shared" si="15"/>
        <v>-1</v>
      </c>
      <c r="O113" s="12"/>
      <c r="P113" s="3">
        <v>0</v>
      </c>
      <c r="Q113" s="3"/>
      <c r="R113" s="20">
        <f t="shared" si="16"/>
        <v>0</v>
      </c>
      <c r="S113" s="3"/>
      <c r="T113" s="3">
        <v>199606.43</v>
      </c>
      <c r="U113" s="3"/>
      <c r="V113" s="20">
        <f t="shared" si="17"/>
        <v>2.0342494320621723E-2</v>
      </c>
      <c r="W113" s="3"/>
      <c r="X113" s="3">
        <f t="shared" si="18"/>
        <v>-199606.43</v>
      </c>
      <c r="Y113" s="3"/>
      <c r="Z113" s="20">
        <f t="shared" si="19"/>
        <v>-1</v>
      </c>
    </row>
    <row r="114" spans="1:26" s="69" customFormat="1" ht="15" hidden="1" customHeight="1" outlineLevel="1" x14ac:dyDescent="0.25">
      <c r="A114" s="42"/>
      <c r="B114" s="12" t="str">
        <f>CONCATENATE("          ","5011"," - ","PURCHASES @ COST-NO VALUE TEXT")</f>
        <v xml:space="preserve">          5011 - PURCHASES @ COST-NO VALUE TEXT</v>
      </c>
      <c r="C114" s="12"/>
      <c r="D114" s="3"/>
      <c r="E114" s="3"/>
      <c r="F114" s="20">
        <f t="shared" si="12"/>
        <v>0</v>
      </c>
      <c r="G114" s="3"/>
      <c r="H114" s="3"/>
      <c r="I114" s="3"/>
      <c r="J114" s="20">
        <f t="shared" si="13"/>
        <v>0</v>
      </c>
      <c r="K114" s="3"/>
      <c r="L114" s="3">
        <f t="shared" si="14"/>
        <v>0</v>
      </c>
      <c r="M114" s="3"/>
      <c r="N114" s="20">
        <f t="shared" si="15"/>
        <v>0</v>
      </c>
      <c r="O114" s="12"/>
      <c r="P114" s="3"/>
      <c r="Q114" s="3"/>
      <c r="R114" s="20">
        <f t="shared" si="16"/>
        <v>0</v>
      </c>
      <c r="S114" s="3"/>
      <c r="T114" s="3">
        <v>67.17</v>
      </c>
      <c r="U114" s="3"/>
      <c r="V114" s="20">
        <f t="shared" si="17"/>
        <v>6.8454976300921835E-6</v>
      </c>
      <c r="W114" s="3"/>
      <c r="X114" s="3">
        <f t="shared" si="18"/>
        <v>-67.17</v>
      </c>
      <c r="Y114" s="3"/>
      <c r="Z114" s="20">
        <f t="shared" si="19"/>
        <v>-1</v>
      </c>
    </row>
    <row r="115" spans="1:26" s="69" customFormat="1" ht="15" hidden="1" customHeight="1" outlineLevel="1" x14ac:dyDescent="0.25">
      <c r="A115" s="42"/>
      <c r="B115" s="12" t="str">
        <f>CONCATENATE("          ","5013"," - ","PURCHASES @ COST-TRADE BOOKS")</f>
        <v xml:space="preserve">          5013 - PURCHASES @ COST-TRADE BOOKS</v>
      </c>
      <c r="C115" s="12"/>
      <c r="D115" s="3"/>
      <c r="E115" s="3"/>
      <c r="F115" s="20">
        <f t="shared" si="12"/>
        <v>0</v>
      </c>
      <c r="G115" s="3"/>
      <c r="H115" s="3"/>
      <c r="I115" s="3"/>
      <c r="J115" s="20">
        <f t="shared" si="13"/>
        <v>0</v>
      </c>
      <c r="K115" s="3"/>
      <c r="L115" s="3">
        <f t="shared" si="14"/>
        <v>0</v>
      </c>
      <c r="M115" s="3"/>
      <c r="N115" s="20">
        <f t="shared" si="15"/>
        <v>0</v>
      </c>
      <c r="O115" s="12"/>
      <c r="P115" s="3"/>
      <c r="Q115" s="3"/>
      <c r="R115" s="20">
        <f t="shared" si="16"/>
        <v>0</v>
      </c>
      <c r="S115" s="3"/>
      <c r="T115" s="3">
        <v>9670.02</v>
      </c>
      <c r="U115" s="3"/>
      <c r="V115" s="20">
        <f t="shared" si="17"/>
        <v>9.8550095270126558E-4</v>
      </c>
      <c r="W115" s="3"/>
      <c r="X115" s="3">
        <f t="shared" si="18"/>
        <v>-9670.02</v>
      </c>
      <c r="Y115" s="3"/>
      <c r="Z115" s="20">
        <f t="shared" si="19"/>
        <v>-1</v>
      </c>
    </row>
    <row r="116" spans="1:26" s="69" customFormat="1" ht="15" hidden="1" customHeight="1" outlineLevel="1" x14ac:dyDescent="0.25">
      <c r="A116" s="42"/>
      <c r="B116" s="12" t="str">
        <f>CONCATENATE("          ","5014"," - ","PURCHASES @ COST-REMAINDERS")</f>
        <v xml:space="preserve">          5014 - PURCHASES @ COST-REMAINDERS</v>
      </c>
      <c r="C116" s="12"/>
      <c r="D116" s="3"/>
      <c r="E116" s="3"/>
      <c r="F116" s="20">
        <f t="shared" si="12"/>
        <v>0</v>
      </c>
      <c r="G116" s="3"/>
      <c r="H116" s="3"/>
      <c r="I116" s="3"/>
      <c r="J116" s="20">
        <f t="shared" si="13"/>
        <v>0</v>
      </c>
      <c r="K116" s="3"/>
      <c r="L116" s="3">
        <f t="shared" si="14"/>
        <v>0</v>
      </c>
      <c r="M116" s="3"/>
      <c r="N116" s="20">
        <f t="shared" si="15"/>
        <v>0</v>
      </c>
      <c r="O116" s="12"/>
      <c r="P116" s="3"/>
      <c r="Q116" s="3"/>
      <c r="R116" s="20">
        <f t="shared" si="16"/>
        <v>0</v>
      </c>
      <c r="S116" s="3"/>
      <c r="T116" s="3">
        <v>111.57</v>
      </c>
      <c r="U116" s="3"/>
      <c r="V116" s="20">
        <f t="shared" si="17"/>
        <v>1.1370435768786435E-5</v>
      </c>
      <c r="W116" s="3"/>
      <c r="X116" s="3">
        <f t="shared" si="18"/>
        <v>-111.57</v>
      </c>
      <c r="Y116" s="3"/>
      <c r="Z116" s="20">
        <f t="shared" si="19"/>
        <v>-1</v>
      </c>
    </row>
    <row r="117" spans="1:26" s="69" customFormat="1" ht="15" hidden="1" customHeight="1" outlineLevel="1" x14ac:dyDescent="0.25">
      <c r="A117" s="42"/>
      <c r="B117" s="12" t="str">
        <f>CONCATENATE("          ","5018"," - ","PURCHASES @ COST-STUDY GUIDES")</f>
        <v xml:space="preserve">          5018 - PURCHASES @ COST-STUDY GUIDES</v>
      </c>
      <c r="C117" s="12"/>
      <c r="D117" s="3"/>
      <c r="E117" s="3"/>
      <c r="F117" s="20">
        <f t="shared" si="12"/>
        <v>0</v>
      </c>
      <c r="G117" s="3"/>
      <c r="H117" s="3"/>
      <c r="I117" s="3"/>
      <c r="J117" s="20">
        <f t="shared" si="13"/>
        <v>0</v>
      </c>
      <c r="K117" s="3"/>
      <c r="L117" s="3">
        <f t="shared" si="14"/>
        <v>0</v>
      </c>
      <c r="M117" s="3"/>
      <c r="N117" s="20">
        <f t="shared" si="15"/>
        <v>0</v>
      </c>
      <c r="O117" s="12"/>
      <c r="P117" s="3"/>
      <c r="Q117" s="3"/>
      <c r="R117" s="20">
        <f t="shared" si="16"/>
        <v>0</v>
      </c>
      <c r="S117" s="3"/>
      <c r="T117" s="3">
        <v>967.21</v>
      </c>
      <c r="U117" s="3"/>
      <c r="V117" s="20">
        <f t="shared" si="17"/>
        <v>9.8571293178524049E-5</v>
      </c>
      <c r="W117" s="3"/>
      <c r="X117" s="3">
        <f t="shared" si="18"/>
        <v>-967.21</v>
      </c>
      <c r="Y117" s="3"/>
      <c r="Z117" s="20">
        <f t="shared" si="19"/>
        <v>-1</v>
      </c>
    </row>
    <row r="118" spans="1:26" s="69" customFormat="1" ht="15" hidden="1" customHeight="1" outlineLevel="1" x14ac:dyDescent="0.25">
      <c r="A118" s="42"/>
      <c r="B118" s="12" t="str">
        <f>CONCATENATE("          ","5025"," - ","PURCHASES @ COST-TEST FORMS")</f>
        <v xml:space="preserve">          5025 - PURCHASES @ COST-TEST FORMS</v>
      </c>
      <c r="C118" s="12"/>
      <c r="D118" s="3"/>
      <c r="E118" s="3"/>
      <c r="F118" s="20">
        <f t="shared" si="12"/>
        <v>0</v>
      </c>
      <c r="G118" s="3"/>
      <c r="H118" s="3"/>
      <c r="I118" s="3"/>
      <c r="J118" s="20">
        <f t="shared" si="13"/>
        <v>0</v>
      </c>
      <c r="K118" s="3"/>
      <c r="L118" s="3">
        <f t="shared" si="14"/>
        <v>0</v>
      </c>
      <c r="M118" s="3"/>
      <c r="N118" s="20">
        <f t="shared" si="15"/>
        <v>0</v>
      </c>
      <c r="O118" s="12"/>
      <c r="P118" s="3"/>
      <c r="Q118" s="3"/>
      <c r="R118" s="20">
        <f t="shared" si="16"/>
        <v>0</v>
      </c>
      <c r="S118" s="3"/>
      <c r="T118" s="3">
        <v>599.29</v>
      </c>
      <c r="U118" s="3"/>
      <c r="V118" s="20">
        <f t="shared" si="17"/>
        <v>6.1075454440046812E-5</v>
      </c>
      <c r="W118" s="3"/>
      <c r="X118" s="3">
        <f t="shared" si="18"/>
        <v>-599.29</v>
      </c>
      <c r="Y118" s="3"/>
      <c r="Z118" s="20">
        <f t="shared" si="19"/>
        <v>-1</v>
      </c>
    </row>
    <row r="119" spans="1:26" s="69" customFormat="1" ht="15" hidden="1" customHeight="1" outlineLevel="1" x14ac:dyDescent="0.25">
      <c r="A119" s="42"/>
      <c r="B119" s="12" t="str">
        <f>CONCATENATE("          ","5026"," - ","PURCHASES @ COST-WRITING INSTR")</f>
        <v xml:space="preserve">          5026 - PURCHASES @ COST-WRITING INSTR</v>
      </c>
      <c r="C119" s="12"/>
      <c r="D119" s="3"/>
      <c r="E119" s="3"/>
      <c r="F119" s="20">
        <f t="shared" si="12"/>
        <v>0</v>
      </c>
      <c r="G119" s="3"/>
      <c r="H119" s="3">
        <v>-2.0499999999999998</v>
      </c>
      <c r="I119" s="3"/>
      <c r="J119" s="20">
        <f t="shared" si="13"/>
        <v>-2.5356744972706807E-6</v>
      </c>
      <c r="K119" s="3"/>
      <c r="L119" s="3">
        <f t="shared" si="14"/>
        <v>2.0499999999999998</v>
      </c>
      <c r="M119" s="3"/>
      <c r="N119" s="20">
        <f t="shared" si="15"/>
        <v>-1</v>
      </c>
      <c r="O119" s="12"/>
      <c r="P119" s="3">
        <v>0</v>
      </c>
      <c r="Q119" s="3"/>
      <c r="R119" s="20">
        <f t="shared" si="16"/>
        <v>0</v>
      </c>
      <c r="S119" s="3"/>
      <c r="T119" s="3">
        <v>582.5</v>
      </c>
      <c r="U119" s="3"/>
      <c r="V119" s="20">
        <f t="shared" si="17"/>
        <v>5.936433481507662E-5</v>
      </c>
      <c r="W119" s="3"/>
      <c r="X119" s="3">
        <f t="shared" si="18"/>
        <v>-582.5</v>
      </c>
      <c r="Y119" s="3"/>
      <c r="Z119" s="20">
        <f t="shared" si="19"/>
        <v>-1</v>
      </c>
    </row>
    <row r="120" spans="1:26" s="69" customFormat="1" ht="15" hidden="1" customHeight="1" outlineLevel="1" x14ac:dyDescent="0.25">
      <c r="A120" s="42"/>
      <c r="B120" s="12" t="str">
        <f>CONCATENATE("          ","5027"," - ","PURCHASES @ COST-SCHOOL SUPPLI")</f>
        <v xml:space="preserve">          5027 - PURCHASES @ COST-SCHOOL SUPPLI</v>
      </c>
      <c r="C120" s="12"/>
      <c r="D120" s="3"/>
      <c r="E120" s="3"/>
      <c r="F120" s="20">
        <f t="shared" si="12"/>
        <v>0</v>
      </c>
      <c r="G120" s="3"/>
      <c r="H120" s="3">
        <v>0.39</v>
      </c>
      <c r="I120" s="3"/>
      <c r="J120" s="20">
        <f t="shared" si="13"/>
        <v>4.8239661167588573E-7</v>
      </c>
      <c r="K120" s="3"/>
      <c r="L120" s="3">
        <f t="shared" si="14"/>
        <v>-0.39</v>
      </c>
      <c r="M120" s="3"/>
      <c r="N120" s="20">
        <f t="shared" si="15"/>
        <v>-1</v>
      </c>
      <c r="O120" s="12"/>
      <c r="P120" s="3">
        <v>0</v>
      </c>
      <c r="Q120" s="3"/>
      <c r="R120" s="20">
        <f t="shared" si="16"/>
        <v>0</v>
      </c>
      <c r="S120" s="3"/>
      <c r="T120" s="3">
        <v>23734.99</v>
      </c>
      <c r="U120" s="3"/>
      <c r="V120" s="20">
        <f t="shared" si="17"/>
        <v>2.4189045376695204E-3</v>
      </c>
      <c r="W120" s="3"/>
      <c r="X120" s="3">
        <f t="shared" si="18"/>
        <v>-23734.99</v>
      </c>
      <c r="Y120" s="3"/>
      <c r="Z120" s="20">
        <f t="shared" si="19"/>
        <v>-1</v>
      </c>
    </row>
    <row r="121" spans="1:26" s="69" customFormat="1" ht="15" hidden="1" customHeight="1" outlineLevel="1" x14ac:dyDescent="0.25">
      <c r="A121" s="42"/>
      <c r="B121" s="12" t="str">
        <f>CONCATENATE("          ","5028"," - ","PURCHASES @ COST-ART/TECH")</f>
        <v xml:space="preserve">          5028 - PURCHASES @ COST-ART/TECH</v>
      </c>
      <c r="C121" s="12"/>
      <c r="D121" s="3"/>
      <c r="E121" s="3"/>
      <c r="F121" s="20">
        <f t="shared" si="12"/>
        <v>0</v>
      </c>
      <c r="G121" s="3"/>
      <c r="H121" s="3">
        <v>674.12</v>
      </c>
      <c r="I121" s="3"/>
      <c r="J121" s="20">
        <f t="shared" si="13"/>
        <v>8.3382872785371296E-4</v>
      </c>
      <c r="K121" s="3"/>
      <c r="L121" s="3">
        <f t="shared" si="14"/>
        <v>-674.12</v>
      </c>
      <c r="M121" s="3"/>
      <c r="N121" s="20">
        <f t="shared" si="15"/>
        <v>-1</v>
      </c>
      <c r="O121" s="12"/>
      <c r="P121" s="3">
        <v>0</v>
      </c>
      <c r="Q121" s="3"/>
      <c r="R121" s="20">
        <f t="shared" si="16"/>
        <v>0</v>
      </c>
      <c r="S121" s="3"/>
      <c r="T121" s="3">
        <v>47680.74</v>
      </c>
      <c r="U121" s="3"/>
      <c r="V121" s="20">
        <f t="shared" si="17"/>
        <v>4.8592882636748777E-3</v>
      </c>
      <c r="W121" s="3"/>
      <c r="X121" s="3">
        <f t="shared" si="18"/>
        <v>-47680.74</v>
      </c>
      <c r="Y121" s="3"/>
      <c r="Z121" s="20">
        <f t="shared" si="19"/>
        <v>-1</v>
      </c>
    </row>
    <row r="122" spans="1:26" s="69" customFormat="1" ht="15" hidden="1" customHeight="1" outlineLevel="1" x14ac:dyDescent="0.25">
      <c r="A122" s="42"/>
      <c r="B122" s="12" t="str">
        <f>CONCATENATE("          ","5031"," - ","PURCHASES @ COST-FOOD")</f>
        <v xml:space="preserve">          5031 - PURCHASES @ COST-FOOD</v>
      </c>
      <c r="C122" s="12"/>
      <c r="D122" s="3"/>
      <c r="E122" s="3"/>
      <c r="F122" s="20">
        <f t="shared" si="12"/>
        <v>0</v>
      </c>
      <c r="G122" s="3"/>
      <c r="H122" s="3">
        <v>280.37</v>
      </c>
      <c r="I122" s="3"/>
      <c r="J122" s="20">
        <f t="shared" si="13"/>
        <v>3.4679368721940532E-4</v>
      </c>
      <c r="K122" s="3"/>
      <c r="L122" s="3">
        <f t="shared" si="14"/>
        <v>-280.37</v>
      </c>
      <c r="M122" s="3"/>
      <c r="N122" s="20">
        <f t="shared" si="15"/>
        <v>-1</v>
      </c>
      <c r="O122" s="12"/>
      <c r="P122" s="3">
        <v>0</v>
      </c>
      <c r="Q122" s="3"/>
      <c r="R122" s="20">
        <f t="shared" si="16"/>
        <v>0</v>
      </c>
      <c r="S122" s="3"/>
      <c r="T122" s="3">
        <v>8066.09</v>
      </c>
      <c r="U122" s="3"/>
      <c r="V122" s="20">
        <f t="shared" si="17"/>
        <v>8.2203960070135866E-4</v>
      </c>
      <c r="W122" s="3"/>
      <c r="X122" s="3">
        <f t="shared" si="18"/>
        <v>-8066.09</v>
      </c>
      <c r="Y122" s="3"/>
      <c r="Z122" s="20">
        <f t="shared" si="19"/>
        <v>-1</v>
      </c>
    </row>
    <row r="123" spans="1:26" s="69" customFormat="1" ht="15" hidden="1" customHeight="1" outlineLevel="1" x14ac:dyDescent="0.25">
      <c r="A123" s="42"/>
      <c r="B123" s="12" t="str">
        <f>CONCATENATE("          ","5040"," - ","PURCHASES @ COST-LOGO CLOTHING")</f>
        <v xml:space="preserve">          5040 - PURCHASES @ COST-LOGO CLOTHING</v>
      </c>
      <c r="C123" s="12"/>
      <c r="D123" s="3"/>
      <c r="E123" s="3"/>
      <c r="F123" s="20">
        <f t="shared" si="12"/>
        <v>0</v>
      </c>
      <c r="G123" s="3"/>
      <c r="H123" s="3">
        <v>48288.73</v>
      </c>
      <c r="I123" s="3"/>
      <c r="J123" s="20">
        <f t="shared" si="13"/>
        <v>5.9729024959312031E-2</v>
      </c>
      <c r="K123" s="3"/>
      <c r="L123" s="3">
        <f t="shared" si="14"/>
        <v>-48288.73</v>
      </c>
      <c r="M123" s="3"/>
      <c r="N123" s="20">
        <f t="shared" si="15"/>
        <v>-1</v>
      </c>
      <c r="O123" s="12"/>
      <c r="P123" s="3">
        <v>0</v>
      </c>
      <c r="Q123" s="3"/>
      <c r="R123" s="20">
        <f t="shared" si="16"/>
        <v>0</v>
      </c>
      <c r="S123" s="3"/>
      <c r="T123" s="3">
        <v>327378.98</v>
      </c>
      <c r="U123" s="3"/>
      <c r="V123" s="20">
        <f t="shared" si="17"/>
        <v>3.3364180910108621E-2</v>
      </c>
      <c r="W123" s="3"/>
      <c r="X123" s="3">
        <f t="shared" si="18"/>
        <v>-327378.98</v>
      </c>
      <c r="Y123" s="3"/>
      <c r="Z123" s="20">
        <f t="shared" si="19"/>
        <v>-1</v>
      </c>
    </row>
    <row r="124" spans="1:26" s="69" customFormat="1" ht="15" hidden="1" customHeight="1" outlineLevel="1" x14ac:dyDescent="0.25">
      <c r="A124" s="42"/>
      <c r="B124" s="12" t="str">
        <f>CONCATENATE("          ","5041"," - ","PURCHASES @ COST-LOGO GIFTS")</f>
        <v xml:space="preserve">          5041 - PURCHASES @ COST-LOGO GIFTS</v>
      </c>
      <c r="C124" s="12"/>
      <c r="D124" s="3"/>
      <c r="E124" s="3"/>
      <c r="F124" s="20">
        <f t="shared" si="12"/>
        <v>0</v>
      </c>
      <c r="G124" s="3"/>
      <c r="H124" s="3">
        <v>22136.9</v>
      </c>
      <c r="I124" s="3"/>
      <c r="J124" s="20">
        <f t="shared" si="13"/>
        <v>2.738145013591773E-2</v>
      </c>
      <c r="K124" s="3"/>
      <c r="L124" s="3">
        <f t="shared" si="14"/>
        <v>-22136.9</v>
      </c>
      <c r="M124" s="3"/>
      <c r="N124" s="20">
        <f t="shared" si="15"/>
        <v>-1</v>
      </c>
      <c r="O124" s="12"/>
      <c r="P124" s="3">
        <v>0</v>
      </c>
      <c r="Q124" s="3"/>
      <c r="R124" s="20">
        <f t="shared" si="16"/>
        <v>0</v>
      </c>
      <c r="S124" s="3"/>
      <c r="T124" s="3">
        <v>106398.85</v>
      </c>
      <c r="U124" s="3"/>
      <c r="V124" s="20">
        <f t="shared" si="17"/>
        <v>1.0843428249509211E-2</v>
      </c>
      <c r="W124" s="3"/>
      <c r="X124" s="3">
        <f t="shared" si="18"/>
        <v>-106398.85</v>
      </c>
      <c r="Y124" s="3"/>
      <c r="Z124" s="20">
        <f t="shared" si="19"/>
        <v>-1</v>
      </c>
    </row>
    <row r="125" spans="1:26" s="69" customFormat="1" ht="15" hidden="1" customHeight="1" outlineLevel="1" x14ac:dyDescent="0.25">
      <c r="A125" s="42"/>
      <c r="B125" s="12" t="str">
        <f>CONCATENATE("          ","5042"," - ","PURCHASES @ COST-EVERYDAY GIFT")</f>
        <v xml:space="preserve">          5042 - PURCHASES @ COST-EVERYDAY GIFT</v>
      </c>
      <c r="C125" s="12"/>
      <c r="D125" s="3"/>
      <c r="E125" s="3"/>
      <c r="F125" s="20">
        <f t="shared" si="12"/>
        <v>0</v>
      </c>
      <c r="G125" s="3"/>
      <c r="H125" s="3">
        <v>-0.11</v>
      </c>
      <c r="I125" s="3"/>
      <c r="J125" s="20">
        <f t="shared" si="13"/>
        <v>-1.36060582780378E-7</v>
      </c>
      <c r="K125" s="3"/>
      <c r="L125" s="3">
        <f t="shared" si="14"/>
        <v>0.11</v>
      </c>
      <c r="M125" s="3"/>
      <c r="N125" s="20">
        <f t="shared" si="15"/>
        <v>-1</v>
      </c>
      <c r="O125" s="12"/>
      <c r="P125" s="3">
        <v>0</v>
      </c>
      <c r="Q125" s="3"/>
      <c r="R125" s="20">
        <f t="shared" si="16"/>
        <v>0</v>
      </c>
      <c r="S125" s="3"/>
      <c r="T125" s="3">
        <v>18748.07</v>
      </c>
      <c r="U125" s="3"/>
      <c r="V125" s="20">
        <f t="shared" si="17"/>
        <v>1.9106724542772421E-3</v>
      </c>
      <c r="W125" s="3"/>
      <c r="X125" s="3">
        <f t="shared" si="18"/>
        <v>-18748.07</v>
      </c>
      <c r="Y125" s="3"/>
      <c r="Z125" s="20">
        <f t="shared" si="19"/>
        <v>-1</v>
      </c>
    </row>
    <row r="126" spans="1:26" s="69" customFormat="1" ht="15" hidden="1" customHeight="1" outlineLevel="1" x14ac:dyDescent="0.25">
      <c r="A126" s="42"/>
      <c r="B126" s="12" t="str">
        <f>CONCATENATE("          ","5043"," - ","PURCHASES @ COST-CARDS")</f>
        <v xml:space="preserve">          5043 - PURCHASES @ COST-CARDS</v>
      </c>
      <c r="C126" s="12"/>
      <c r="D126" s="3"/>
      <c r="E126" s="3"/>
      <c r="F126" s="20">
        <f t="shared" si="12"/>
        <v>0</v>
      </c>
      <c r="G126" s="3"/>
      <c r="H126" s="3">
        <v>178</v>
      </c>
      <c r="I126" s="3"/>
      <c r="J126" s="20">
        <f t="shared" si="13"/>
        <v>2.2017076122642987E-4</v>
      </c>
      <c r="K126" s="3"/>
      <c r="L126" s="3">
        <f t="shared" si="14"/>
        <v>-178</v>
      </c>
      <c r="M126" s="3"/>
      <c r="N126" s="20">
        <f t="shared" si="15"/>
        <v>-1</v>
      </c>
      <c r="O126" s="12"/>
      <c r="P126" s="3">
        <v>0</v>
      </c>
      <c r="Q126" s="3"/>
      <c r="R126" s="20">
        <f t="shared" si="16"/>
        <v>0</v>
      </c>
      <c r="S126" s="3"/>
      <c r="T126" s="3">
        <v>55583.33</v>
      </c>
      <c r="U126" s="3"/>
      <c r="V126" s="20">
        <f t="shared" si="17"/>
        <v>5.6646650854195587E-3</v>
      </c>
      <c r="W126" s="3"/>
      <c r="X126" s="3">
        <f t="shared" si="18"/>
        <v>-55583.33</v>
      </c>
      <c r="Y126" s="3"/>
      <c r="Z126" s="20">
        <f t="shared" si="19"/>
        <v>-1</v>
      </c>
    </row>
    <row r="127" spans="1:26" s="69" customFormat="1" ht="15" hidden="1" customHeight="1" outlineLevel="1" x14ac:dyDescent="0.25">
      <c r="A127" s="42"/>
      <c r="B127" s="12" t="str">
        <f>CONCATENATE("          ","5044"," - ","PURCHASES @ COST-ACCESSORIES")</f>
        <v xml:space="preserve">          5044 - PURCHASES @ COST-ACCESSORIES</v>
      </c>
      <c r="C127" s="12"/>
      <c r="D127" s="3"/>
      <c r="E127" s="3"/>
      <c r="F127" s="20">
        <f t="shared" si="12"/>
        <v>0</v>
      </c>
      <c r="G127" s="3"/>
      <c r="H127" s="3"/>
      <c r="I127" s="3"/>
      <c r="J127" s="20">
        <f t="shared" si="13"/>
        <v>0</v>
      </c>
      <c r="K127" s="3"/>
      <c r="L127" s="3">
        <f t="shared" si="14"/>
        <v>0</v>
      </c>
      <c r="M127" s="3"/>
      <c r="N127" s="20">
        <f t="shared" si="15"/>
        <v>0</v>
      </c>
      <c r="O127" s="12"/>
      <c r="P127" s="3">
        <v>0</v>
      </c>
      <c r="Q127" s="3"/>
      <c r="R127" s="20">
        <f t="shared" si="16"/>
        <v>0</v>
      </c>
      <c r="S127" s="3"/>
      <c r="T127" s="3">
        <v>2555.71</v>
      </c>
      <c r="U127" s="3"/>
      <c r="V127" s="20">
        <f t="shared" si="17"/>
        <v>2.6046012726221369E-4</v>
      </c>
      <c r="W127" s="3"/>
      <c r="X127" s="3">
        <f t="shared" si="18"/>
        <v>-2555.71</v>
      </c>
      <c r="Y127" s="3"/>
      <c r="Z127" s="20">
        <f t="shared" si="19"/>
        <v>-1</v>
      </c>
    </row>
    <row r="128" spans="1:26" s="69" customFormat="1" ht="15" hidden="1" customHeight="1" outlineLevel="1" x14ac:dyDescent="0.25">
      <c r="A128" s="42"/>
      <c r="B128" s="12" t="str">
        <f>CONCATENATE("          ","5045"," - ","PURCHASES @ COST-SPECIAL ORDER")</f>
        <v xml:space="preserve">          5045 - PURCHASES @ COST-SPECIAL ORDER</v>
      </c>
      <c r="C128" s="12"/>
      <c r="D128" s="3"/>
      <c r="E128" s="3"/>
      <c r="F128" s="20">
        <f t="shared" si="12"/>
        <v>0</v>
      </c>
      <c r="G128" s="3"/>
      <c r="H128" s="3">
        <v>24141.17</v>
      </c>
      <c r="I128" s="3"/>
      <c r="J128" s="20">
        <f t="shared" si="13"/>
        <v>2.9860560538183437E-2</v>
      </c>
      <c r="K128" s="3"/>
      <c r="L128" s="3">
        <f t="shared" si="14"/>
        <v>-24141.17</v>
      </c>
      <c r="M128" s="3"/>
      <c r="N128" s="20">
        <f t="shared" si="15"/>
        <v>-1</v>
      </c>
      <c r="O128" s="12"/>
      <c r="P128" s="3">
        <v>0</v>
      </c>
      <c r="Q128" s="3"/>
      <c r="R128" s="20">
        <f t="shared" si="16"/>
        <v>0</v>
      </c>
      <c r="S128" s="3"/>
      <c r="T128" s="3">
        <v>139139.24</v>
      </c>
      <c r="U128" s="3"/>
      <c r="V128" s="20">
        <f t="shared" si="17"/>
        <v>1.4180100307768758E-2</v>
      </c>
      <c r="W128" s="3"/>
      <c r="X128" s="3">
        <f t="shared" si="18"/>
        <v>-139139.24</v>
      </c>
      <c r="Y128" s="3"/>
      <c r="Z128" s="20">
        <f t="shared" si="19"/>
        <v>-1</v>
      </c>
    </row>
    <row r="129" spans="1:26" s="69" customFormat="1" ht="15" hidden="1" customHeight="1" outlineLevel="1" x14ac:dyDescent="0.25">
      <c r="A129" s="42"/>
      <c r="B129" s="12" t="str">
        <f>CONCATENATE("          ","5053"," - ","PURCHASES @ COST-FOOD")</f>
        <v xml:space="preserve">          5053 - PURCHASES @ COST-FOOD</v>
      </c>
      <c r="C129" s="12"/>
      <c r="D129" s="3">
        <v>223523.32</v>
      </c>
      <c r="E129" s="3"/>
      <c r="F129" s="20">
        <f t="shared" si="12"/>
        <v>0.10138143855893034</v>
      </c>
      <c r="G129" s="3"/>
      <c r="H129" s="3">
        <v>28040.93</v>
      </c>
      <c r="I129" s="3"/>
      <c r="J129" s="20">
        <f t="shared" si="13"/>
        <v>3.4684229795488956E-2</v>
      </c>
      <c r="K129" s="3"/>
      <c r="L129" s="3">
        <f t="shared" si="14"/>
        <v>195482.39</v>
      </c>
      <c r="M129" s="3"/>
      <c r="N129" s="20">
        <f t="shared" si="15"/>
        <v>6.9713233476921062</v>
      </c>
      <c r="O129" s="12"/>
      <c r="P129" s="3">
        <v>3329993.14</v>
      </c>
      <c r="Q129" s="3"/>
      <c r="R129" s="20">
        <f t="shared" si="16"/>
        <v>0.13837751693056979</v>
      </c>
      <c r="S129" s="3"/>
      <c r="T129" s="3">
        <v>453376.95</v>
      </c>
      <c r="U129" s="3"/>
      <c r="V129" s="20">
        <f t="shared" si="17"/>
        <v>4.6205014690537775E-2</v>
      </c>
      <c r="W129" s="3"/>
      <c r="X129" s="3">
        <f t="shared" si="18"/>
        <v>2876616.19</v>
      </c>
      <c r="Y129" s="3"/>
      <c r="Z129" s="20">
        <f t="shared" si="19"/>
        <v>6.3448664295791835</v>
      </c>
    </row>
    <row r="130" spans="1:26" s="69" customFormat="1" ht="15" hidden="1" customHeight="1" outlineLevel="1" x14ac:dyDescent="0.25">
      <c r="A130" s="42"/>
      <c r="B130" s="12" t="str">
        <f>CONCATENATE("          ","5059"," - ","PURCHASES @ COST-FOOD")</f>
        <v xml:space="preserve">          5059 - PURCHASES @ COST-FOOD</v>
      </c>
      <c r="C130" s="12"/>
      <c r="D130" s="3">
        <v>61237.17</v>
      </c>
      <c r="E130" s="3"/>
      <c r="F130" s="20">
        <f t="shared" si="12"/>
        <v>2.7774786039674839E-2</v>
      </c>
      <c r="G130" s="3"/>
      <c r="H130" s="3">
        <v>1355</v>
      </c>
      <c r="I130" s="3"/>
      <c r="J130" s="20">
        <f t="shared" si="13"/>
        <v>1.6760189969764745E-3</v>
      </c>
      <c r="K130" s="3"/>
      <c r="L130" s="3">
        <f t="shared" si="14"/>
        <v>59882.17</v>
      </c>
      <c r="M130" s="3"/>
      <c r="N130" s="20">
        <f t="shared" si="15"/>
        <v>44.193483394833947</v>
      </c>
      <c r="O130" s="12"/>
      <c r="P130" s="3">
        <v>254735.29</v>
      </c>
      <c r="Q130" s="3"/>
      <c r="R130" s="20">
        <f t="shared" si="16"/>
        <v>1.0585498354746942E-2</v>
      </c>
      <c r="S130" s="3"/>
      <c r="T130" s="3">
        <v>33849.300000000003</v>
      </c>
      <c r="U130" s="3"/>
      <c r="V130" s="20">
        <f t="shared" si="17"/>
        <v>3.4496844265338596E-3</v>
      </c>
      <c r="W130" s="3"/>
      <c r="X130" s="3">
        <f t="shared" si="18"/>
        <v>220885.99</v>
      </c>
      <c r="Y130" s="3"/>
      <c r="Z130" s="20">
        <f t="shared" si="19"/>
        <v>6.5255703958427489</v>
      </c>
    </row>
    <row r="131" spans="1:26" s="69" customFormat="1" ht="15" hidden="1" customHeight="1" outlineLevel="1" x14ac:dyDescent="0.25">
      <c r="A131" s="42"/>
      <c r="B131" s="12" t="str">
        <f>CONCATENATE("          ","5081"," - ","PURCHASES @ COST-ELECTRONICS")</f>
        <v xml:space="preserve">          5081 - PURCHASES @ COST-ELECTRONICS</v>
      </c>
      <c r="C131" s="12"/>
      <c r="D131" s="3"/>
      <c r="E131" s="3"/>
      <c r="F131" s="20">
        <f t="shared" si="12"/>
        <v>0</v>
      </c>
      <c r="G131" s="3"/>
      <c r="H131" s="3">
        <v>-28.91</v>
      </c>
      <c r="I131" s="3"/>
      <c r="J131" s="20">
        <f t="shared" si="13"/>
        <v>-3.5759194983461168E-5</v>
      </c>
      <c r="K131" s="3"/>
      <c r="L131" s="3">
        <f t="shared" si="14"/>
        <v>28.91</v>
      </c>
      <c r="M131" s="3"/>
      <c r="N131" s="20">
        <f t="shared" si="15"/>
        <v>-1</v>
      </c>
      <c r="O131" s="12"/>
      <c r="P131" s="3">
        <v>0</v>
      </c>
      <c r="Q131" s="3"/>
      <c r="R131" s="20">
        <f t="shared" si="16"/>
        <v>0</v>
      </c>
      <c r="S131" s="3"/>
      <c r="T131" s="3">
        <v>32419.46</v>
      </c>
      <c r="U131" s="3"/>
      <c r="V131" s="20">
        <f t="shared" si="17"/>
        <v>3.3039651123845217E-3</v>
      </c>
      <c r="W131" s="3"/>
      <c r="X131" s="3">
        <f t="shared" si="18"/>
        <v>-32419.46</v>
      </c>
      <c r="Y131" s="3"/>
      <c r="Z131" s="20">
        <f t="shared" si="19"/>
        <v>-1</v>
      </c>
    </row>
    <row r="132" spans="1:26" s="69" customFormat="1" ht="15" hidden="1" customHeight="1" outlineLevel="1" x14ac:dyDescent="0.25">
      <c r="A132" s="42"/>
      <c r="B132" s="12" t="str">
        <f>CONCATENATE("          ","5082"," - ","PURCHASES @ COST-COMPUTER HARD")</f>
        <v xml:space="preserve">          5082 - PURCHASES @ COST-COMPUTER HARD</v>
      </c>
      <c r="C132" s="12"/>
      <c r="D132" s="3">
        <v>-10189.709999999999</v>
      </c>
      <c r="E132" s="3"/>
      <c r="F132" s="20">
        <f t="shared" si="12"/>
        <v>-4.6216540551487781E-3</v>
      </c>
      <c r="G132" s="3"/>
      <c r="H132" s="3">
        <v>129194.07</v>
      </c>
      <c r="I132" s="3"/>
      <c r="J132" s="20">
        <f t="shared" si="13"/>
        <v>0.15980200414517229</v>
      </c>
      <c r="K132" s="3"/>
      <c r="L132" s="3">
        <f t="shared" si="14"/>
        <v>-139383.78</v>
      </c>
      <c r="M132" s="3"/>
      <c r="N132" s="20">
        <f t="shared" si="15"/>
        <v>-1.0788713444819873</v>
      </c>
      <c r="O132" s="12"/>
      <c r="P132" s="3">
        <v>-120382.97</v>
      </c>
      <c r="Q132" s="3"/>
      <c r="R132" s="20">
        <f t="shared" si="16"/>
        <v>-5.0025017376844434E-3</v>
      </c>
      <c r="S132" s="3"/>
      <c r="T132" s="3">
        <v>1802534.87</v>
      </c>
      <c r="U132" s="3"/>
      <c r="V132" s="20">
        <f t="shared" si="17"/>
        <v>0.18370177431507401</v>
      </c>
      <c r="W132" s="3"/>
      <c r="X132" s="3">
        <f t="shared" si="18"/>
        <v>-1922917.84</v>
      </c>
      <c r="Y132" s="3"/>
      <c r="Z132" s="20">
        <f t="shared" si="19"/>
        <v>-1.0667853765292208</v>
      </c>
    </row>
    <row r="133" spans="1:26" s="69" customFormat="1" ht="15" hidden="1" customHeight="1" outlineLevel="1" x14ac:dyDescent="0.25">
      <c r="A133" s="42"/>
      <c r="B133" s="12" t="str">
        <f>CONCATENATE("          ","5083"," - ","PURCHASES @ COST-COMPUTER EQUI")</f>
        <v xml:space="preserve">          5083 - PURCHASES @ COST-COMPUTER EQUI</v>
      </c>
      <c r="C133" s="12"/>
      <c r="D133" s="3"/>
      <c r="E133" s="3"/>
      <c r="F133" s="20">
        <f t="shared" si="12"/>
        <v>0</v>
      </c>
      <c r="G133" s="3"/>
      <c r="H133" s="3">
        <v>7514.45</v>
      </c>
      <c r="I133" s="3"/>
      <c r="J133" s="20">
        <f t="shared" si="13"/>
        <v>9.2947313297637411E-3</v>
      </c>
      <c r="K133" s="3"/>
      <c r="L133" s="3">
        <f t="shared" si="14"/>
        <v>-7514.45</v>
      </c>
      <c r="M133" s="3"/>
      <c r="N133" s="20">
        <f t="shared" si="15"/>
        <v>-1</v>
      </c>
      <c r="O133" s="12"/>
      <c r="P133" s="3">
        <v>0</v>
      </c>
      <c r="Q133" s="3"/>
      <c r="R133" s="20">
        <f t="shared" si="16"/>
        <v>0</v>
      </c>
      <c r="S133" s="3"/>
      <c r="T133" s="3">
        <v>127029.94</v>
      </c>
      <c r="U133" s="3"/>
      <c r="V133" s="20">
        <f t="shared" si="17"/>
        <v>1.2946004960856815E-2</v>
      </c>
      <c r="W133" s="3"/>
      <c r="X133" s="3">
        <f t="shared" si="18"/>
        <v>-127029.94</v>
      </c>
      <c r="Y133" s="3"/>
      <c r="Z133" s="20">
        <f t="shared" si="19"/>
        <v>-1</v>
      </c>
    </row>
    <row r="134" spans="1:26" s="69" customFormat="1" ht="15" hidden="1" customHeight="1" outlineLevel="1" x14ac:dyDescent="0.25">
      <c r="A134" s="42"/>
      <c r="B134" s="12" t="str">
        <f>CONCATENATE("          ","5085"," - ","PURCHASES @ COST-SOFTWARE")</f>
        <v xml:space="preserve">          5085 - PURCHASES @ COST-SOFTWARE</v>
      </c>
      <c r="C134" s="12"/>
      <c r="D134" s="3"/>
      <c r="E134" s="3"/>
      <c r="F134" s="20">
        <f t="shared" si="12"/>
        <v>0</v>
      </c>
      <c r="G134" s="3"/>
      <c r="H134" s="3">
        <v>8375.49</v>
      </c>
      <c r="I134" s="3"/>
      <c r="J134" s="20">
        <f t="shared" si="13"/>
        <v>1.0359764095192984E-2</v>
      </c>
      <c r="K134" s="3"/>
      <c r="L134" s="3">
        <f t="shared" si="14"/>
        <v>-8375.49</v>
      </c>
      <c r="M134" s="3"/>
      <c r="N134" s="20">
        <f t="shared" si="15"/>
        <v>-1</v>
      </c>
      <c r="O134" s="12"/>
      <c r="P134" s="3">
        <v>0</v>
      </c>
      <c r="Q134" s="3"/>
      <c r="R134" s="20">
        <f t="shared" si="16"/>
        <v>0</v>
      </c>
      <c r="S134" s="3"/>
      <c r="T134" s="3">
        <v>46286.37</v>
      </c>
      <c r="U134" s="3"/>
      <c r="V134" s="20">
        <f t="shared" si="17"/>
        <v>4.7171838043854391E-3</v>
      </c>
      <c r="W134" s="3"/>
      <c r="X134" s="3">
        <f t="shared" si="18"/>
        <v>-46286.37</v>
      </c>
      <c r="Y134" s="3"/>
      <c r="Z134" s="20">
        <f t="shared" si="19"/>
        <v>-1</v>
      </c>
    </row>
    <row r="135" spans="1:26" s="69" customFormat="1" ht="15" hidden="1" customHeight="1" outlineLevel="1" x14ac:dyDescent="0.25">
      <c r="A135" s="42"/>
      <c r="B135" s="12" t="str">
        <f>CONCATENATE("          ","5086"," - ","PURCHASES @ COST-COMPUTER SUPP")</f>
        <v xml:space="preserve">          5086 - PURCHASES @ COST-COMPUTER SUPP</v>
      </c>
      <c r="C135" s="12"/>
      <c r="D135" s="3"/>
      <c r="E135" s="3"/>
      <c r="F135" s="20">
        <f t="shared" si="12"/>
        <v>0</v>
      </c>
      <c r="G135" s="3"/>
      <c r="H135" s="3">
        <v>83.62</v>
      </c>
      <c r="I135" s="3"/>
      <c r="J135" s="20">
        <f t="shared" si="13"/>
        <v>1.0343078120086554E-4</v>
      </c>
      <c r="K135" s="3"/>
      <c r="L135" s="3">
        <f t="shared" si="14"/>
        <v>-83.62</v>
      </c>
      <c r="M135" s="3"/>
      <c r="N135" s="20">
        <f t="shared" si="15"/>
        <v>-1</v>
      </c>
      <c r="O135" s="12"/>
      <c r="P135" s="3">
        <v>0</v>
      </c>
      <c r="Q135" s="3"/>
      <c r="R135" s="20">
        <f t="shared" si="16"/>
        <v>0</v>
      </c>
      <c r="S135" s="3"/>
      <c r="T135" s="3">
        <v>23776.22</v>
      </c>
      <c r="U135" s="3"/>
      <c r="V135" s="20">
        <f t="shared" si="17"/>
        <v>2.4231064115311949E-3</v>
      </c>
      <c r="W135" s="3"/>
      <c r="X135" s="3">
        <f t="shared" si="18"/>
        <v>-23776.22</v>
      </c>
      <c r="Y135" s="3"/>
      <c r="Z135" s="20">
        <f t="shared" si="19"/>
        <v>-1</v>
      </c>
    </row>
    <row r="136" spans="1:26" s="69" customFormat="1" ht="15" hidden="1" customHeight="1" outlineLevel="1" x14ac:dyDescent="0.25">
      <c r="A136" s="42"/>
      <c r="B136" s="12" t="str">
        <f>CONCATENATE("          ","5092"," - ","PURCHASES @ COST-GRAD MERCH")</f>
        <v xml:space="preserve">          5092 - PURCHASES @ COST-GRAD MERCH</v>
      </c>
      <c r="C136" s="12"/>
      <c r="D136" s="3"/>
      <c r="E136" s="3"/>
      <c r="F136" s="20">
        <f t="shared" si="12"/>
        <v>0</v>
      </c>
      <c r="G136" s="3"/>
      <c r="H136" s="3"/>
      <c r="I136" s="3"/>
      <c r="J136" s="20">
        <f t="shared" si="13"/>
        <v>0</v>
      </c>
      <c r="K136" s="3"/>
      <c r="L136" s="3">
        <f t="shared" si="14"/>
        <v>0</v>
      </c>
      <c r="M136" s="3"/>
      <c r="N136" s="20">
        <f t="shared" si="15"/>
        <v>0</v>
      </c>
      <c r="O136" s="12"/>
      <c r="P136" s="3"/>
      <c r="Q136" s="3"/>
      <c r="R136" s="20">
        <f t="shared" si="16"/>
        <v>0</v>
      </c>
      <c r="S136" s="3"/>
      <c r="T136" s="3">
        <v>0</v>
      </c>
      <c r="U136" s="3"/>
      <c r="V136" s="20">
        <f t="shared" si="17"/>
        <v>0</v>
      </c>
      <c r="W136" s="3"/>
      <c r="X136" s="3">
        <f t="shared" si="18"/>
        <v>0</v>
      </c>
      <c r="Y136" s="3"/>
      <c r="Z136" s="20">
        <f t="shared" si="19"/>
        <v>0</v>
      </c>
    </row>
    <row r="137" spans="1:26" s="69" customFormat="1" ht="15" hidden="1" customHeight="1" outlineLevel="1" x14ac:dyDescent="0.25">
      <c r="A137" s="42"/>
      <c r="B137" s="12" t="str">
        <f>CONCATENATE("          ","5200"," - ","PURCHASES OFFSET")</f>
        <v xml:space="preserve">          5200 - PURCHASES OFFSET</v>
      </c>
      <c r="C137" s="12"/>
      <c r="D137" s="3">
        <v>-829131.5</v>
      </c>
      <c r="E137" s="3"/>
      <c r="F137" s="20">
        <f t="shared" si="12"/>
        <v>-0.37606163072615306</v>
      </c>
      <c r="G137" s="3"/>
      <c r="H137" s="3">
        <v>-307740.75</v>
      </c>
      <c r="I137" s="3"/>
      <c r="J137" s="20">
        <f t="shared" si="13"/>
        <v>-0.38064896172973284</v>
      </c>
      <c r="K137" s="3"/>
      <c r="L137" s="3">
        <f t="shared" si="14"/>
        <v>-521390.75</v>
      </c>
      <c r="M137" s="3"/>
      <c r="N137" s="20">
        <f t="shared" si="15"/>
        <v>1.6942531985120592</v>
      </c>
      <c r="O137" s="12"/>
      <c r="P137" s="3">
        <v>-6155458.2800000003</v>
      </c>
      <c r="Q137" s="3"/>
      <c r="R137" s="20">
        <f t="shared" si="16"/>
        <v>-0.25578942554701961</v>
      </c>
      <c r="S137" s="3"/>
      <c r="T137" s="3">
        <v>-3876506.96</v>
      </c>
      <c r="U137" s="3"/>
      <c r="V137" s="20">
        <f t="shared" si="17"/>
        <v>-0.39506653577066925</v>
      </c>
      <c r="W137" s="3"/>
      <c r="X137" s="3">
        <f t="shared" si="18"/>
        <v>-2278951.3200000003</v>
      </c>
      <c r="Y137" s="3"/>
      <c r="Z137" s="20">
        <f t="shared" si="19"/>
        <v>0.58788784426689134</v>
      </c>
    </row>
    <row r="138" spans="1:26" s="69" customFormat="1" ht="15" hidden="1" customHeight="1" outlineLevel="1" x14ac:dyDescent="0.25">
      <c r="A138" s="42"/>
      <c r="B138" s="12" t="str">
        <f>CONCATENATE("          ","5300"," - ","COG$ OFFSET")</f>
        <v xml:space="preserve">          5300 - COG$ OFFSET</v>
      </c>
      <c r="C138" s="12"/>
      <c r="D138" s="3">
        <v>722710.87</v>
      </c>
      <c r="E138" s="3"/>
      <c r="F138" s="20">
        <f t="shared" si="12"/>
        <v>0.3277933938292259</v>
      </c>
      <c r="G138" s="3"/>
      <c r="H138" s="3">
        <v>297791</v>
      </c>
      <c r="I138" s="3"/>
      <c r="J138" s="20">
        <f t="shared" si="13"/>
        <v>0.36834197278865044</v>
      </c>
      <c r="K138" s="3"/>
      <c r="L138" s="3">
        <f t="shared" si="14"/>
        <v>424919.87</v>
      </c>
      <c r="M138" s="3"/>
      <c r="N138" s="20">
        <f t="shared" si="15"/>
        <v>1.4269063537850371</v>
      </c>
      <c r="O138" s="12"/>
      <c r="P138" s="3">
        <v>6001519.6900000004</v>
      </c>
      <c r="Q138" s="3"/>
      <c r="R138" s="20">
        <f t="shared" si="16"/>
        <v>0.2493925235269773</v>
      </c>
      <c r="S138" s="3"/>
      <c r="T138" s="3">
        <v>4928176</v>
      </c>
      <c r="U138" s="3"/>
      <c r="V138" s="20">
        <f t="shared" si="17"/>
        <v>0.50224530487832619</v>
      </c>
      <c r="W138" s="3"/>
      <c r="X138" s="3">
        <f t="shared" si="18"/>
        <v>1073343.6900000004</v>
      </c>
      <c r="Y138" s="3"/>
      <c r="Z138" s="20">
        <f t="shared" si="19"/>
        <v>0.21779735342244277</v>
      </c>
    </row>
    <row r="139" spans="1:26" s="69" customFormat="1" ht="15" hidden="1" customHeight="1" outlineLevel="1" x14ac:dyDescent="0.25">
      <c r="A139" s="42"/>
      <c r="B139" s="12" t="str">
        <f>CONCATENATE("          ","5500"," - ","FREIGHT-IN")</f>
        <v xml:space="preserve">          5500 - FREIGHT-IN</v>
      </c>
      <c r="C139" s="12"/>
      <c r="D139" s="3">
        <v>11900.97</v>
      </c>
      <c r="E139" s="3"/>
      <c r="F139" s="20">
        <f t="shared" si="12"/>
        <v>5.3978146837058124E-3</v>
      </c>
      <c r="G139" s="3"/>
      <c r="H139" s="3">
        <v>0</v>
      </c>
      <c r="I139" s="3"/>
      <c r="J139" s="20">
        <f t="shared" si="13"/>
        <v>0</v>
      </c>
      <c r="K139" s="3"/>
      <c r="L139" s="3">
        <f t="shared" si="14"/>
        <v>11900.97</v>
      </c>
      <c r="M139" s="3"/>
      <c r="N139" s="20">
        <f t="shared" si="15"/>
        <v>0</v>
      </c>
      <c r="O139" s="12"/>
      <c r="P139" s="3">
        <v>195378.28</v>
      </c>
      <c r="Q139" s="3"/>
      <c r="R139" s="20">
        <f t="shared" si="16"/>
        <v>8.1189240073226109E-3</v>
      </c>
      <c r="S139" s="3"/>
      <c r="T139" s="3">
        <v>0</v>
      </c>
      <c r="U139" s="3"/>
      <c r="V139" s="20">
        <f t="shared" si="17"/>
        <v>0</v>
      </c>
      <c r="W139" s="3"/>
      <c r="X139" s="3">
        <f t="shared" si="18"/>
        <v>195378.28</v>
      </c>
      <c r="Y139" s="3"/>
      <c r="Z139" s="20">
        <f t="shared" si="19"/>
        <v>0</v>
      </c>
    </row>
    <row r="140" spans="1:26" s="69" customFormat="1" ht="15" hidden="1" customHeight="1" outlineLevel="1" x14ac:dyDescent="0.25">
      <c r="A140" s="42"/>
      <c r="B140" s="12" t="str">
        <f>CONCATENATE("          ","5501"," - ","FREIGHT-IN-NEW TEXT")</f>
        <v xml:space="preserve">          5501 - FREIGHT-IN-NEW TEXT</v>
      </c>
      <c r="C140" s="12"/>
      <c r="D140" s="3"/>
      <c r="E140" s="3"/>
      <c r="F140" s="20">
        <f t="shared" ref="F140:F160" si="20">IF(D$12=0,0,D140/D$12)</f>
        <v>0</v>
      </c>
      <c r="G140" s="3"/>
      <c r="H140" s="3">
        <v>1522.41</v>
      </c>
      <c r="I140" s="3"/>
      <c r="J140" s="20">
        <f t="shared" ref="J140:J160" si="21">IF(H$12=0,0,H140/H$12)</f>
        <v>1.8830908348243208E-3</v>
      </c>
      <c r="K140" s="3"/>
      <c r="L140" s="3">
        <f t="shared" ref="L140:L160" si="22">+D140-H140</f>
        <v>-1522.41</v>
      </c>
      <c r="M140" s="3"/>
      <c r="N140" s="20">
        <f t="shared" ref="N140:N160" si="23">IF(H140=0,0,L140/H140)</f>
        <v>-1</v>
      </c>
      <c r="O140" s="12"/>
      <c r="P140" s="3">
        <v>0</v>
      </c>
      <c r="Q140" s="3"/>
      <c r="R140" s="20">
        <f t="shared" ref="R140:R160" si="24">IF(P$12=0,0,P140/P$12)</f>
        <v>0</v>
      </c>
      <c r="S140" s="3"/>
      <c r="T140" s="3">
        <v>51836.14</v>
      </c>
      <c r="U140" s="3"/>
      <c r="V140" s="20">
        <f t="shared" ref="V140:V160" si="25">IF(T$12=0,0,T140/T$12)</f>
        <v>5.2827776317273577E-3</v>
      </c>
      <c r="W140" s="3"/>
      <c r="X140" s="3">
        <f t="shared" ref="X140:X160" si="26">+P140-T140</f>
        <v>-51836.14</v>
      </c>
      <c r="Y140" s="3"/>
      <c r="Z140" s="20">
        <f t="shared" ref="Z140:Z160" si="27">IF(T140=0,0,X140/T140)</f>
        <v>-1</v>
      </c>
    </row>
    <row r="141" spans="1:26" s="69" customFormat="1" ht="15" hidden="1" customHeight="1" outlineLevel="1" x14ac:dyDescent="0.25">
      <c r="A141" s="42"/>
      <c r="B141" s="12" t="str">
        <f>CONCATENATE("          ","5502"," - ","FREIGHT-IN-USED TEXT")</f>
        <v xml:space="preserve">          5502 - FREIGHT-IN-USED TEXT</v>
      </c>
      <c r="C141" s="12"/>
      <c r="D141" s="3"/>
      <c r="E141" s="3"/>
      <c r="F141" s="20">
        <f t="shared" si="20"/>
        <v>0</v>
      </c>
      <c r="G141" s="3"/>
      <c r="H141" s="3">
        <v>133.97</v>
      </c>
      <c r="I141" s="3"/>
      <c r="J141" s="20">
        <f t="shared" si="21"/>
        <v>1.657094206826113E-4</v>
      </c>
      <c r="K141" s="3"/>
      <c r="L141" s="3">
        <f t="shared" si="22"/>
        <v>-133.97</v>
      </c>
      <c r="M141" s="3"/>
      <c r="N141" s="20">
        <f t="shared" si="23"/>
        <v>-1</v>
      </c>
      <c r="O141" s="12"/>
      <c r="P141" s="3">
        <v>0</v>
      </c>
      <c r="Q141" s="3"/>
      <c r="R141" s="20">
        <f t="shared" si="24"/>
        <v>0</v>
      </c>
      <c r="S141" s="3"/>
      <c r="T141" s="3">
        <v>17992.87</v>
      </c>
      <c r="U141" s="3"/>
      <c r="V141" s="20">
        <f t="shared" si="25"/>
        <v>1.833707740710983E-3</v>
      </c>
      <c r="W141" s="3"/>
      <c r="X141" s="3">
        <f t="shared" si="26"/>
        <v>-17992.87</v>
      </c>
      <c r="Y141" s="3"/>
      <c r="Z141" s="20">
        <f t="shared" si="27"/>
        <v>-1</v>
      </c>
    </row>
    <row r="142" spans="1:26" s="69" customFormat="1" ht="15" hidden="1" customHeight="1" outlineLevel="1" x14ac:dyDescent="0.25">
      <c r="A142" s="42"/>
      <c r="B142" s="12" t="str">
        <f>CONCATENATE("          ","5504"," - ","FREIGHT-IN-DIGITAL TEXT")</f>
        <v xml:space="preserve">          5504 - FREIGHT-IN-DIGITAL TEXT</v>
      </c>
      <c r="C142" s="12"/>
      <c r="D142" s="3"/>
      <c r="E142" s="3"/>
      <c r="F142" s="20">
        <f t="shared" si="20"/>
        <v>0</v>
      </c>
      <c r="G142" s="3"/>
      <c r="H142" s="3"/>
      <c r="I142" s="3"/>
      <c r="J142" s="20">
        <f t="shared" si="21"/>
        <v>0</v>
      </c>
      <c r="K142" s="3"/>
      <c r="L142" s="3">
        <f t="shared" si="22"/>
        <v>0</v>
      </c>
      <c r="M142" s="3"/>
      <c r="N142" s="20">
        <f t="shared" si="23"/>
        <v>0</v>
      </c>
      <c r="O142" s="12"/>
      <c r="P142" s="3"/>
      <c r="Q142" s="3"/>
      <c r="R142" s="20">
        <f t="shared" si="24"/>
        <v>0</v>
      </c>
      <c r="S142" s="3"/>
      <c r="T142" s="3">
        <v>28.92</v>
      </c>
      <c r="U142" s="3"/>
      <c r="V142" s="20">
        <f t="shared" si="25"/>
        <v>2.9473245714197701E-6</v>
      </c>
      <c r="W142" s="3"/>
      <c r="X142" s="3">
        <f t="shared" si="26"/>
        <v>-28.92</v>
      </c>
      <c r="Y142" s="3"/>
      <c r="Z142" s="20">
        <f t="shared" si="27"/>
        <v>-1</v>
      </c>
    </row>
    <row r="143" spans="1:26" s="69" customFormat="1" ht="15" hidden="1" customHeight="1" outlineLevel="1" x14ac:dyDescent="0.25">
      <c r="A143" s="42"/>
      <c r="B143" s="12" t="str">
        <f>CONCATENATE("          ","5513"," - ","FREIGHT-IN-TRADE BOOKS")</f>
        <v xml:space="preserve">          5513 - FREIGHT-IN-TRADE BOOKS</v>
      </c>
      <c r="C143" s="12"/>
      <c r="D143" s="3"/>
      <c r="E143" s="3"/>
      <c r="F143" s="20">
        <f t="shared" si="20"/>
        <v>0</v>
      </c>
      <c r="G143" s="3"/>
      <c r="H143" s="3"/>
      <c r="I143" s="3"/>
      <c r="J143" s="20">
        <f t="shared" si="21"/>
        <v>0</v>
      </c>
      <c r="K143" s="3"/>
      <c r="L143" s="3">
        <f t="shared" si="22"/>
        <v>0</v>
      </c>
      <c r="M143" s="3"/>
      <c r="N143" s="20">
        <f t="shared" si="23"/>
        <v>0</v>
      </c>
      <c r="O143" s="12"/>
      <c r="P143" s="3"/>
      <c r="Q143" s="3"/>
      <c r="R143" s="20">
        <f t="shared" si="24"/>
        <v>0</v>
      </c>
      <c r="S143" s="3"/>
      <c r="T143" s="3">
        <v>85.28</v>
      </c>
      <c r="U143" s="3"/>
      <c r="V143" s="20">
        <f t="shared" si="25"/>
        <v>8.6911424429695005E-6</v>
      </c>
      <c r="W143" s="3"/>
      <c r="X143" s="3">
        <f t="shared" si="26"/>
        <v>-85.28</v>
      </c>
      <c r="Y143" s="3"/>
      <c r="Z143" s="20">
        <f t="shared" si="27"/>
        <v>-1</v>
      </c>
    </row>
    <row r="144" spans="1:26" s="69" customFormat="1" ht="15" hidden="1" customHeight="1" outlineLevel="1" x14ac:dyDescent="0.25">
      <c r="A144" s="42"/>
      <c r="B144" s="12" t="str">
        <f>CONCATENATE("          ","5518"," - ","FREIGHT-IN-STUDY GUIDES")</f>
        <v xml:space="preserve">          5518 - FREIGHT-IN-STUDY GUIDES</v>
      </c>
      <c r="C144" s="12"/>
      <c r="D144" s="3"/>
      <c r="E144" s="3"/>
      <c r="F144" s="20">
        <f t="shared" si="20"/>
        <v>0</v>
      </c>
      <c r="G144" s="3"/>
      <c r="H144" s="3"/>
      <c r="I144" s="3"/>
      <c r="J144" s="20">
        <f t="shared" si="21"/>
        <v>0</v>
      </c>
      <c r="K144" s="3"/>
      <c r="L144" s="3">
        <f t="shared" si="22"/>
        <v>0</v>
      </c>
      <c r="M144" s="3"/>
      <c r="N144" s="20">
        <f t="shared" si="23"/>
        <v>0</v>
      </c>
      <c r="O144" s="12"/>
      <c r="P144" s="3">
        <v>0</v>
      </c>
      <c r="Q144" s="3"/>
      <c r="R144" s="20">
        <f t="shared" si="24"/>
        <v>0</v>
      </c>
      <c r="S144" s="3"/>
      <c r="T144" s="3"/>
      <c r="U144" s="3"/>
      <c r="V144" s="20">
        <f t="shared" si="25"/>
        <v>0</v>
      </c>
      <c r="W144" s="3"/>
      <c r="X144" s="3">
        <f t="shared" si="26"/>
        <v>0</v>
      </c>
      <c r="Y144" s="3"/>
      <c r="Z144" s="20">
        <f t="shared" si="27"/>
        <v>0</v>
      </c>
    </row>
    <row r="145" spans="1:26" s="69" customFormat="1" ht="15" hidden="1" customHeight="1" outlineLevel="1" x14ac:dyDescent="0.25">
      <c r="A145" s="42"/>
      <c r="B145" s="12" t="str">
        <f>CONCATENATE("          ","5525"," - ","FREIGHT-IN-TEST FORMS")</f>
        <v xml:space="preserve">          5525 - FREIGHT-IN-TEST FORMS</v>
      </c>
      <c r="C145" s="12"/>
      <c r="D145" s="3"/>
      <c r="E145" s="3"/>
      <c r="F145" s="20">
        <f t="shared" si="20"/>
        <v>0</v>
      </c>
      <c r="G145" s="3"/>
      <c r="H145" s="3"/>
      <c r="I145" s="3"/>
      <c r="J145" s="20">
        <f t="shared" si="21"/>
        <v>0</v>
      </c>
      <c r="K145" s="3"/>
      <c r="L145" s="3">
        <f t="shared" si="22"/>
        <v>0</v>
      </c>
      <c r="M145" s="3"/>
      <c r="N145" s="20">
        <f t="shared" si="23"/>
        <v>0</v>
      </c>
      <c r="O145" s="12"/>
      <c r="P145" s="3"/>
      <c r="Q145" s="3"/>
      <c r="R145" s="20">
        <f t="shared" si="24"/>
        <v>0</v>
      </c>
      <c r="S145" s="3"/>
      <c r="T145" s="3">
        <v>48.14</v>
      </c>
      <c r="U145" s="3"/>
      <c r="V145" s="20">
        <f t="shared" si="25"/>
        <v>4.9060928377644435E-6</v>
      </c>
      <c r="W145" s="3"/>
      <c r="X145" s="3">
        <f t="shared" si="26"/>
        <v>-48.14</v>
      </c>
      <c r="Y145" s="3"/>
      <c r="Z145" s="20">
        <f t="shared" si="27"/>
        <v>-1</v>
      </c>
    </row>
    <row r="146" spans="1:26" s="69" customFormat="1" ht="15" hidden="1" customHeight="1" outlineLevel="1" x14ac:dyDescent="0.25">
      <c r="A146" s="42"/>
      <c r="B146" s="12" t="str">
        <f>CONCATENATE("          ","5526"," - ","FREIGHT-IN-WRITING INSTRUMENTS")</f>
        <v xml:space="preserve">          5526 - FREIGHT-IN-WRITING INSTRUMENTS</v>
      </c>
      <c r="C146" s="12"/>
      <c r="D146" s="3"/>
      <c r="E146" s="3"/>
      <c r="F146" s="20">
        <f t="shared" si="20"/>
        <v>0</v>
      </c>
      <c r="G146" s="3"/>
      <c r="H146" s="3"/>
      <c r="I146" s="3"/>
      <c r="J146" s="20">
        <f t="shared" si="21"/>
        <v>0</v>
      </c>
      <c r="K146" s="3"/>
      <c r="L146" s="3">
        <f t="shared" si="22"/>
        <v>0</v>
      </c>
      <c r="M146" s="3"/>
      <c r="N146" s="20">
        <f t="shared" si="23"/>
        <v>0</v>
      </c>
      <c r="O146" s="12"/>
      <c r="P146" s="3"/>
      <c r="Q146" s="3"/>
      <c r="R146" s="20">
        <f t="shared" si="24"/>
        <v>0</v>
      </c>
      <c r="S146" s="3"/>
      <c r="T146" s="3">
        <v>0</v>
      </c>
      <c r="U146" s="3"/>
      <c r="V146" s="20">
        <f t="shared" si="25"/>
        <v>0</v>
      </c>
      <c r="W146" s="3"/>
      <c r="X146" s="3">
        <f t="shared" si="26"/>
        <v>0</v>
      </c>
      <c r="Y146" s="3"/>
      <c r="Z146" s="20">
        <f t="shared" si="27"/>
        <v>0</v>
      </c>
    </row>
    <row r="147" spans="1:26" s="69" customFormat="1" ht="15" hidden="1" customHeight="1" outlineLevel="1" x14ac:dyDescent="0.25">
      <c r="A147" s="42"/>
      <c r="B147" s="12" t="str">
        <f>CONCATENATE("          ","5527"," - ","FREIGHT-IN-SCHOOL SUPPLIES")</f>
        <v xml:space="preserve">          5527 - FREIGHT-IN-SCHOOL SUPPLIES</v>
      </c>
      <c r="C147" s="12"/>
      <c r="D147" s="3"/>
      <c r="E147" s="3"/>
      <c r="F147" s="20">
        <f t="shared" si="20"/>
        <v>0</v>
      </c>
      <c r="G147" s="3"/>
      <c r="H147" s="3"/>
      <c r="I147" s="3"/>
      <c r="J147" s="20">
        <f t="shared" si="21"/>
        <v>0</v>
      </c>
      <c r="K147" s="3"/>
      <c r="L147" s="3">
        <f t="shared" si="22"/>
        <v>0</v>
      </c>
      <c r="M147" s="3"/>
      <c r="N147" s="20">
        <f t="shared" si="23"/>
        <v>0</v>
      </c>
      <c r="O147" s="12"/>
      <c r="P147" s="3">
        <v>0</v>
      </c>
      <c r="Q147" s="3"/>
      <c r="R147" s="20">
        <f t="shared" si="24"/>
        <v>0</v>
      </c>
      <c r="S147" s="3"/>
      <c r="T147" s="3">
        <v>218.62</v>
      </c>
      <c r="U147" s="3"/>
      <c r="V147" s="20">
        <f t="shared" si="25"/>
        <v>2.2280224682012104E-5</v>
      </c>
      <c r="W147" s="3"/>
      <c r="X147" s="3">
        <f t="shared" si="26"/>
        <v>-218.62</v>
      </c>
      <c r="Y147" s="3"/>
      <c r="Z147" s="20">
        <f t="shared" si="27"/>
        <v>-1</v>
      </c>
    </row>
    <row r="148" spans="1:26" s="69" customFormat="1" ht="15" hidden="1" customHeight="1" outlineLevel="1" x14ac:dyDescent="0.25">
      <c r="A148" s="42"/>
      <c r="B148" s="12" t="str">
        <f>CONCATENATE("          ","5528"," - ","FREIGHT-IN-ART/TECH")</f>
        <v xml:space="preserve">          5528 - FREIGHT-IN-ART/TECH</v>
      </c>
      <c r="C148" s="12"/>
      <c r="D148" s="3"/>
      <c r="E148" s="3"/>
      <c r="F148" s="20">
        <f t="shared" si="20"/>
        <v>0</v>
      </c>
      <c r="G148" s="3"/>
      <c r="H148" s="3">
        <v>28.53</v>
      </c>
      <c r="I148" s="3"/>
      <c r="J148" s="20">
        <f t="shared" si="21"/>
        <v>3.5289167515674408E-5</v>
      </c>
      <c r="K148" s="3"/>
      <c r="L148" s="3">
        <f t="shared" si="22"/>
        <v>-28.53</v>
      </c>
      <c r="M148" s="3"/>
      <c r="N148" s="20">
        <f t="shared" si="23"/>
        <v>-1</v>
      </c>
      <c r="O148" s="12"/>
      <c r="P148" s="3">
        <v>0</v>
      </c>
      <c r="Q148" s="3"/>
      <c r="R148" s="20">
        <f t="shared" si="24"/>
        <v>0</v>
      </c>
      <c r="S148" s="3"/>
      <c r="T148" s="3">
        <v>572.96</v>
      </c>
      <c r="U148" s="3"/>
      <c r="V148" s="20">
        <f t="shared" si="25"/>
        <v>5.8392084593384211E-5</v>
      </c>
      <c r="W148" s="3"/>
      <c r="X148" s="3">
        <f t="shared" si="26"/>
        <v>-572.96</v>
      </c>
      <c r="Y148" s="3"/>
      <c r="Z148" s="20">
        <f t="shared" si="27"/>
        <v>-1</v>
      </c>
    </row>
    <row r="149" spans="1:26" s="69" customFormat="1" ht="15" hidden="1" customHeight="1" outlineLevel="1" x14ac:dyDescent="0.25">
      <c r="A149" s="42"/>
      <c r="B149" s="12" t="str">
        <f>CONCATENATE("          ","5540"," - ","FREIGHT-IN-LOGO CLOTHING")</f>
        <v xml:space="preserve">          5540 - FREIGHT-IN-LOGO CLOTHING</v>
      </c>
      <c r="C149" s="12"/>
      <c r="D149" s="3"/>
      <c r="E149" s="3"/>
      <c r="F149" s="20">
        <f t="shared" si="20"/>
        <v>0</v>
      </c>
      <c r="G149" s="3"/>
      <c r="H149" s="3">
        <v>1283.68</v>
      </c>
      <c r="I149" s="3"/>
      <c r="J149" s="20">
        <f t="shared" si="21"/>
        <v>1.5878022627592331E-3</v>
      </c>
      <c r="K149" s="3"/>
      <c r="L149" s="3">
        <f t="shared" si="22"/>
        <v>-1283.68</v>
      </c>
      <c r="M149" s="3"/>
      <c r="N149" s="20">
        <f t="shared" si="23"/>
        <v>-1</v>
      </c>
      <c r="O149" s="12"/>
      <c r="P149" s="3">
        <v>0</v>
      </c>
      <c r="Q149" s="3"/>
      <c r="R149" s="20">
        <f t="shared" si="24"/>
        <v>0</v>
      </c>
      <c r="S149" s="3"/>
      <c r="T149" s="3">
        <v>10499.7</v>
      </c>
      <c r="U149" s="3"/>
      <c r="V149" s="20">
        <f t="shared" si="25"/>
        <v>1.0700561480821631E-3</v>
      </c>
      <c r="W149" s="3"/>
      <c r="X149" s="3">
        <f t="shared" si="26"/>
        <v>-10499.7</v>
      </c>
      <c r="Y149" s="3"/>
      <c r="Z149" s="20">
        <f t="shared" si="27"/>
        <v>-1</v>
      </c>
    </row>
    <row r="150" spans="1:26" s="69" customFormat="1" ht="15" hidden="1" customHeight="1" outlineLevel="1" x14ac:dyDescent="0.25">
      <c r="A150" s="42"/>
      <c r="B150" s="12" t="str">
        <f>CONCATENATE("          ","5541"," - ","FREIGHT-IN-LOGO GIFTS")</f>
        <v xml:space="preserve">          5541 - FREIGHT-IN-LOGO GIFTS</v>
      </c>
      <c r="C150" s="12"/>
      <c r="D150" s="3"/>
      <c r="E150" s="3"/>
      <c r="F150" s="20">
        <f t="shared" si="20"/>
        <v>0</v>
      </c>
      <c r="G150" s="3"/>
      <c r="H150" s="3">
        <v>961.21</v>
      </c>
      <c r="I150" s="3"/>
      <c r="J150" s="20">
        <f t="shared" si="21"/>
        <v>1.1889344797666106E-3</v>
      </c>
      <c r="K150" s="3"/>
      <c r="L150" s="3">
        <f t="shared" si="22"/>
        <v>-961.21</v>
      </c>
      <c r="M150" s="3"/>
      <c r="N150" s="20">
        <f t="shared" si="23"/>
        <v>-1</v>
      </c>
      <c r="O150" s="12"/>
      <c r="P150" s="3">
        <v>0</v>
      </c>
      <c r="Q150" s="3"/>
      <c r="R150" s="20">
        <f t="shared" si="24"/>
        <v>0</v>
      </c>
      <c r="S150" s="3"/>
      <c r="T150" s="3">
        <v>5977.2</v>
      </c>
      <c r="U150" s="3"/>
      <c r="V150" s="20">
        <f t="shared" si="25"/>
        <v>6.0915450996854243E-4</v>
      </c>
      <c r="W150" s="3"/>
      <c r="X150" s="3">
        <f t="shared" si="26"/>
        <v>-5977.2</v>
      </c>
      <c r="Y150" s="3"/>
      <c r="Z150" s="20">
        <f t="shared" si="27"/>
        <v>-1</v>
      </c>
    </row>
    <row r="151" spans="1:26" s="69" customFormat="1" ht="15" hidden="1" customHeight="1" outlineLevel="1" x14ac:dyDescent="0.25">
      <c r="A151" s="42"/>
      <c r="B151" s="12" t="str">
        <f>CONCATENATE("          ","5542"," - ","FREIGHT-IN-EVERYDAY GIFTS")</f>
        <v xml:space="preserve">          5542 - FREIGHT-IN-EVERYDAY GIFTS</v>
      </c>
      <c r="C151" s="12"/>
      <c r="D151" s="3"/>
      <c r="E151" s="3"/>
      <c r="F151" s="20">
        <f t="shared" si="20"/>
        <v>0</v>
      </c>
      <c r="G151" s="3"/>
      <c r="H151" s="3"/>
      <c r="I151" s="3"/>
      <c r="J151" s="20">
        <f t="shared" si="21"/>
        <v>0</v>
      </c>
      <c r="K151" s="3"/>
      <c r="L151" s="3">
        <f t="shared" si="22"/>
        <v>0</v>
      </c>
      <c r="M151" s="3"/>
      <c r="N151" s="20">
        <f t="shared" si="23"/>
        <v>0</v>
      </c>
      <c r="O151" s="12"/>
      <c r="P151" s="3">
        <v>0</v>
      </c>
      <c r="Q151" s="3"/>
      <c r="R151" s="20">
        <f t="shared" si="24"/>
        <v>0</v>
      </c>
      <c r="S151" s="3"/>
      <c r="T151" s="3">
        <v>681.72</v>
      </c>
      <c r="U151" s="3"/>
      <c r="V151" s="20">
        <f t="shared" si="25"/>
        <v>6.9476144772762297E-5</v>
      </c>
      <c r="W151" s="3"/>
      <c r="X151" s="3">
        <f t="shared" si="26"/>
        <v>-681.72</v>
      </c>
      <c r="Y151" s="3"/>
      <c r="Z151" s="20">
        <f t="shared" si="27"/>
        <v>-1</v>
      </c>
    </row>
    <row r="152" spans="1:26" s="69" customFormat="1" ht="15" hidden="1" customHeight="1" outlineLevel="1" x14ac:dyDescent="0.25">
      <c r="A152" s="42"/>
      <c r="B152" s="12" t="str">
        <f>CONCATENATE("          ","5543"," - ","FREIGHT-IN-CARDS")</f>
        <v xml:space="preserve">          5543 - FREIGHT-IN-CARDS</v>
      </c>
      <c r="C152" s="12"/>
      <c r="D152" s="3"/>
      <c r="E152" s="3"/>
      <c r="F152" s="20">
        <f t="shared" si="20"/>
        <v>0</v>
      </c>
      <c r="G152" s="3"/>
      <c r="H152" s="3"/>
      <c r="I152" s="3"/>
      <c r="J152" s="20">
        <f t="shared" si="21"/>
        <v>0</v>
      </c>
      <c r="K152" s="3"/>
      <c r="L152" s="3">
        <f t="shared" si="22"/>
        <v>0</v>
      </c>
      <c r="M152" s="3"/>
      <c r="N152" s="20">
        <f t="shared" si="23"/>
        <v>0</v>
      </c>
      <c r="O152" s="12"/>
      <c r="P152" s="3"/>
      <c r="Q152" s="3"/>
      <c r="R152" s="20">
        <f t="shared" si="24"/>
        <v>0</v>
      </c>
      <c r="S152" s="3"/>
      <c r="T152" s="3">
        <v>9110.5300000000007</v>
      </c>
      <c r="U152" s="3"/>
      <c r="V152" s="20">
        <f t="shared" si="25"/>
        <v>9.2848163650266101E-4</v>
      </c>
      <c r="W152" s="3"/>
      <c r="X152" s="3">
        <f t="shared" si="26"/>
        <v>-9110.5300000000007</v>
      </c>
      <c r="Y152" s="3"/>
      <c r="Z152" s="20">
        <f t="shared" si="27"/>
        <v>-1</v>
      </c>
    </row>
    <row r="153" spans="1:26" s="69" customFormat="1" ht="15" hidden="1" customHeight="1" outlineLevel="1" x14ac:dyDescent="0.25">
      <c r="A153" s="42"/>
      <c r="B153" s="12" t="str">
        <f>CONCATENATE("          ","5544"," - ","FREIGHT-IN-ACCESSORIES")</f>
        <v xml:space="preserve">          5544 - FREIGHT-IN-ACCESSORIES</v>
      </c>
      <c r="C153" s="12"/>
      <c r="D153" s="3"/>
      <c r="E153" s="3"/>
      <c r="F153" s="20">
        <f t="shared" si="20"/>
        <v>0</v>
      </c>
      <c r="G153" s="3"/>
      <c r="H153" s="3"/>
      <c r="I153" s="3"/>
      <c r="J153" s="20">
        <f t="shared" si="21"/>
        <v>0</v>
      </c>
      <c r="K153" s="3"/>
      <c r="L153" s="3">
        <f t="shared" si="22"/>
        <v>0</v>
      </c>
      <c r="M153" s="3"/>
      <c r="N153" s="20">
        <f t="shared" si="23"/>
        <v>0</v>
      </c>
      <c r="O153" s="12"/>
      <c r="P153" s="3">
        <v>0</v>
      </c>
      <c r="Q153" s="3"/>
      <c r="R153" s="20">
        <f t="shared" si="24"/>
        <v>0</v>
      </c>
      <c r="S153" s="3"/>
      <c r="T153" s="3"/>
      <c r="U153" s="3"/>
      <c r="V153" s="20">
        <f t="shared" si="25"/>
        <v>0</v>
      </c>
      <c r="W153" s="3"/>
      <c r="X153" s="3">
        <f t="shared" si="26"/>
        <v>0</v>
      </c>
      <c r="Y153" s="3"/>
      <c r="Z153" s="20">
        <f t="shared" si="27"/>
        <v>0</v>
      </c>
    </row>
    <row r="154" spans="1:26" s="69" customFormat="1" ht="15" hidden="1" customHeight="1" outlineLevel="1" x14ac:dyDescent="0.25">
      <c r="A154" s="42"/>
      <c r="B154" s="12" t="str">
        <f>CONCATENATE("          ","5545"," - ","FREIGHT-IN-SPECIAL ORDERS")</f>
        <v xml:space="preserve">          5545 - FREIGHT-IN-SPECIAL ORDERS</v>
      </c>
      <c r="C154" s="12"/>
      <c r="D154" s="3"/>
      <c r="E154" s="3"/>
      <c r="F154" s="20">
        <f t="shared" si="20"/>
        <v>0</v>
      </c>
      <c r="G154" s="3"/>
      <c r="H154" s="3">
        <v>1033.9000000000001</v>
      </c>
      <c r="I154" s="3"/>
      <c r="J154" s="20">
        <f t="shared" si="21"/>
        <v>1.278845786696662E-3</v>
      </c>
      <c r="K154" s="3"/>
      <c r="L154" s="3">
        <f t="shared" si="22"/>
        <v>-1033.9000000000001</v>
      </c>
      <c r="M154" s="3"/>
      <c r="N154" s="20">
        <f t="shared" si="23"/>
        <v>-1</v>
      </c>
      <c r="O154" s="12"/>
      <c r="P154" s="3">
        <v>0</v>
      </c>
      <c r="Q154" s="3"/>
      <c r="R154" s="20">
        <f t="shared" si="24"/>
        <v>0</v>
      </c>
      <c r="S154" s="3"/>
      <c r="T154" s="3">
        <v>2468.66</v>
      </c>
      <c r="U154" s="3"/>
      <c r="V154" s="20">
        <f t="shared" si="25"/>
        <v>2.5158859877182327E-4</v>
      </c>
      <c r="W154" s="3"/>
      <c r="X154" s="3">
        <f t="shared" si="26"/>
        <v>-2468.66</v>
      </c>
      <c r="Y154" s="3"/>
      <c r="Z154" s="20">
        <f t="shared" si="27"/>
        <v>-1</v>
      </c>
    </row>
    <row r="155" spans="1:26" s="69" customFormat="1" ht="15" hidden="1" customHeight="1" outlineLevel="1" x14ac:dyDescent="0.25">
      <c r="A155" s="42"/>
      <c r="B155" s="12" t="str">
        <f>CONCATENATE("          ","5581"," - ","FREIGHT-IN-ELECTRONICS")</f>
        <v xml:space="preserve">          5581 - FREIGHT-IN-ELECTRONICS</v>
      </c>
      <c r="C155" s="12"/>
      <c r="D155" s="3"/>
      <c r="E155" s="3"/>
      <c r="F155" s="20">
        <f t="shared" si="20"/>
        <v>0</v>
      </c>
      <c r="G155" s="3"/>
      <c r="H155" s="3"/>
      <c r="I155" s="3"/>
      <c r="J155" s="20">
        <f t="shared" si="21"/>
        <v>0</v>
      </c>
      <c r="K155" s="3"/>
      <c r="L155" s="3">
        <f t="shared" si="22"/>
        <v>0</v>
      </c>
      <c r="M155" s="3"/>
      <c r="N155" s="20">
        <f t="shared" si="23"/>
        <v>0</v>
      </c>
      <c r="O155" s="12"/>
      <c r="P155" s="3"/>
      <c r="Q155" s="3"/>
      <c r="R155" s="20">
        <f t="shared" si="24"/>
        <v>0</v>
      </c>
      <c r="S155" s="3"/>
      <c r="T155" s="3">
        <v>31</v>
      </c>
      <c r="U155" s="3"/>
      <c r="V155" s="20">
        <f t="shared" si="25"/>
        <v>3.1593036553946354E-6</v>
      </c>
      <c r="W155" s="3"/>
      <c r="X155" s="3">
        <f t="shared" si="26"/>
        <v>-31</v>
      </c>
      <c r="Y155" s="3"/>
      <c r="Z155" s="20">
        <f t="shared" si="27"/>
        <v>-1</v>
      </c>
    </row>
    <row r="156" spans="1:26" s="69" customFormat="1" ht="15" hidden="1" customHeight="1" outlineLevel="1" x14ac:dyDescent="0.25">
      <c r="A156" s="42"/>
      <c r="B156" s="12" t="str">
        <f>CONCATENATE("          ","5582"," - ","FREIGHT-IN-COMPUTER HARDWARE")</f>
        <v xml:space="preserve">          5582 - FREIGHT-IN-COMPUTER HARDWARE</v>
      </c>
      <c r="C156" s="12"/>
      <c r="D156" s="3"/>
      <c r="E156" s="3"/>
      <c r="F156" s="20">
        <f t="shared" si="20"/>
        <v>0</v>
      </c>
      <c r="G156" s="3"/>
      <c r="H156" s="3">
        <v>20</v>
      </c>
      <c r="I156" s="3"/>
      <c r="J156" s="20">
        <f t="shared" si="21"/>
        <v>2.4738287778250546E-5</v>
      </c>
      <c r="K156" s="3"/>
      <c r="L156" s="3">
        <f t="shared" si="22"/>
        <v>-20</v>
      </c>
      <c r="M156" s="3"/>
      <c r="N156" s="20">
        <f t="shared" si="23"/>
        <v>-1</v>
      </c>
      <c r="O156" s="12"/>
      <c r="P156" s="3"/>
      <c r="Q156" s="3"/>
      <c r="R156" s="20">
        <f t="shared" si="24"/>
        <v>0</v>
      </c>
      <c r="S156" s="3"/>
      <c r="T156" s="3">
        <v>145</v>
      </c>
      <c r="U156" s="3"/>
      <c r="V156" s="20">
        <f t="shared" si="25"/>
        <v>1.4777388065555553E-5</v>
      </c>
      <c r="W156" s="3"/>
      <c r="X156" s="3">
        <f t="shared" si="26"/>
        <v>-145</v>
      </c>
      <c r="Y156" s="3"/>
      <c r="Z156" s="20">
        <f t="shared" si="27"/>
        <v>-1</v>
      </c>
    </row>
    <row r="157" spans="1:26" s="69" customFormat="1" ht="15" hidden="1" customHeight="1" outlineLevel="1" x14ac:dyDescent="0.25">
      <c r="A157" s="42"/>
      <c r="B157" s="12" t="str">
        <f>CONCATENATE("          ","5583"," - ","FREIGHT-IN-COMPUTER EQUIPMENT")</f>
        <v xml:space="preserve">          5583 - FREIGHT-IN-COMPUTER EQUIPMENT</v>
      </c>
      <c r="C157" s="12"/>
      <c r="D157" s="3"/>
      <c r="E157" s="3"/>
      <c r="F157" s="20">
        <f t="shared" si="20"/>
        <v>0</v>
      </c>
      <c r="G157" s="3"/>
      <c r="H157" s="3"/>
      <c r="I157" s="3"/>
      <c r="J157" s="20">
        <f t="shared" si="21"/>
        <v>0</v>
      </c>
      <c r="K157" s="3"/>
      <c r="L157" s="3">
        <f t="shared" si="22"/>
        <v>0</v>
      </c>
      <c r="M157" s="3"/>
      <c r="N157" s="20">
        <f t="shared" si="23"/>
        <v>0</v>
      </c>
      <c r="O157" s="12"/>
      <c r="P157" s="3">
        <v>0</v>
      </c>
      <c r="Q157" s="3"/>
      <c r="R157" s="20">
        <f t="shared" si="24"/>
        <v>0</v>
      </c>
      <c r="S157" s="3"/>
      <c r="T157" s="3">
        <v>242.46</v>
      </c>
      <c r="U157" s="3"/>
      <c r="V157" s="20">
        <f t="shared" si="25"/>
        <v>2.4709831106031723E-5</v>
      </c>
      <c r="W157" s="3"/>
      <c r="X157" s="3">
        <f t="shared" si="26"/>
        <v>-242.46</v>
      </c>
      <c r="Y157" s="3"/>
      <c r="Z157" s="20">
        <f t="shared" si="27"/>
        <v>-1</v>
      </c>
    </row>
    <row r="158" spans="1:26" s="69" customFormat="1" ht="15" hidden="1" customHeight="1" outlineLevel="1" x14ac:dyDescent="0.25">
      <c r="A158" s="42"/>
      <c r="B158" s="12" t="str">
        <f>CONCATENATE("          ","5585"," - ","FREIGHT-IN-SOFTWARE")</f>
        <v xml:space="preserve">          5585 - FREIGHT-IN-SOFTWARE</v>
      </c>
      <c r="C158" s="12"/>
      <c r="D158" s="3"/>
      <c r="E158" s="3"/>
      <c r="F158" s="20">
        <f t="shared" si="20"/>
        <v>0</v>
      </c>
      <c r="G158" s="3"/>
      <c r="H158" s="3"/>
      <c r="I158" s="3"/>
      <c r="J158" s="20">
        <f t="shared" si="21"/>
        <v>0</v>
      </c>
      <c r="K158" s="3"/>
      <c r="L158" s="3">
        <f t="shared" si="22"/>
        <v>0</v>
      </c>
      <c r="M158" s="3"/>
      <c r="N158" s="20">
        <f t="shared" si="23"/>
        <v>0</v>
      </c>
      <c r="O158" s="12"/>
      <c r="P158" s="3"/>
      <c r="Q158" s="3"/>
      <c r="R158" s="20">
        <f t="shared" si="24"/>
        <v>0</v>
      </c>
      <c r="S158" s="3"/>
      <c r="T158" s="3">
        <v>9.41</v>
      </c>
      <c r="U158" s="3"/>
      <c r="V158" s="20">
        <f t="shared" si="25"/>
        <v>9.5900152894398464E-7</v>
      </c>
      <c r="W158" s="3"/>
      <c r="X158" s="3">
        <f t="shared" si="26"/>
        <v>-9.41</v>
      </c>
      <c r="Y158" s="3"/>
      <c r="Z158" s="20">
        <f t="shared" si="27"/>
        <v>-1</v>
      </c>
    </row>
    <row r="159" spans="1:26" s="69" customFormat="1" ht="15" hidden="1" customHeight="1" outlineLevel="1" x14ac:dyDescent="0.25">
      <c r="A159" s="42"/>
      <c r="B159" s="12" t="str">
        <f>CONCATENATE("          ","5586"," - ","FREIGHT-IN-COMPUTER SUPPLIES")</f>
        <v xml:space="preserve">          5586 - FREIGHT-IN-COMPUTER SUPPLIES</v>
      </c>
      <c r="C159" s="12"/>
      <c r="D159" s="3"/>
      <c r="E159" s="3"/>
      <c r="F159" s="20">
        <f t="shared" si="20"/>
        <v>0</v>
      </c>
      <c r="G159" s="3"/>
      <c r="H159" s="3"/>
      <c r="I159" s="3"/>
      <c r="J159" s="20">
        <f t="shared" si="21"/>
        <v>0</v>
      </c>
      <c r="K159" s="3"/>
      <c r="L159" s="3">
        <f t="shared" si="22"/>
        <v>0</v>
      </c>
      <c r="M159" s="3"/>
      <c r="N159" s="20">
        <f t="shared" si="23"/>
        <v>0</v>
      </c>
      <c r="O159" s="12"/>
      <c r="P159" s="3"/>
      <c r="Q159" s="3"/>
      <c r="R159" s="20">
        <f t="shared" si="24"/>
        <v>0</v>
      </c>
      <c r="S159" s="3"/>
      <c r="T159" s="3">
        <v>24.12</v>
      </c>
      <c r="U159" s="3"/>
      <c r="V159" s="20">
        <f t="shared" si="25"/>
        <v>2.4581420699393103E-6</v>
      </c>
      <c r="W159" s="3"/>
      <c r="X159" s="3">
        <f t="shared" si="26"/>
        <v>-24.12</v>
      </c>
      <c r="Y159" s="3"/>
      <c r="Z159" s="20">
        <f t="shared" si="27"/>
        <v>-1</v>
      </c>
    </row>
    <row r="160" spans="1:26" s="69" customFormat="1" ht="15" hidden="1" customHeight="1" outlineLevel="1" x14ac:dyDescent="0.25">
      <c r="A160" s="42"/>
      <c r="B160" s="12" t="str">
        <f>CONCATENATE("          ","5592"," - ","FREIGHT-IN-GRAD MERCH")</f>
        <v xml:space="preserve">          5592 - FREIGHT-IN-GRAD MERCH</v>
      </c>
      <c r="C160" s="12"/>
      <c r="D160" s="3"/>
      <c r="E160" s="3"/>
      <c r="F160" s="20">
        <f t="shared" si="20"/>
        <v>0</v>
      </c>
      <c r="G160" s="3"/>
      <c r="H160" s="3"/>
      <c r="I160" s="3"/>
      <c r="J160" s="20">
        <f t="shared" si="21"/>
        <v>0</v>
      </c>
      <c r="K160" s="3"/>
      <c r="L160" s="3">
        <f t="shared" si="22"/>
        <v>0</v>
      </c>
      <c r="M160" s="3"/>
      <c r="N160" s="20">
        <f t="shared" si="23"/>
        <v>0</v>
      </c>
      <c r="O160" s="12"/>
      <c r="P160" s="3"/>
      <c r="Q160" s="3"/>
      <c r="R160" s="20">
        <f t="shared" si="24"/>
        <v>0</v>
      </c>
      <c r="S160" s="3"/>
      <c r="T160" s="3">
        <v>0</v>
      </c>
      <c r="U160" s="3"/>
      <c r="V160" s="20">
        <f t="shared" si="25"/>
        <v>0</v>
      </c>
      <c r="W160" s="3"/>
      <c r="X160" s="3">
        <f t="shared" si="26"/>
        <v>0</v>
      </c>
      <c r="Y160" s="3"/>
      <c r="Z160" s="20">
        <f t="shared" si="27"/>
        <v>0</v>
      </c>
    </row>
    <row r="161" spans="1:26" ht="15" customHeight="1" x14ac:dyDescent="0.25">
      <c r="A161" s="10"/>
      <c r="B161" s="11"/>
      <c r="C161" s="11"/>
      <c r="D161" s="4"/>
      <c r="E161" s="4"/>
      <c r="F161" s="9"/>
      <c r="G161" s="4"/>
      <c r="H161" s="4"/>
      <c r="I161" s="4"/>
      <c r="J161" s="9"/>
      <c r="K161" s="4"/>
      <c r="L161" s="4"/>
      <c r="M161" s="4"/>
      <c r="N161" s="9"/>
      <c r="O161" s="11"/>
      <c r="P161" s="4"/>
      <c r="Q161" s="4"/>
      <c r="R161" s="9"/>
      <c r="S161" s="4"/>
      <c r="T161" s="4"/>
      <c r="U161" s="4"/>
      <c r="V161" s="9"/>
      <c r="W161" s="4"/>
      <c r="X161" s="4"/>
      <c r="Y161" s="4"/>
      <c r="Z161" s="9"/>
    </row>
    <row r="162" spans="1:26" s="62" customFormat="1" ht="15" customHeight="1" x14ac:dyDescent="0.25">
      <c r="A162" s="11"/>
      <c r="B162" s="27" t="s">
        <v>288</v>
      </c>
      <c r="C162" s="27"/>
      <c r="D162" s="22">
        <f>D12-D108</f>
        <v>1204899.67</v>
      </c>
      <c r="E162" s="15"/>
      <c r="F162" s="23">
        <f>IF(D$12=0,0,D162/D$12)</f>
        <v>0.54649538072260395</v>
      </c>
      <c r="G162" s="15"/>
      <c r="H162" s="22">
        <f>H12-H108</f>
        <v>473889.38999999978</v>
      </c>
      <c r="I162" s="15"/>
      <c r="J162" s="23">
        <f>IF(H$12=0,0,H162/H$12)</f>
        <v>0.58616060524398006</v>
      </c>
      <c r="K162" s="16"/>
      <c r="L162" s="22">
        <f>+D162-H162</f>
        <v>731010.28000000014</v>
      </c>
      <c r="M162" s="16"/>
      <c r="N162" s="23">
        <f>IF(H162=0,0,L162/H162)</f>
        <v>1.5425757474755881</v>
      </c>
      <c r="O162" s="28"/>
      <c r="P162" s="22">
        <f>P12-P108</f>
        <v>14304858.130000001</v>
      </c>
      <c r="Q162" s="15"/>
      <c r="R162" s="23">
        <f>IF(P$12=0,0,P162/P$12)</f>
        <v>0.59443688465780864</v>
      </c>
      <c r="S162" s="15"/>
      <c r="T162" s="22">
        <f>T12-T108</f>
        <v>3841791.9300000025</v>
      </c>
      <c r="U162" s="15"/>
      <c r="V162" s="23">
        <f>IF(T$12=0,0,T162/T$12)</f>
        <v>0.39152862218434259</v>
      </c>
      <c r="W162" s="16"/>
      <c r="X162" s="22">
        <f>+P162-T162</f>
        <v>10463066.199999999</v>
      </c>
      <c r="Y162" s="16"/>
      <c r="Z162" s="23">
        <f>IF(T162=0,0,X162/T162)</f>
        <v>2.7234859124710566</v>
      </c>
    </row>
    <row r="163" spans="1:26" ht="15" customHeight="1" x14ac:dyDescent="0.25">
      <c r="A163" s="10"/>
      <c r="B163" s="11"/>
      <c r="C163" s="10"/>
      <c r="D163" s="2"/>
      <c r="E163" s="2"/>
      <c r="F163" s="6"/>
      <c r="G163" s="2"/>
      <c r="H163" s="2"/>
      <c r="I163" s="2"/>
      <c r="J163" s="6"/>
      <c r="K163" s="2"/>
      <c r="L163" s="2"/>
      <c r="M163" s="2"/>
      <c r="N163" s="6"/>
      <c r="O163" s="36"/>
      <c r="P163" s="2"/>
      <c r="Q163" s="2"/>
      <c r="R163" s="6"/>
      <c r="S163" s="2"/>
      <c r="T163" s="2"/>
      <c r="U163" s="2"/>
      <c r="V163" s="6"/>
      <c r="W163" s="2"/>
      <c r="X163" s="2"/>
      <c r="Y163" s="2"/>
      <c r="Z163" s="6"/>
    </row>
    <row r="164" spans="1:26" s="62" customFormat="1" ht="15" customHeight="1" x14ac:dyDescent="0.25">
      <c r="A164" s="11"/>
      <c r="B164" s="28" t="s">
        <v>289</v>
      </c>
      <c r="C164" s="11"/>
      <c r="D164" s="21" cm="1">
        <f t="array" ref="D164">SUM(OSRRefD22x_0)</f>
        <v>1028555.1399999999</v>
      </c>
      <c r="E164" s="21"/>
      <c r="F164" s="31">
        <f t="shared" ref="F164:F195" si="28">IF(D$12=0,0,D164/D$12)</f>
        <v>0.46651239669481459</v>
      </c>
      <c r="G164" s="21"/>
      <c r="H164" s="21" cm="1">
        <f t="array" ref="H164">SUM(OSRRefH22x_0)</f>
        <v>611093.25999999989</v>
      </c>
      <c r="I164" s="21"/>
      <c r="J164" s="31">
        <f t="shared" ref="J164:J195" si="29">IF(H$12=0,0,H164/H$12)</f>
        <v>0.75587004626146403</v>
      </c>
      <c r="K164" s="5"/>
      <c r="L164" s="21">
        <f t="shared" ref="L164:L195" si="30">+D164-H164</f>
        <v>417461.88</v>
      </c>
      <c r="M164" s="5"/>
      <c r="N164" s="31">
        <f t="shared" ref="N164:N195" si="31">IF(H164=0,0,L164/H164)</f>
        <v>0.68313939512276745</v>
      </c>
      <c r="O164" s="11"/>
      <c r="P164" s="21" cm="1">
        <f t="array" ref="P164">SUM(OSRRefP22x_0)</f>
        <v>11742974.289999995</v>
      </c>
      <c r="Q164" s="21"/>
      <c r="R164" s="31">
        <f t="shared" ref="R164:R195" si="32">IF(P$12=0,0,P164/P$12)</f>
        <v>0.48797806941720007</v>
      </c>
      <c r="S164" s="21"/>
      <c r="T164" s="21" cm="1">
        <f t="array" ref="T164">SUM(OSRRefT22x_0)</f>
        <v>7389847.6900000023</v>
      </c>
      <c r="U164" s="21"/>
      <c r="V164" s="31">
        <f t="shared" ref="V164:V195" si="33">IF(T$12=0,0,T164/T$12)</f>
        <v>0.75312170386537458</v>
      </c>
      <c r="W164" s="5"/>
      <c r="X164" s="21">
        <f t="shared" ref="X164:X195" si="34">+P164-T164</f>
        <v>4353126.5999999931</v>
      </c>
      <c r="Y164" s="5"/>
      <c r="Z164" s="31">
        <f t="shared" ref="Z164:Z195" si="35">IF(T164=0,0,X164/T164)</f>
        <v>0.58906851434714647</v>
      </c>
    </row>
    <row r="165" spans="1:26" s="68" customFormat="1" ht="15" customHeight="1" outlineLevel="1" collapsed="1" x14ac:dyDescent="0.25">
      <c r="A165" s="26"/>
      <c r="B165" s="14" t="str">
        <f>CONCATENATE("     ","*Benefits                                         ")</f>
        <v xml:space="preserve">     *Benefits                                         </v>
      </c>
      <c r="C165" s="14"/>
      <c r="D165" s="2">
        <f>SUM(OSRRefD22_0x_0)</f>
        <v>172910.89999999997</v>
      </c>
      <c r="E165" s="2"/>
      <c r="F165" s="6">
        <f t="shared" si="28"/>
        <v>7.8425623709057937E-2</v>
      </c>
      <c r="G165" s="2"/>
      <c r="H165" s="2">
        <f>SUM(OSRRefH22_0x_0)</f>
        <v>149333.91</v>
      </c>
      <c r="I165" s="2"/>
      <c r="J165" s="6">
        <f t="shared" si="29"/>
        <v>0.18471326203156835</v>
      </c>
      <c r="K165" s="2"/>
      <c r="L165" s="2">
        <f t="shared" si="30"/>
        <v>23576.989999999962</v>
      </c>
      <c r="M165" s="2"/>
      <c r="N165" s="6">
        <f t="shared" si="31"/>
        <v>0.1578810197898117</v>
      </c>
      <c r="O165" s="14"/>
      <c r="P165" s="2">
        <f>SUM(OSRRefP22_0x_0)</f>
        <v>1927474.8299999998</v>
      </c>
      <c r="Q165" s="2"/>
      <c r="R165" s="6">
        <f t="shared" si="32"/>
        <v>8.0096015129199963E-2</v>
      </c>
      <c r="S165" s="2"/>
      <c r="T165" s="2">
        <f>SUM(OSRRefT22_0x_0)</f>
        <v>1702790.9699999997</v>
      </c>
      <c r="U165" s="2"/>
      <c r="V165" s="6">
        <f t="shared" si="33"/>
        <v>0.17353657212561213</v>
      </c>
      <c r="W165" s="2"/>
      <c r="X165" s="2">
        <f t="shared" si="34"/>
        <v>224683.8600000001</v>
      </c>
      <c r="Y165" s="2"/>
      <c r="Z165" s="6">
        <f t="shared" si="35"/>
        <v>0.13195034737587324</v>
      </c>
    </row>
    <row r="166" spans="1:26" s="69" customFormat="1" ht="15" hidden="1" customHeight="1" outlineLevel="2" x14ac:dyDescent="0.25">
      <c r="A166" s="25"/>
      <c r="B166" s="12" t="str">
        <f>CONCATENATE("          ","6111"," - ","F.I.C.A.")</f>
        <v xml:space="preserve">          6111 - F.I.C.A.</v>
      </c>
      <c r="C166" s="12"/>
      <c r="D166" s="7">
        <v>26977.53</v>
      </c>
      <c r="E166" s="3"/>
      <c r="F166" s="8">
        <f t="shared" si="28"/>
        <v>1.2235952831081337E-2</v>
      </c>
      <c r="G166" s="3"/>
      <c r="H166" s="7">
        <v>19179.330000000002</v>
      </c>
      <c r="I166" s="3"/>
      <c r="J166" s="8">
        <f t="shared" si="29"/>
        <v>2.3723189246701706E-2</v>
      </c>
      <c r="K166" s="3"/>
      <c r="L166" s="7">
        <f t="shared" si="30"/>
        <v>7798.1999999999971</v>
      </c>
      <c r="M166" s="3"/>
      <c r="N166" s="8">
        <f t="shared" si="31"/>
        <v>0.40659397382494572</v>
      </c>
      <c r="O166" s="12"/>
      <c r="P166" s="7">
        <v>307899.03999999998</v>
      </c>
      <c r="Q166" s="3"/>
      <c r="R166" s="8">
        <f t="shared" si="32"/>
        <v>1.2794712430100136E-2</v>
      </c>
      <c r="S166" s="3"/>
      <c r="T166" s="7">
        <v>235841.61</v>
      </c>
      <c r="U166" s="3"/>
      <c r="V166" s="8">
        <f t="shared" si="33"/>
        <v>2.4035330986037291E-2</v>
      </c>
      <c r="W166" s="3"/>
      <c r="X166" s="7">
        <f t="shared" si="34"/>
        <v>72057.429999999993</v>
      </c>
      <c r="Y166" s="3"/>
      <c r="Z166" s="8">
        <f t="shared" si="35"/>
        <v>0.30553314998146425</v>
      </c>
    </row>
    <row r="167" spans="1:26" s="69" customFormat="1" ht="15" hidden="1" customHeight="1" outlineLevel="2" x14ac:dyDescent="0.25">
      <c r="A167" s="25"/>
      <c r="B167" s="12" t="str">
        <f>CONCATENATE("          ","6112"," - ","COMPENSATION INSURANCE")</f>
        <v xml:space="preserve">          6112 - COMPENSATION INSURANCE</v>
      </c>
      <c r="C167" s="12"/>
      <c r="D167" s="7">
        <v>20622.57</v>
      </c>
      <c r="E167" s="3"/>
      <c r="F167" s="8">
        <f t="shared" si="28"/>
        <v>9.3535914435336764E-3</v>
      </c>
      <c r="G167" s="3"/>
      <c r="H167" s="7">
        <v>10479</v>
      </c>
      <c r="I167" s="3"/>
      <c r="J167" s="8">
        <f t="shared" si="29"/>
        <v>1.2961625881414375E-2</v>
      </c>
      <c r="K167" s="3"/>
      <c r="L167" s="7">
        <f t="shared" si="30"/>
        <v>10143.57</v>
      </c>
      <c r="M167" s="3"/>
      <c r="N167" s="8">
        <f t="shared" si="31"/>
        <v>0.9679902662467792</v>
      </c>
      <c r="O167" s="12"/>
      <c r="P167" s="7">
        <v>149464.9</v>
      </c>
      <c r="Q167" s="3"/>
      <c r="R167" s="8">
        <f t="shared" si="32"/>
        <v>6.2109982996168935E-3</v>
      </c>
      <c r="S167" s="3"/>
      <c r="T167" s="7">
        <v>90994.63</v>
      </c>
      <c r="U167" s="3"/>
      <c r="V167" s="8">
        <f t="shared" si="33"/>
        <v>9.2735376509768506E-3</v>
      </c>
      <c r="W167" s="3"/>
      <c r="X167" s="7">
        <f t="shared" si="34"/>
        <v>58470.26999999999</v>
      </c>
      <c r="Y167" s="3"/>
      <c r="Z167" s="8">
        <f t="shared" si="35"/>
        <v>0.64256835815476132</v>
      </c>
    </row>
    <row r="168" spans="1:26" s="69" customFormat="1" ht="15" hidden="1" customHeight="1" outlineLevel="2" x14ac:dyDescent="0.25">
      <c r="A168" s="25"/>
      <c r="B168" s="12" t="str">
        <f>CONCATENATE("          ","6113"," - ","GROUP INSURANCE")</f>
        <v xml:space="preserve">          6113 - GROUP INSURANCE</v>
      </c>
      <c r="C168" s="12"/>
      <c r="D168" s="7">
        <v>72034.98</v>
      </c>
      <c r="E168" s="3"/>
      <c r="F168" s="8">
        <f t="shared" si="28"/>
        <v>3.2672250479116788E-2</v>
      </c>
      <c r="G168" s="3"/>
      <c r="H168" s="7">
        <v>73931.67</v>
      </c>
      <c r="I168" s="3"/>
      <c r="J168" s="8">
        <f t="shared" si="29"/>
        <v>9.1447146419332631E-2</v>
      </c>
      <c r="K168" s="3"/>
      <c r="L168" s="7">
        <f t="shared" si="30"/>
        <v>-1896.6900000000023</v>
      </c>
      <c r="M168" s="3"/>
      <c r="N168" s="8">
        <f t="shared" si="31"/>
        <v>-2.5654634881100379E-2</v>
      </c>
      <c r="O168" s="12"/>
      <c r="P168" s="7">
        <v>816012.42</v>
      </c>
      <c r="Q168" s="3"/>
      <c r="R168" s="8">
        <f t="shared" si="32"/>
        <v>3.3909310835428697E-2</v>
      </c>
      <c r="S168" s="3"/>
      <c r="T168" s="7">
        <v>823372.93</v>
      </c>
      <c r="U168" s="3"/>
      <c r="V168" s="8">
        <f t="shared" si="33"/>
        <v>8.3912422822644883E-2</v>
      </c>
      <c r="W168" s="3"/>
      <c r="X168" s="7">
        <f t="shared" si="34"/>
        <v>-7360.5100000000093</v>
      </c>
      <c r="Y168" s="3"/>
      <c r="Z168" s="8">
        <f t="shared" si="35"/>
        <v>-8.939460761723134E-3</v>
      </c>
    </row>
    <row r="169" spans="1:26" s="69" customFormat="1" ht="15" hidden="1" customHeight="1" outlineLevel="2" x14ac:dyDescent="0.25">
      <c r="A169" s="25"/>
      <c r="B169" s="12" t="str">
        <f>CONCATENATE("          ","6114"," - ","STATE UNEMPLOYMENT INSURANCE")</f>
        <v xml:space="preserve">          6114 - STATE UNEMPLOYMENT INSURANCE</v>
      </c>
      <c r="C169" s="12"/>
      <c r="D169" s="7">
        <v>2038.33</v>
      </c>
      <c r="E169" s="3"/>
      <c r="F169" s="8">
        <f t="shared" si="28"/>
        <v>9.2450679265959569E-4</v>
      </c>
      <c r="G169" s="3"/>
      <c r="H169" s="7">
        <v>1070.3599999999999</v>
      </c>
      <c r="I169" s="3"/>
      <c r="J169" s="8">
        <f t="shared" si="29"/>
        <v>1.3239436853164127E-3</v>
      </c>
      <c r="K169" s="3"/>
      <c r="L169" s="7">
        <f t="shared" si="30"/>
        <v>967.97</v>
      </c>
      <c r="M169" s="3"/>
      <c r="N169" s="8">
        <f t="shared" si="31"/>
        <v>0.90434059568743241</v>
      </c>
      <c r="O169" s="12"/>
      <c r="P169" s="7">
        <v>14853.24</v>
      </c>
      <c r="Q169" s="3"/>
      <c r="R169" s="8">
        <f t="shared" si="32"/>
        <v>6.1722483595681417E-4</v>
      </c>
      <c r="S169" s="3"/>
      <c r="T169" s="7">
        <v>9280.8799999999992</v>
      </c>
      <c r="U169" s="3"/>
      <c r="V169" s="8">
        <f t="shared" si="33"/>
        <v>9.458425196541601E-4</v>
      </c>
      <c r="W169" s="3"/>
      <c r="X169" s="7">
        <f t="shared" si="34"/>
        <v>5572.3600000000006</v>
      </c>
      <c r="Y169" s="3"/>
      <c r="Z169" s="8">
        <f t="shared" si="35"/>
        <v>0.60041289188094249</v>
      </c>
    </row>
    <row r="170" spans="1:26" s="69" customFormat="1" ht="15" hidden="1" customHeight="1" outlineLevel="2" x14ac:dyDescent="0.25">
      <c r="A170" s="25"/>
      <c r="B170" s="12" t="str">
        <f>CONCATENATE("          ","6115"," - ","P.E.R.S.")</f>
        <v xml:space="preserve">          6115 - P.E.R.S.</v>
      </c>
      <c r="C170" s="12"/>
      <c r="D170" s="7">
        <v>11941.74</v>
      </c>
      <c r="E170" s="3"/>
      <c r="F170" s="8">
        <f t="shared" si="28"/>
        <v>5.4163063616660704E-3</v>
      </c>
      <c r="G170" s="3"/>
      <c r="H170" s="7">
        <v>13550.14</v>
      </c>
      <c r="I170" s="3"/>
      <c r="J170" s="8">
        <f t="shared" si="29"/>
        <v>1.6760363137779191E-2</v>
      </c>
      <c r="K170" s="3"/>
      <c r="L170" s="7">
        <f t="shared" si="30"/>
        <v>-1608.3999999999996</v>
      </c>
      <c r="M170" s="3"/>
      <c r="N170" s="8">
        <f t="shared" si="31"/>
        <v>-0.11869988059163962</v>
      </c>
      <c r="O170" s="12"/>
      <c r="P170" s="7">
        <v>167289.03</v>
      </c>
      <c r="Q170" s="3"/>
      <c r="R170" s="8">
        <f t="shared" si="32"/>
        <v>6.9516781590497805E-3</v>
      </c>
      <c r="S170" s="3"/>
      <c r="T170" s="7">
        <v>169232.25</v>
      </c>
      <c r="U170" s="3"/>
      <c r="V170" s="8">
        <f t="shared" si="33"/>
        <v>1.7246969872118028E-2</v>
      </c>
      <c r="W170" s="3"/>
      <c r="X170" s="7">
        <f t="shared" si="34"/>
        <v>-1943.2200000000012</v>
      </c>
      <c r="Y170" s="3"/>
      <c r="Z170" s="8">
        <f t="shared" si="35"/>
        <v>-1.1482563163935958E-2</v>
      </c>
    </row>
    <row r="171" spans="1:26" s="69" customFormat="1" ht="15" hidden="1" customHeight="1" outlineLevel="2" x14ac:dyDescent="0.25">
      <c r="A171" s="25"/>
      <c r="B171" s="12" t="str">
        <f>CONCATENATE("          ","6116"," - ","EDUCATIONAL BENEFITS")</f>
        <v xml:space="preserve">          6116 - EDUCATIONAL BENEFITS</v>
      </c>
      <c r="C171" s="12"/>
      <c r="D171" s="7"/>
      <c r="E171" s="3"/>
      <c r="F171" s="8">
        <f t="shared" si="28"/>
        <v>0</v>
      </c>
      <c r="G171" s="3"/>
      <c r="H171" s="7"/>
      <c r="I171" s="3"/>
      <c r="J171" s="8">
        <f t="shared" si="29"/>
        <v>0</v>
      </c>
      <c r="K171" s="3"/>
      <c r="L171" s="7">
        <f t="shared" si="30"/>
        <v>0</v>
      </c>
      <c r="M171" s="3"/>
      <c r="N171" s="8">
        <f t="shared" si="31"/>
        <v>0</v>
      </c>
      <c r="O171" s="12"/>
      <c r="P171" s="7"/>
      <c r="Q171" s="3"/>
      <c r="R171" s="8">
        <f t="shared" si="32"/>
        <v>0</v>
      </c>
      <c r="S171" s="3"/>
      <c r="T171" s="7">
        <v>0</v>
      </c>
      <c r="U171" s="3"/>
      <c r="V171" s="8">
        <f t="shared" si="33"/>
        <v>0</v>
      </c>
      <c r="W171" s="3"/>
      <c r="X171" s="7">
        <f t="shared" si="34"/>
        <v>0</v>
      </c>
      <c r="Y171" s="3"/>
      <c r="Z171" s="8">
        <f t="shared" si="35"/>
        <v>0</v>
      </c>
    </row>
    <row r="172" spans="1:26" s="69" customFormat="1" ht="15" hidden="1" customHeight="1" outlineLevel="2" x14ac:dyDescent="0.25">
      <c r="A172" s="25"/>
      <c r="B172" s="12" t="str">
        <f>CONCATENATE("          ","6117"," - ","RETIREMENT STAFF HOURLY")</f>
        <v xml:space="preserve">          6117 - RETIREMENT STAFF HOURLY</v>
      </c>
      <c r="C172" s="12"/>
      <c r="D172" s="7">
        <v>2804.66</v>
      </c>
      <c r="E172" s="3"/>
      <c r="F172" s="8">
        <f t="shared" si="28"/>
        <v>1.2720841184207963E-3</v>
      </c>
      <c r="G172" s="3"/>
      <c r="H172" s="7">
        <v>2181.4699999999998</v>
      </c>
      <c r="I172" s="3"/>
      <c r="J172" s="8">
        <f t="shared" si="29"/>
        <v>2.6982916319810107E-3</v>
      </c>
      <c r="K172" s="3"/>
      <c r="L172" s="7">
        <f t="shared" si="30"/>
        <v>623.19000000000005</v>
      </c>
      <c r="M172" s="3"/>
      <c r="N172" s="8">
        <f t="shared" si="31"/>
        <v>0.28567433886324367</v>
      </c>
      <c r="O172" s="12"/>
      <c r="P172" s="7">
        <v>28158.74</v>
      </c>
      <c r="Q172" s="3"/>
      <c r="R172" s="8">
        <f t="shared" si="32"/>
        <v>1.1701334979607534E-3</v>
      </c>
      <c r="S172" s="3"/>
      <c r="T172" s="7">
        <v>24130.720000000001</v>
      </c>
      <c r="U172" s="3"/>
      <c r="V172" s="8">
        <f t="shared" si="33"/>
        <v>2.4592345775259496E-3</v>
      </c>
      <c r="W172" s="3"/>
      <c r="X172" s="7">
        <f t="shared" si="34"/>
        <v>4028.0200000000004</v>
      </c>
      <c r="Y172" s="3"/>
      <c r="Z172" s="8">
        <f t="shared" si="35"/>
        <v>0.1669249819317451</v>
      </c>
    </row>
    <row r="173" spans="1:26" s="69" customFormat="1" ht="15" hidden="1" customHeight="1" outlineLevel="2" x14ac:dyDescent="0.25">
      <c r="A173" s="25"/>
      <c r="B173" s="12" t="str">
        <f>CONCATENATE("          ","6118"," - ","VACATION")</f>
        <v xml:space="preserve">          6118 - VACATION</v>
      </c>
      <c r="C173" s="12"/>
      <c r="D173" s="7">
        <v>15565.71</v>
      </c>
      <c r="E173" s="3"/>
      <c r="F173" s="8">
        <f t="shared" si="28"/>
        <v>7.0599974624174664E-3</v>
      </c>
      <c r="G173" s="3"/>
      <c r="H173" s="7">
        <v>14864.38</v>
      </c>
      <c r="I173" s="3"/>
      <c r="J173" s="8">
        <f t="shared" si="29"/>
        <v>1.8385965504263593E-2</v>
      </c>
      <c r="K173" s="3"/>
      <c r="L173" s="7">
        <f t="shared" si="30"/>
        <v>701.32999999999993</v>
      </c>
      <c r="M173" s="3"/>
      <c r="N173" s="8">
        <f t="shared" si="31"/>
        <v>4.7181920806653219E-2</v>
      </c>
      <c r="O173" s="12"/>
      <c r="P173" s="7">
        <v>209819.1</v>
      </c>
      <c r="Q173" s="3"/>
      <c r="R173" s="8">
        <f t="shared" si="32"/>
        <v>8.7190107732795265E-3</v>
      </c>
      <c r="S173" s="3"/>
      <c r="T173" s="7">
        <v>178536.18</v>
      </c>
      <c r="U173" s="3"/>
      <c r="V173" s="8">
        <f t="shared" si="33"/>
        <v>1.8195161486909504E-2</v>
      </c>
      <c r="W173" s="3"/>
      <c r="X173" s="7">
        <f t="shared" si="34"/>
        <v>31282.920000000013</v>
      </c>
      <c r="Y173" s="3"/>
      <c r="Z173" s="8">
        <f t="shared" si="35"/>
        <v>0.175218938816771</v>
      </c>
    </row>
    <row r="174" spans="1:26" s="69" customFormat="1" ht="15" hidden="1" customHeight="1" outlineLevel="2" x14ac:dyDescent="0.25">
      <c r="A174" s="25"/>
      <c r="B174" s="12" t="str">
        <f>CONCATENATE("          ","6119"," - ","SICK LEAVE")</f>
        <v xml:space="preserve">          6119 - SICK LEAVE</v>
      </c>
      <c r="C174" s="12"/>
      <c r="D174" s="7">
        <v>11916.3</v>
      </c>
      <c r="E174" s="3"/>
      <c r="F174" s="8">
        <f t="shared" si="28"/>
        <v>5.4047677723281021E-3</v>
      </c>
      <c r="G174" s="3"/>
      <c r="H174" s="7">
        <v>9716.08</v>
      </c>
      <c r="I174" s="3"/>
      <c r="J174" s="8">
        <f t="shared" si="29"/>
        <v>1.2017959155825229E-2</v>
      </c>
      <c r="K174" s="3"/>
      <c r="L174" s="7">
        <f t="shared" si="30"/>
        <v>2200.2199999999993</v>
      </c>
      <c r="M174" s="3"/>
      <c r="N174" s="8">
        <f t="shared" si="31"/>
        <v>0.2264514083869214</v>
      </c>
      <c r="O174" s="12"/>
      <c r="P174" s="7">
        <v>141668.22</v>
      </c>
      <c r="Q174" s="3"/>
      <c r="R174" s="8">
        <f t="shared" si="32"/>
        <v>5.8870080770117399E-3</v>
      </c>
      <c r="S174" s="3"/>
      <c r="T174" s="7">
        <v>119980.2</v>
      </c>
      <c r="U174" s="3"/>
      <c r="V174" s="8">
        <f t="shared" si="33"/>
        <v>1.2227544659192886E-2</v>
      </c>
      <c r="W174" s="3"/>
      <c r="X174" s="7">
        <f t="shared" si="34"/>
        <v>21688.020000000004</v>
      </c>
      <c r="Y174" s="3"/>
      <c r="Z174" s="8">
        <f t="shared" si="35"/>
        <v>0.18076332594878158</v>
      </c>
    </row>
    <row r="175" spans="1:26" s="69" customFormat="1" ht="15" hidden="1" customHeight="1" outlineLevel="2" x14ac:dyDescent="0.25">
      <c r="A175" s="25"/>
      <c r="B175" s="12" t="str">
        <f>CONCATENATE("          ","6156"," - ","EMPLOYEE MEALS")</f>
        <v xml:space="preserve">          6156 - EMPLOYEE MEALS</v>
      </c>
      <c r="C175" s="12"/>
      <c r="D175" s="7">
        <v>9009.08</v>
      </c>
      <c r="E175" s="3"/>
      <c r="F175" s="8">
        <f t="shared" si="28"/>
        <v>4.0861664478341149E-3</v>
      </c>
      <c r="G175" s="3"/>
      <c r="H175" s="7">
        <v>4361.4799999999996</v>
      </c>
      <c r="I175" s="3"/>
      <c r="J175" s="8">
        <f t="shared" si="29"/>
        <v>5.3947773689542091E-3</v>
      </c>
      <c r="K175" s="3"/>
      <c r="L175" s="7">
        <f t="shared" si="30"/>
        <v>4647.6000000000004</v>
      </c>
      <c r="M175" s="3"/>
      <c r="N175" s="8">
        <f t="shared" si="31"/>
        <v>1.0656015847831473</v>
      </c>
      <c r="O175" s="12"/>
      <c r="P175" s="7">
        <v>92310.14</v>
      </c>
      <c r="Q175" s="3"/>
      <c r="R175" s="8">
        <f t="shared" si="32"/>
        <v>3.8359382207956341E-3</v>
      </c>
      <c r="S175" s="3"/>
      <c r="T175" s="7">
        <v>51421.57</v>
      </c>
      <c r="U175" s="3"/>
      <c r="V175" s="8">
        <f t="shared" si="33"/>
        <v>5.2405275505526174E-3</v>
      </c>
      <c r="W175" s="3"/>
      <c r="X175" s="7">
        <f t="shared" si="34"/>
        <v>40888.57</v>
      </c>
      <c r="Y175" s="3"/>
      <c r="Z175" s="8">
        <f t="shared" si="35"/>
        <v>0.79516378049133851</v>
      </c>
    </row>
    <row r="176" spans="1:26" s="68" customFormat="1" ht="15" customHeight="1" outlineLevel="1" collapsed="1" x14ac:dyDescent="0.25">
      <c r="A176" s="26"/>
      <c r="B176" s="14" t="str">
        <f>CONCATENATE("     ","*Payroll                                          ")</f>
        <v xml:space="preserve">     *Payroll                                          </v>
      </c>
      <c r="C176" s="14"/>
      <c r="D176" s="2">
        <f>SUM(OSRRefD22_1x_0)</f>
        <v>454005.52</v>
      </c>
      <c r="E176" s="2"/>
      <c r="F176" s="6">
        <f t="shared" si="28"/>
        <v>0.20591915300513261</v>
      </c>
      <c r="G176" s="2"/>
      <c r="H176" s="2">
        <f>SUM(OSRRefH22_1x_0)</f>
        <v>258131.67</v>
      </c>
      <c r="I176" s="2"/>
      <c r="J176" s="6">
        <f t="shared" si="29"/>
        <v>0.31928677685702017</v>
      </c>
      <c r="K176" s="2"/>
      <c r="L176" s="2">
        <f t="shared" si="30"/>
        <v>195873.85</v>
      </c>
      <c r="M176" s="2"/>
      <c r="N176" s="6">
        <f t="shared" si="31"/>
        <v>0.75881370929804925</v>
      </c>
      <c r="O176" s="14"/>
      <c r="P176" s="2">
        <f>SUM(OSRRefP22_1x_0)</f>
        <v>5642959.7599999998</v>
      </c>
      <c r="Q176" s="2"/>
      <c r="R176" s="6">
        <f t="shared" si="32"/>
        <v>0.23449260310726167</v>
      </c>
      <c r="S176" s="2"/>
      <c r="T176" s="2">
        <f>SUM(OSRRefT22_1x_0)</f>
        <v>3132509.9200000004</v>
      </c>
      <c r="U176" s="2"/>
      <c r="V176" s="6">
        <f t="shared" si="33"/>
        <v>0.31924354970374058</v>
      </c>
      <c r="W176" s="2"/>
      <c r="X176" s="2">
        <f t="shared" si="34"/>
        <v>2510449.8399999994</v>
      </c>
      <c r="Y176" s="2"/>
      <c r="Z176" s="6">
        <f t="shared" si="35"/>
        <v>0.80141800157491572</v>
      </c>
    </row>
    <row r="177" spans="1:26" s="69" customFormat="1" ht="15" hidden="1" customHeight="1" outlineLevel="2" x14ac:dyDescent="0.25">
      <c r="A177" s="25"/>
      <c r="B177" s="12" t="str">
        <f>CONCATENATE("          ","6001"," - ","ADMINISTRATIVE SALARIES")</f>
        <v xml:space="preserve">          6001 - ADMINISTRATIVE SALARIES</v>
      </c>
      <c r="C177" s="12"/>
      <c r="D177" s="7">
        <v>27131.98</v>
      </c>
      <c r="E177" s="3"/>
      <c r="F177" s="8">
        <f t="shared" si="28"/>
        <v>1.230600531234113E-2</v>
      </c>
      <c r="G177" s="3"/>
      <c r="H177" s="7">
        <v>25672.959999999999</v>
      </c>
      <c r="I177" s="3"/>
      <c r="J177" s="8">
        <f t="shared" si="29"/>
        <v>3.1755253629975756E-2</v>
      </c>
      <c r="K177" s="3"/>
      <c r="L177" s="7">
        <f t="shared" si="30"/>
        <v>1459.0200000000004</v>
      </c>
      <c r="M177" s="3"/>
      <c r="N177" s="8">
        <f t="shared" si="31"/>
        <v>5.6831000398863261E-2</v>
      </c>
      <c r="O177" s="12"/>
      <c r="P177" s="7">
        <v>329676.68</v>
      </c>
      <c r="Q177" s="3"/>
      <c r="R177" s="8">
        <f t="shared" si="32"/>
        <v>1.369967998442004E-2</v>
      </c>
      <c r="S177" s="3"/>
      <c r="T177" s="7">
        <v>314825.68</v>
      </c>
      <c r="U177" s="3"/>
      <c r="V177" s="8">
        <f t="shared" si="33"/>
        <v>3.2084836181809732E-2</v>
      </c>
      <c r="W177" s="3"/>
      <c r="X177" s="7">
        <f t="shared" si="34"/>
        <v>14851</v>
      </c>
      <c r="Y177" s="3"/>
      <c r="Z177" s="8">
        <f t="shared" si="35"/>
        <v>4.717213665670475E-2</v>
      </c>
    </row>
    <row r="178" spans="1:26" s="69" customFormat="1" ht="15" hidden="1" customHeight="1" outlineLevel="2" x14ac:dyDescent="0.25">
      <c r="A178" s="25"/>
      <c r="B178" s="12" t="str">
        <f>CONCATENATE("          ","6002"," - ","STAFF SALARIES")</f>
        <v xml:space="preserve">          6002 - STAFF SALARIES</v>
      </c>
      <c r="C178" s="12"/>
      <c r="D178" s="7">
        <v>97417.83</v>
      </c>
      <c r="E178" s="3"/>
      <c r="F178" s="8">
        <f t="shared" si="28"/>
        <v>4.4184918811555417E-2</v>
      </c>
      <c r="G178" s="3"/>
      <c r="H178" s="7">
        <v>109247.95</v>
      </c>
      <c r="I178" s="3"/>
      <c r="J178" s="8">
        <f t="shared" si="29"/>
        <v>0.13513036131419634</v>
      </c>
      <c r="K178" s="3"/>
      <c r="L178" s="7">
        <f t="shared" si="30"/>
        <v>-11830.119999999995</v>
      </c>
      <c r="M178" s="3"/>
      <c r="N178" s="8">
        <f t="shared" si="31"/>
        <v>-0.10828688318636638</v>
      </c>
      <c r="O178" s="12"/>
      <c r="P178" s="7">
        <v>1333781.3</v>
      </c>
      <c r="Q178" s="3"/>
      <c r="R178" s="8">
        <f t="shared" si="32"/>
        <v>5.542514253420576E-2</v>
      </c>
      <c r="S178" s="3"/>
      <c r="T178" s="7">
        <v>1239251.1000000001</v>
      </c>
      <c r="U178" s="3"/>
      <c r="V178" s="8">
        <f t="shared" si="33"/>
        <v>0.12629582355425237</v>
      </c>
      <c r="W178" s="3"/>
      <c r="X178" s="7">
        <f t="shared" si="34"/>
        <v>94530.199999999953</v>
      </c>
      <c r="Y178" s="3"/>
      <c r="Z178" s="8">
        <f t="shared" si="35"/>
        <v>7.6280101748547935E-2</v>
      </c>
    </row>
    <row r="179" spans="1:26" s="69" customFormat="1" ht="15" hidden="1" customHeight="1" outlineLevel="2" x14ac:dyDescent="0.25">
      <c r="A179" s="25"/>
      <c r="B179" s="12" t="str">
        <f>CONCATENATE("          ","6004"," - ","STAFF HOURLY")</f>
        <v xml:space="preserve">          6004 - STAFF HOURLY</v>
      </c>
      <c r="C179" s="12"/>
      <c r="D179" s="7">
        <v>117080.63</v>
      </c>
      <c r="E179" s="3"/>
      <c r="F179" s="8">
        <f t="shared" si="28"/>
        <v>5.3103196108512773E-2</v>
      </c>
      <c r="G179" s="3"/>
      <c r="H179" s="7">
        <v>61405.25</v>
      </c>
      <c r="I179" s="3"/>
      <c r="J179" s="8">
        <f t="shared" si="29"/>
        <v>7.5953037279770971E-2</v>
      </c>
      <c r="K179" s="3"/>
      <c r="L179" s="7">
        <f t="shared" si="30"/>
        <v>55675.380000000005</v>
      </c>
      <c r="M179" s="3"/>
      <c r="N179" s="8">
        <f t="shared" si="31"/>
        <v>0.90668762035819417</v>
      </c>
      <c r="O179" s="12"/>
      <c r="P179" s="7">
        <v>1326266.3899999999</v>
      </c>
      <c r="Q179" s="3"/>
      <c r="R179" s="8">
        <f t="shared" si="32"/>
        <v>5.5112861234504124E-2</v>
      </c>
      <c r="S179" s="3"/>
      <c r="T179" s="7">
        <v>744235.4</v>
      </c>
      <c r="U179" s="3"/>
      <c r="V179" s="8">
        <f t="shared" si="33"/>
        <v>7.5847278054648026E-2</v>
      </c>
      <c r="W179" s="3"/>
      <c r="X179" s="7">
        <f t="shared" si="34"/>
        <v>582030.98999999987</v>
      </c>
      <c r="Y179" s="3"/>
      <c r="Z179" s="8">
        <f t="shared" si="35"/>
        <v>0.78205227808298272</v>
      </c>
    </row>
    <row r="180" spans="1:26" s="69" customFormat="1" ht="15" hidden="1" customHeight="1" outlineLevel="2" x14ac:dyDescent="0.25">
      <c r="A180" s="25"/>
      <c r="B180" s="12" t="str">
        <f>CONCATENATE("          ","6005"," - ","TEMPORARY WAGES-HOURLY")</f>
        <v xml:space="preserve">          6005 - TEMPORARY WAGES-HOURLY</v>
      </c>
      <c r="C180" s="12"/>
      <c r="D180" s="7">
        <v>36288.449999999997</v>
      </c>
      <c r="E180" s="3"/>
      <c r="F180" s="8">
        <f t="shared" si="28"/>
        <v>1.6459022101469392E-2</v>
      </c>
      <c r="G180" s="3"/>
      <c r="H180" s="7">
        <v>20087.03</v>
      </c>
      <c r="I180" s="3"/>
      <c r="J180" s="8">
        <f t="shared" si="29"/>
        <v>2.4845936437517601E-2</v>
      </c>
      <c r="K180" s="3"/>
      <c r="L180" s="7">
        <f t="shared" si="30"/>
        <v>16201.419999999998</v>
      </c>
      <c r="M180" s="3"/>
      <c r="N180" s="8">
        <f t="shared" si="31"/>
        <v>0.80656124872616808</v>
      </c>
      <c r="O180" s="12"/>
      <c r="P180" s="7">
        <v>698385.5</v>
      </c>
      <c r="Q180" s="3"/>
      <c r="R180" s="8">
        <f t="shared" si="32"/>
        <v>2.9021336467472257E-2</v>
      </c>
      <c r="S180" s="3"/>
      <c r="T180" s="7">
        <v>342613.79</v>
      </c>
      <c r="U180" s="3"/>
      <c r="V180" s="8">
        <f t="shared" si="33"/>
        <v>3.4916806423729352E-2</v>
      </c>
      <c r="W180" s="3"/>
      <c r="X180" s="7">
        <f t="shared" si="34"/>
        <v>355771.71</v>
      </c>
      <c r="Y180" s="3"/>
      <c r="Z180" s="8">
        <f t="shared" si="35"/>
        <v>1.0384045253987004</v>
      </c>
    </row>
    <row r="181" spans="1:26" s="69" customFormat="1" ht="15" hidden="1" customHeight="1" outlineLevel="2" x14ac:dyDescent="0.25">
      <c r="A181" s="25"/>
      <c r="B181" s="12" t="str">
        <f>CONCATENATE("          ","6006"," - ","TEMPORARY PART TIME")</f>
        <v xml:space="preserve">          6006 - TEMPORARY PART TIME</v>
      </c>
      <c r="C181" s="12"/>
      <c r="D181" s="7">
        <v>5104.34</v>
      </c>
      <c r="E181" s="3"/>
      <c r="F181" s="8">
        <f t="shared" si="28"/>
        <v>2.3151290527265367E-3</v>
      </c>
      <c r="G181" s="3"/>
      <c r="H181" s="7">
        <v>3022.67</v>
      </c>
      <c r="I181" s="3"/>
      <c r="J181" s="8">
        <f t="shared" si="29"/>
        <v>3.738784015934229E-3</v>
      </c>
      <c r="K181" s="3"/>
      <c r="L181" s="7">
        <f t="shared" si="30"/>
        <v>2081.67</v>
      </c>
      <c r="M181" s="3"/>
      <c r="N181" s="8">
        <f t="shared" si="31"/>
        <v>0.68868583073904854</v>
      </c>
      <c r="O181" s="12"/>
      <c r="P181" s="7">
        <v>35344.199999999997</v>
      </c>
      <c r="Q181" s="3"/>
      <c r="R181" s="8">
        <f t="shared" si="32"/>
        <v>1.4687245373416729E-3</v>
      </c>
      <c r="S181" s="3"/>
      <c r="T181" s="7">
        <v>22143.95</v>
      </c>
      <c r="U181" s="3"/>
      <c r="V181" s="8">
        <f t="shared" si="33"/>
        <v>2.2567568445121303E-3</v>
      </c>
      <c r="W181" s="3"/>
      <c r="X181" s="7">
        <f t="shared" si="34"/>
        <v>13200.249999999996</v>
      </c>
      <c r="Y181" s="3"/>
      <c r="Z181" s="8">
        <f t="shared" si="35"/>
        <v>0.59611090162324232</v>
      </c>
    </row>
    <row r="182" spans="1:26" s="69" customFormat="1" ht="15" hidden="1" customHeight="1" outlineLevel="2" x14ac:dyDescent="0.25">
      <c r="A182" s="25"/>
      <c r="B182" s="12" t="str">
        <f>CONCATENATE("          ","6007"," - ","STUDENT HOURLY")</f>
        <v xml:space="preserve">          6007 - STUDENT HOURLY</v>
      </c>
      <c r="C182" s="12"/>
      <c r="D182" s="7">
        <v>139239.03</v>
      </c>
      <c r="E182" s="3"/>
      <c r="F182" s="8">
        <f t="shared" si="28"/>
        <v>6.3153379991627082E-2</v>
      </c>
      <c r="G182" s="3"/>
      <c r="H182" s="7">
        <v>36156.35</v>
      </c>
      <c r="I182" s="3"/>
      <c r="J182" s="8">
        <f t="shared" si="29"/>
        <v>4.4722309565557457E-2</v>
      </c>
      <c r="K182" s="3"/>
      <c r="L182" s="7">
        <f t="shared" si="30"/>
        <v>103082.68</v>
      </c>
      <c r="M182" s="3"/>
      <c r="N182" s="8">
        <f t="shared" si="31"/>
        <v>2.8510256151409088</v>
      </c>
      <c r="O182" s="12"/>
      <c r="P182" s="7">
        <v>1537090.8</v>
      </c>
      <c r="Q182" s="3"/>
      <c r="R182" s="8">
        <f t="shared" si="32"/>
        <v>6.3873647559773372E-2</v>
      </c>
      <c r="S182" s="3"/>
      <c r="T182" s="7">
        <v>442355.83</v>
      </c>
      <c r="U182" s="3"/>
      <c r="V182" s="8">
        <f t="shared" si="33"/>
        <v>4.5081819054971869E-2</v>
      </c>
      <c r="W182" s="3"/>
      <c r="X182" s="7">
        <f t="shared" si="34"/>
        <v>1094734.97</v>
      </c>
      <c r="Y182" s="3"/>
      <c r="Z182" s="8">
        <f t="shared" si="35"/>
        <v>2.4747836374169636</v>
      </c>
    </row>
    <row r="183" spans="1:26" s="69" customFormat="1" ht="15" hidden="1" customHeight="1" outlineLevel="2" x14ac:dyDescent="0.25">
      <c r="A183" s="25"/>
      <c r="B183" s="12" t="str">
        <f>CONCATENATE("          ","6008"," - ","STUDENT HOURLY-FICA EXEMPT")</f>
        <v xml:space="preserve">          6008 - STUDENT HOURLY-FICA EXEMPT</v>
      </c>
      <c r="C183" s="12"/>
      <c r="D183" s="7">
        <v>31743.26</v>
      </c>
      <c r="E183" s="3"/>
      <c r="F183" s="8">
        <f t="shared" si="28"/>
        <v>1.4397501626900275E-2</v>
      </c>
      <c r="G183" s="3"/>
      <c r="H183" s="7">
        <v>2539.46</v>
      </c>
      <c r="I183" s="3"/>
      <c r="J183" s="8">
        <f t="shared" si="29"/>
        <v>3.1410946140678067E-3</v>
      </c>
      <c r="K183" s="3"/>
      <c r="L183" s="7">
        <f t="shared" si="30"/>
        <v>29203.8</v>
      </c>
      <c r="M183" s="3"/>
      <c r="N183" s="8">
        <f t="shared" si="31"/>
        <v>11.500003937845053</v>
      </c>
      <c r="O183" s="12"/>
      <c r="P183" s="7">
        <v>382414.89</v>
      </c>
      <c r="Q183" s="3"/>
      <c r="R183" s="8">
        <f t="shared" si="32"/>
        <v>1.5891210789544447E-2</v>
      </c>
      <c r="S183" s="3"/>
      <c r="T183" s="7">
        <v>27084.17</v>
      </c>
      <c r="U183" s="3"/>
      <c r="V183" s="8">
        <f t="shared" si="33"/>
        <v>2.7602295898170879E-3</v>
      </c>
      <c r="W183" s="3"/>
      <c r="X183" s="7">
        <f t="shared" si="34"/>
        <v>355330.72000000003</v>
      </c>
      <c r="Y183" s="3"/>
      <c r="Z183" s="8">
        <f t="shared" si="35"/>
        <v>13.119498216116648</v>
      </c>
    </row>
    <row r="184" spans="1:26" s="68" customFormat="1" ht="15" customHeight="1" outlineLevel="1" collapsed="1" x14ac:dyDescent="0.25">
      <c r="A184" s="26"/>
      <c r="B184" s="14" t="str">
        <f>CONCATENATE("     ","Advertising/Promo                                 ")</f>
        <v xml:space="preserve">     Advertising/Promo                                 </v>
      </c>
      <c r="C184" s="14"/>
      <c r="D184" s="2">
        <f>SUM(OSRRefD22_2x_0)</f>
        <v>2715.27</v>
      </c>
      <c r="E184" s="2"/>
      <c r="F184" s="6">
        <f t="shared" si="28"/>
        <v>1.2315403094223312E-3</v>
      </c>
      <c r="G184" s="2"/>
      <c r="H184" s="2">
        <f>SUM(OSRRefH22_2x_0)</f>
        <v>81.010000000000005</v>
      </c>
      <c r="I184" s="2"/>
      <c r="J184" s="6">
        <f t="shared" si="29"/>
        <v>1.0020243464580385E-4</v>
      </c>
      <c r="K184" s="2"/>
      <c r="L184" s="2">
        <f t="shared" si="30"/>
        <v>2634.2599999999998</v>
      </c>
      <c r="M184" s="2"/>
      <c r="N184" s="6">
        <f t="shared" si="31"/>
        <v>32.517713862486104</v>
      </c>
      <c r="O184" s="14"/>
      <c r="P184" s="2">
        <f>SUM(OSRRefP22_2x_0)</f>
        <v>21960.29</v>
      </c>
      <c r="Q184" s="2"/>
      <c r="R184" s="6">
        <f t="shared" si="32"/>
        <v>9.1255755598199898E-4</v>
      </c>
      <c r="S184" s="2"/>
      <c r="T184" s="2">
        <f>SUM(OSRRefT22_2x_0)</f>
        <v>20251.53</v>
      </c>
      <c r="U184" s="2"/>
      <c r="V184" s="6">
        <f t="shared" si="33"/>
        <v>2.0638946050430362E-3</v>
      </c>
      <c r="W184" s="2"/>
      <c r="X184" s="2">
        <f t="shared" si="34"/>
        <v>1708.760000000002</v>
      </c>
      <c r="Y184" s="2"/>
      <c r="Z184" s="6">
        <f t="shared" si="35"/>
        <v>8.4376834737918668E-2</v>
      </c>
    </row>
    <row r="185" spans="1:26" s="69" customFormat="1" ht="15" hidden="1" customHeight="1" outlineLevel="2" x14ac:dyDescent="0.25">
      <c r="A185" s="25"/>
      <c r="B185" s="12" t="str">
        <f>CONCATENATE("          ","6362"," - ","ADVERTISING EXPENSE")</f>
        <v xml:space="preserve">          6362 - ADVERTISING EXPENSE</v>
      </c>
      <c r="C185" s="12"/>
      <c r="D185" s="7">
        <v>2715.27</v>
      </c>
      <c r="E185" s="3"/>
      <c r="F185" s="8">
        <f t="shared" si="28"/>
        <v>1.2315403094223312E-3</v>
      </c>
      <c r="G185" s="3"/>
      <c r="H185" s="7">
        <v>81.010000000000005</v>
      </c>
      <c r="I185" s="3"/>
      <c r="J185" s="8">
        <f t="shared" si="29"/>
        <v>1.0020243464580385E-4</v>
      </c>
      <c r="K185" s="3"/>
      <c r="L185" s="7">
        <f t="shared" si="30"/>
        <v>2634.2599999999998</v>
      </c>
      <c r="M185" s="3"/>
      <c r="N185" s="8">
        <f t="shared" si="31"/>
        <v>32.517713862486104</v>
      </c>
      <c r="O185" s="12"/>
      <c r="P185" s="7">
        <v>21960.29</v>
      </c>
      <c r="Q185" s="3"/>
      <c r="R185" s="8">
        <f t="shared" si="32"/>
        <v>9.1255755598199898E-4</v>
      </c>
      <c r="S185" s="3"/>
      <c r="T185" s="7">
        <v>20251.53</v>
      </c>
      <c r="U185" s="3"/>
      <c r="V185" s="8">
        <f t="shared" si="33"/>
        <v>2.0638946050430362E-3</v>
      </c>
      <c r="W185" s="3"/>
      <c r="X185" s="7">
        <f t="shared" si="34"/>
        <v>1708.760000000002</v>
      </c>
      <c r="Y185" s="3"/>
      <c r="Z185" s="8">
        <f t="shared" si="35"/>
        <v>8.4376834737918668E-2</v>
      </c>
    </row>
    <row r="186" spans="1:26" s="68" customFormat="1" ht="15" customHeight="1" outlineLevel="1" collapsed="1" x14ac:dyDescent="0.25">
      <c r="A186" s="26"/>
      <c r="B186" s="14" t="str">
        <f>CONCATENATE("     ","Bad Debts/Over/Short                              ")</f>
        <v xml:space="preserve">     Bad Debts/Over/Short                              </v>
      </c>
      <c r="C186" s="14"/>
      <c r="D186" s="2">
        <f>SUM(OSRRefD22_3x_0)</f>
        <v>-2.14</v>
      </c>
      <c r="E186" s="2"/>
      <c r="F186" s="6">
        <f t="shared" si="28"/>
        <v>-9.7062032953031888E-7</v>
      </c>
      <c r="G186" s="2"/>
      <c r="H186" s="2">
        <f>SUM(OSRRefH22_3x_0)</f>
        <v>28.78</v>
      </c>
      <c r="I186" s="2"/>
      <c r="J186" s="6">
        <f t="shared" si="29"/>
        <v>3.5598396112902536E-5</v>
      </c>
      <c r="K186" s="2"/>
      <c r="L186" s="2">
        <f t="shared" si="30"/>
        <v>-30.92</v>
      </c>
      <c r="M186" s="2"/>
      <c r="N186" s="6">
        <f t="shared" si="31"/>
        <v>-1.0743571924947881</v>
      </c>
      <c r="O186" s="14"/>
      <c r="P186" s="2">
        <f>SUM(OSRRefP22_3x_0)</f>
        <v>-21.33</v>
      </c>
      <c r="Q186" s="2"/>
      <c r="R186" s="6">
        <f t="shared" si="32"/>
        <v>-8.8636592090068193E-7</v>
      </c>
      <c r="S186" s="2"/>
      <c r="T186" s="2">
        <f>SUM(OSRRefT22_3x_0)</f>
        <v>5277.31</v>
      </c>
      <c r="U186" s="2"/>
      <c r="V186" s="6">
        <f t="shared" si="33"/>
        <v>5.3782660560163442E-4</v>
      </c>
      <c r="W186" s="2"/>
      <c r="X186" s="2">
        <f t="shared" si="34"/>
        <v>-5298.64</v>
      </c>
      <c r="Y186" s="2"/>
      <c r="Z186" s="6">
        <f t="shared" si="35"/>
        <v>-1.0040418319181552</v>
      </c>
    </row>
    <row r="187" spans="1:26" s="69" customFormat="1" ht="15" hidden="1" customHeight="1" outlineLevel="2" x14ac:dyDescent="0.25">
      <c r="A187" s="25"/>
      <c r="B187" s="12" t="str">
        <f>CONCATENATE("          ","6272"," - ","CASH (OVER/SHORT)")</f>
        <v xml:space="preserve">          6272 - CASH (OVER/SHORT)</v>
      </c>
      <c r="C187" s="12"/>
      <c r="D187" s="7">
        <v>-2.14</v>
      </c>
      <c r="E187" s="3"/>
      <c r="F187" s="8">
        <f t="shared" si="28"/>
        <v>-9.7062032953031888E-7</v>
      </c>
      <c r="G187" s="3"/>
      <c r="H187" s="7">
        <v>28.78</v>
      </c>
      <c r="I187" s="3"/>
      <c r="J187" s="8">
        <f t="shared" si="29"/>
        <v>3.5598396112902536E-5</v>
      </c>
      <c r="K187" s="3"/>
      <c r="L187" s="7">
        <f t="shared" si="30"/>
        <v>-30.92</v>
      </c>
      <c r="M187" s="3"/>
      <c r="N187" s="8">
        <f t="shared" si="31"/>
        <v>-1.0743571924947881</v>
      </c>
      <c r="O187" s="12"/>
      <c r="P187" s="7">
        <v>-21.33</v>
      </c>
      <c r="Q187" s="3"/>
      <c r="R187" s="8">
        <f t="shared" si="32"/>
        <v>-8.8636592090068193E-7</v>
      </c>
      <c r="S187" s="3"/>
      <c r="T187" s="7">
        <v>-72.11</v>
      </c>
      <c r="U187" s="3"/>
      <c r="V187" s="8">
        <f t="shared" si="33"/>
        <v>-7.3489479545324891E-6</v>
      </c>
      <c r="W187" s="3"/>
      <c r="X187" s="7">
        <f t="shared" si="34"/>
        <v>50.78</v>
      </c>
      <c r="Y187" s="3"/>
      <c r="Z187" s="8">
        <f t="shared" si="35"/>
        <v>-0.70420191374289287</v>
      </c>
    </row>
    <row r="188" spans="1:26" s="69" customFormat="1" ht="15" hidden="1" customHeight="1" outlineLevel="2" x14ac:dyDescent="0.25">
      <c r="A188" s="25"/>
      <c r="B188" s="12" t="str">
        <f>CONCATENATE("          ","6342"," - ","BAD DEBT")</f>
        <v xml:space="preserve">          6342 - BAD DEBT</v>
      </c>
      <c r="C188" s="12"/>
      <c r="D188" s="7"/>
      <c r="E188" s="3"/>
      <c r="F188" s="8">
        <f t="shared" si="28"/>
        <v>0</v>
      </c>
      <c r="G188" s="3"/>
      <c r="H188" s="7"/>
      <c r="I188" s="3"/>
      <c r="J188" s="8">
        <f t="shared" si="29"/>
        <v>0</v>
      </c>
      <c r="K188" s="3"/>
      <c r="L188" s="7">
        <f t="shared" si="30"/>
        <v>0</v>
      </c>
      <c r="M188" s="3"/>
      <c r="N188" s="8">
        <f t="shared" si="31"/>
        <v>0</v>
      </c>
      <c r="O188" s="12"/>
      <c r="P188" s="7"/>
      <c r="Q188" s="3"/>
      <c r="R188" s="8">
        <f t="shared" si="32"/>
        <v>0</v>
      </c>
      <c r="S188" s="3"/>
      <c r="T188" s="7">
        <v>5349.42</v>
      </c>
      <c r="U188" s="3"/>
      <c r="V188" s="8">
        <f t="shared" si="33"/>
        <v>5.4517555355616679E-4</v>
      </c>
      <c r="W188" s="3"/>
      <c r="X188" s="7">
        <f t="shared" si="34"/>
        <v>-5349.42</v>
      </c>
      <c r="Y188" s="3"/>
      <c r="Z188" s="8">
        <f t="shared" si="35"/>
        <v>-1</v>
      </c>
    </row>
    <row r="189" spans="1:26" s="68" customFormat="1" ht="15" customHeight="1" outlineLevel="1" collapsed="1" x14ac:dyDescent="0.25">
      <c r="A189" s="26"/>
      <c r="B189" s="14" t="str">
        <f>CONCATENATE("     ","Bank/card Fees                                    ")</f>
        <v xml:space="preserve">     Bank/card Fees                                    </v>
      </c>
      <c r="C189" s="14"/>
      <c r="D189" s="2">
        <f>SUM(OSRRefD22_4x_0)</f>
        <v>25944.12</v>
      </c>
      <c r="E189" s="2"/>
      <c r="F189" s="6">
        <f t="shared" si="28"/>
        <v>1.176723845970754E-2</v>
      </c>
      <c r="G189" s="2"/>
      <c r="H189" s="2">
        <f>SUM(OSRRefH22_4x_0)</f>
        <v>10140.25</v>
      </c>
      <c r="I189" s="2"/>
      <c r="J189" s="6">
        <f t="shared" si="29"/>
        <v>1.2542621132170256E-2</v>
      </c>
      <c r="K189" s="2"/>
      <c r="L189" s="2">
        <f t="shared" si="30"/>
        <v>15803.869999999999</v>
      </c>
      <c r="M189" s="2"/>
      <c r="N189" s="6">
        <f t="shared" si="31"/>
        <v>1.5585286358817583</v>
      </c>
      <c r="O189" s="14"/>
      <c r="P189" s="2">
        <f>SUM(OSRRefP22_4x_0)</f>
        <v>223827.8</v>
      </c>
      <c r="Q189" s="2"/>
      <c r="R189" s="6">
        <f t="shared" si="32"/>
        <v>9.3011408377952961E-3</v>
      </c>
      <c r="S189" s="2"/>
      <c r="T189" s="2">
        <f>SUM(OSRRefT22_4x_0)</f>
        <v>94574.16</v>
      </c>
      <c r="U189" s="2"/>
      <c r="V189" s="6">
        <f t="shared" si="33"/>
        <v>9.6383383675444235E-3</v>
      </c>
      <c r="W189" s="2"/>
      <c r="X189" s="2">
        <f t="shared" si="34"/>
        <v>129253.63999999998</v>
      </c>
      <c r="Y189" s="2"/>
      <c r="Z189" s="6">
        <f t="shared" si="35"/>
        <v>1.3666908593214042</v>
      </c>
    </row>
    <row r="190" spans="1:26" s="69" customFormat="1" ht="15" hidden="1" customHeight="1" outlineLevel="2" x14ac:dyDescent="0.25">
      <c r="A190" s="25"/>
      <c r="B190" s="12" t="str">
        <f>CONCATENATE("          ","6381"," - ","BANK/CREDIT CARD FEES")</f>
        <v xml:space="preserve">          6381 - BANK/CREDIT CARD FEES</v>
      </c>
      <c r="C190" s="12"/>
      <c r="D190" s="7">
        <v>25944.12</v>
      </c>
      <c r="E190" s="3"/>
      <c r="F190" s="8">
        <f t="shared" si="28"/>
        <v>1.176723845970754E-2</v>
      </c>
      <c r="G190" s="3"/>
      <c r="H190" s="7">
        <v>10140.25</v>
      </c>
      <c r="I190" s="3"/>
      <c r="J190" s="8">
        <f t="shared" si="29"/>
        <v>1.2542621132170256E-2</v>
      </c>
      <c r="K190" s="3"/>
      <c r="L190" s="7">
        <f t="shared" si="30"/>
        <v>15803.869999999999</v>
      </c>
      <c r="M190" s="3"/>
      <c r="N190" s="8">
        <f t="shared" si="31"/>
        <v>1.5585286358817583</v>
      </c>
      <c r="O190" s="12"/>
      <c r="P190" s="7">
        <v>223827.8</v>
      </c>
      <c r="Q190" s="3"/>
      <c r="R190" s="8">
        <f t="shared" si="32"/>
        <v>9.3011408377952961E-3</v>
      </c>
      <c r="S190" s="3"/>
      <c r="T190" s="7">
        <v>94574.16</v>
      </c>
      <c r="U190" s="3"/>
      <c r="V190" s="8">
        <f t="shared" si="33"/>
        <v>9.6383383675444235E-3</v>
      </c>
      <c r="W190" s="3"/>
      <c r="X190" s="7">
        <f t="shared" si="34"/>
        <v>129253.63999999998</v>
      </c>
      <c r="Y190" s="3"/>
      <c r="Z190" s="8">
        <f t="shared" si="35"/>
        <v>1.3666908593214042</v>
      </c>
    </row>
    <row r="191" spans="1:26" s="68" customFormat="1" ht="15" customHeight="1" outlineLevel="1" collapsed="1" x14ac:dyDescent="0.25">
      <c r="A191" s="26"/>
      <c r="B191" s="14" t="str">
        <f>CONCATENATE("     ","Depreciation                                      ")</f>
        <v xml:space="preserve">     Depreciation                                      </v>
      </c>
      <c r="C191" s="14"/>
      <c r="D191" s="2">
        <f>SUM(OSRRefD22_5x_0)</f>
        <v>60468.06</v>
      </c>
      <c r="E191" s="2"/>
      <c r="F191" s="6">
        <f t="shared" si="28"/>
        <v>2.7425947814607051E-2</v>
      </c>
      <c r="G191" s="2"/>
      <c r="H191" s="2">
        <f>SUM(OSRRefH22_5x_0)</f>
        <v>77647.61</v>
      </c>
      <c r="I191" s="2"/>
      <c r="J191" s="6">
        <f t="shared" si="29"/>
        <v>9.6043446073668243E-2</v>
      </c>
      <c r="K191" s="2"/>
      <c r="L191" s="2">
        <f t="shared" si="30"/>
        <v>-17179.550000000003</v>
      </c>
      <c r="M191" s="2"/>
      <c r="N191" s="6">
        <f t="shared" si="31"/>
        <v>-0.22125020976176862</v>
      </c>
      <c r="O191" s="14"/>
      <c r="P191" s="2">
        <f>SUM(OSRRefP22_5x_0)</f>
        <v>750998.76</v>
      </c>
      <c r="Q191" s="2"/>
      <c r="R191" s="6">
        <f t="shared" si="32"/>
        <v>3.1207674988404606E-2</v>
      </c>
      <c r="S191" s="2"/>
      <c r="T191" s="2">
        <f>SUM(OSRRefT22_5x_0)</f>
        <v>856895.86</v>
      </c>
      <c r="U191" s="2"/>
      <c r="V191" s="6">
        <f t="shared" si="33"/>
        <v>8.7328845896468707E-2</v>
      </c>
      <c r="W191" s="2"/>
      <c r="X191" s="2">
        <f t="shared" si="34"/>
        <v>-105897.09999999998</v>
      </c>
      <c r="Y191" s="2"/>
      <c r="Z191" s="6">
        <f t="shared" si="35"/>
        <v>-0.12358222853358164</v>
      </c>
    </row>
    <row r="192" spans="1:26" s="69" customFormat="1" ht="15" hidden="1" customHeight="1" outlineLevel="2" x14ac:dyDescent="0.25">
      <c r="A192" s="25"/>
      <c r="B192" s="12" t="str">
        <f>CONCATENATE("          ","6321"," - ","BUILDING DEPRECIATION")</f>
        <v xml:space="preserve">          6321 - BUILDING DEPRECIATION</v>
      </c>
      <c r="C192" s="12"/>
      <c r="D192" s="7">
        <v>41941.620000000003</v>
      </c>
      <c r="E192" s="3"/>
      <c r="F192" s="8">
        <f t="shared" si="28"/>
        <v>1.9023078983848325E-2</v>
      </c>
      <c r="G192" s="3"/>
      <c r="H192" s="7">
        <v>45060.52</v>
      </c>
      <c r="I192" s="3"/>
      <c r="J192" s="8">
        <f t="shared" si="29"/>
        <v>5.5736005559880709E-2</v>
      </c>
      <c r="K192" s="3"/>
      <c r="L192" s="7">
        <f t="shared" si="30"/>
        <v>-3118.8999999999942</v>
      </c>
      <c r="M192" s="3"/>
      <c r="N192" s="8">
        <f t="shared" si="31"/>
        <v>-6.9215801326748885E-2</v>
      </c>
      <c r="O192" s="12"/>
      <c r="P192" s="7">
        <v>480704.7</v>
      </c>
      <c r="Q192" s="3"/>
      <c r="R192" s="8">
        <f t="shared" si="32"/>
        <v>1.9975633572282516E-2</v>
      </c>
      <c r="S192" s="3"/>
      <c r="T192" s="7">
        <v>496449.91</v>
      </c>
      <c r="U192" s="3"/>
      <c r="V192" s="8">
        <f t="shared" si="33"/>
        <v>5.0594710173656056E-2</v>
      </c>
      <c r="W192" s="3"/>
      <c r="X192" s="7">
        <f t="shared" si="34"/>
        <v>-15745.209999999963</v>
      </c>
      <c r="Y192" s="3"/>
      <c r="Z192" s="8">
        <f t="shared" si="35"/>
        <v>-3.1715606515066067E-2</v>
      </c>
    </row>
    <row r="193" spans="1:26" s="69" customFormat="1" ht="15" hidden="1" customHeight="1" outlineLevel="2" x14ac:dyDescent="0.25">
      <c r="A193" s="25"/>
      <c r="B193" s="12" t="str">
        <f>CONCATENATE("          ","6322"," - ","EQUIPMENT DEPRECIATION EXPENSE")</f>
        <v xml:space="preserve">          6322 - EQUIPMENT DEPRECIATION EXPENSE</v>
      </c>
      <c r="C193" s="12"/>
      <c r="D193" s="7">
        <v>18526.439999999999</v>
      </c>
      <c r="E193" s="3"/>
      <c r="F193" s="8">
        <f t="shared" si="28"/>
        <v>8.4028688307587283E-3</v>
      </c>
      <c r="G193" s="3"/>
      <c r="H193" s="7">
        <v>32587.09</v>
      </c>
      <c r="I193" s="3"/>
      <c r="J193" s="8">
        <f t="shared" si="29"/>
        <v>4.0307440513787533E-2</v>
      </c>
      <c r="K193" s="3"/>
      <c r="L193" s="7">
        <f t="shared" si="30"/>
        <v>-14060.650000000001</v>
      </c>
      <c r="M193" s="3"/>
      <c r="N193" s="8">
        <f t="shared" si="31"/>
        <v>-0.43147915324749775</v>
      </c>
      <c r="O193" s="12"/>
      <c r="P193" s="7">
        <v>270294.06</v>
      </c>
      <c r="Q193" s="3"/>
      <c r="R193" s="8">
        <f t="shared" si="32"/>
        <v>1.123204141612209E-2</v>
      </c>
      <c r="S193" s="3"/>
      <c r="T193" s="7">
        <v>360445.95</v>
      </c>
      <c r="U193" s="3"/>
      <c r="V193" s="8">
        <f t="shared" si="33"/>
        <v>3.6734135722812651E-2</v>
      </c>
      <c r="W193" s="3"/>
      <c r="X193" s="7">
        <f t="shared" si="34"/>
        <v>-90151.890000000014</v>
      </c>
      <c r="Y193" s="3"/>
      <c r="Z193" s="8">
        <f t="shared" si="35"/>
        <v>-0.25011209031478926</v>
      </c>
    </row>
    <row r="194" spans="1:26" s="68" customFormat="1" ht="15" customHeight="1" outlineLevel="1" collapsed="1" x14ac:dyDescent="0.25">
      <c r="A194" s="26"/>
      <c r="B194" s="14" t="str">
        <f>CONCATENATE("     ","Discounts and Markdowns                           ")</f>
        <v xml:space="preserve">     Discounts and Markdowns                           </v>
      </c>
      <c r="C194" s="14"/>
      <c r="D194" s="2">
        <f>SUM(OSRRefD22_6x_0)</f>
        <v>-17.57</v>
      </c>
      <c r="E194" s="2"/>
      <c r="F194" s="6">
        <f t="shared" si="28"/>
        <v>-7.9690650419849081E-6</v>
      </c>
      <c r="G194" s="2"/>
      <c r="H194" s="2">
        <f>SUM(OSRRefH22_6x_0)</f>
        <v>0</v>
      </c>
      <c r="I194" s="2"/>
      <c r="J194" s="6">
        <f t="shared" si="29"/>
        <v>0</v>
      </c>
      <c r="K194" s="2"/>
      <c r="L194" s="2">
        <f t="shared" si="30"/>
        <v>-17.57</v>
      </c>
      <c r="M194" s="2"/>
      <c r="N194" s="6">
        <f t="shared" si="31"/>
        <v>0</v>
      </c>
      <c r="O194" s="14"/>
      <c r="P194" s="2">
        <f>SUM(OSRRefP22_6x_0)</f>
        <v>1989.08</v>
      </c>
      <c r="Q194" s="2"/>
      <c r="R194" s="6">
        <f t="shared" si="32"/>
        <v>8.2656011530479536E-5</v>
      </c>
      <c r="S194" s="2"/>
      <c r="T194" s="2">
        <f>SUM(OSRRefT22_6x_0)</f>
        <v>-15.43</v>
      </c>
      <c r="U194" s="2"/>
      <c r="V194" s="6">
        <f t="shared" si="33"/>
        <v>-1.5725179162173944E-6</v>
      </c>
      <c r="W194" s="2"/>
      <c r="X194" s="2">
        <f t="shared" si="34"/>
        <v>2004.51</v>
      </c>
      <c r="Y194" s="2"/>
      <c r="Z194" s="6">
        <f t="shared" si="35"/>
        <v>-129.90991574854181</v>
      </c>
    </row>
    <row r="195" spans="1:26" s="69" customFormat="1" ht="15" hidden="1" customHeight="1" outlineLevel="2" x14ac:dyDescent="0.25">
      <c r="A195" s="25"/>
      <c r="B195" s="12" t="str">
        <f>CONCATENATE("          ","6382"," - ","DISCOUNTS/MARK DOWNS")</f>
        <v xml:space="preserve">          6382 - DISCOUNTS/MARK DOWNS</v>
      </c>
      <c r="C195" s="12"/>
      <c r="D195" s="7"/>
      <c r="E195" s="3"/>
      <c r="F195" s="8">
        <f t="shared" si="28"/>
        <v>0</v>
      </c>
      <c r="G195" s="3"/>
      <c r="H195" s="7">
        <v>0</v>
      </c>
      <c r="I195" s="3"/>
      <c r="J195" s="8">
        <f t="shared" si="29"/>
        <v>0</v>
      </c>
      <c r="K195" s="3"/>
      <c r="L195" s="7">
        <f t="shared" si="30"/>
        <v>0</v>
      </c>
      <c r="M195" s="3"/>
      <c r="N195" s="8">
        <f t="shared" si="31"/>
        <v>0</v>
      </c>
      <c r="O195" s="12"/>
      <c r="P195" s="7">
        <v>2171.35</v>
      </c>
      <c r="Q195" s="3"/>
      <c r="R195" s="8">
        <f t="shared" si="32"/>
        <v>9.0230222332287653E-5</v>
      </c>
      <c r="S195" s="3"/>
      <c r="T195" s="7">
        <v>0</v>
      </c>
      <c r="U195" s="3"/>
      <c r="V195" s="8">
        <f t="shared" si="33"/>
        <v>0</v>
      </c>
      <c r="W195" s="3"/>
      <c r="X195" s="7">
        <f t="shared" si="34"/>
        <v>2171.35</v>
      </c>
      <c r="Y195" s="3"/>
      <c r="Z195" s="8">
        <f t="shared" si="35"/>
        <v>0</v>
      </c>
    </row>
    <row r="196" spans="1:26" s="69" customFormat="1" ht="15" hidden="1" customHeight="1" outlineLevel="2" x14ac:dyDescent="0.25">
      <c r="A196" s="25"/>
      <c r="B196" s="12" t="str">
        <f>CONCATENATE("          ","9175"," - ","EARNED DISCOUNTS")</f>
        <v xml:space="preserve">          9175 - EARNED DISCOUNTS</v>
      </c>
      <c r="C196" s="12"/>
      <c r="D196" s="7">
        <v>-17.57</v>
      </c>
      <c r="E196" s="3"/>
      <c r="F196" s="8">
        <f t="shared" ref="F196:F227" si="36">IF(D$12=0,0,D196/D$12)</f>
        <v>-7.9690650419849081E-6</v>
      </c>
      <c r="G196" s="3"/>
      <c r="H196" s="7">
        <v>0</v>
      </c>
      <c r="I196" s="3"/>
      <c r="J196" s="8">
        <f t="shared" ref="J196:J227" si="37">IF(H$12=0,0,H196/H$12)</f>
        <v>0</v>
      </c>
      <c r="K196" s="3"/>
      <c r="L196" s="7">
        <f t="shared" ref="L196:L227" si="38">+D196-H196</f>
        <v>-17.57</v>
      </c>
      <c r="M196" s="3"/>
      <c r="N196" s="8">
        <f t="shared" ref="N196:N227" si="39">IF(H196=0,0,L196/H196)</f>
        <v>0</v>
      </c>
      <c r="O196" s="12"/>
      <c r="P196" s="7">
        <v>-182.27</v>
      </c>
      <c r="Q196" s="3"/>
      <c r="R196" s="8">
        <f t="shared" ref="R196:R227" si="40">IF(P$12=0,0,P196/P$12)</f>
        <v>-7.5742108018081253E-6</v>
      </c>
      <c r="S196" s="3"/>
      <c r="T196" s="7">
        <v>-15.43</v>
      </c>
      <c r="U196" s="3"/>
      <c r="V196" s="8">
        <f t="shared" ref="V196:V227" si="41">IF(T$12=0,0,T196/T$12)</f>
        <v>-1.5725179162173944E-6</v>
      </c>
      <c r="W196" s="3"/>
      <c r="X196" s="7">
        <f t="shared" ref="X196:X227" si="42">+P196-T196</f>
        <v>-166.84</v>
      </c>
      <c r="Y196" s="3"/>
      <c r="Z196" s="8">
        <f t="shared" ref="Z196:Z227" si="43">IF(T196=0,0,X196/T196)</f>
        <v>10.812702527543747</v>
      </c>
    </row>
    <row r="197" spans="1:26" s="68" customFormat="1" ht="15" customHeight="1" outlineLevel="1" collapsed="1" x14ac:dyDescent="0.25">
      <c r="A197" s="26"/>
      <c r="B197" s="14" t="str">
        <f>CONCATENATE("     ","Donations                                         ")</f>
        <v xml:space="preserve">     Donations                                         </v>
      </c>
      <c r="C197" s="14"/>
      <c r="D197" s="2">
        <f>SUM(OSRRefD22_7x_0)</f>
        <v>3994.53</v>
      </c>
      <c r="E197" s="2"/>
      <c r="F197" s="6">
        <f t="shared" si="36"/>
        <v>1.8117626284667031E-3</v>
      </c>
      <c r="G197" s="2"/>
      <c r="H197" s="2">
        <f>SUM(OSRRefH22_7x_0)</f>
        <v>3603.41</v>
      </c>
      <c r="I197" s="2"/>
      <c r="J197" s="6">
        <f t="shared" si="37"/>
        <v>4.4571096781512902E-3</v>
      </c>
      <c r="K197" s="2"/>
      <c r="L197" s="2">
        <f t="shared" si="38"/>
        <v>391.12000000000035</v>
      </c>
      <c r="M197" s="2"/>
      <c r="N197" s="6">
        <f t="shared" si="39"/>
        <v>0.10854163139914702</v>
      </c>
      <c r="O197" s="14"/>
      <c r="P197" s="2">
        <f>SUM(OSRRefP22_7x_0)</f>
        <v>77992.600000000006</v>
      </c>
      <c r="Q197" s="2"/>
      <c r="R197" s="6">
        <f t="shared" si="40"/>
        <v>3.2409743423552993E-3</v>
      </c>
      <c r="S197" s="2"/>
      <c r="T197" s="2">
        <f>SUM(OSRRefT22_7x_0)</f>
        <v>62269.95</v>
      </c>
      <c r="U197" s="2"/>
      <c r="V197" s="6">
        <f t="shared" si="41"/>
        <v>6.3461187308464896E-3</v>
      </c>
      <c r="W197" s="2"/>
      <c r="X197" s="2">
        <f t="shared" si="42"/>
        <v>15722.650000000009</v>
      </c>
      <c r="Y197" s="2"/>
      <c r="Z197" s="6">
        <f t="shared" si="43"/>
        <v>0.25249177171332254</v>
      </c>
    </row>
    <row r="198" spans="1:26" s="69" customFormat="1" ht="15" hidden="1" customHeight="1" outlineLevel="2" x14ac:dyDescent="0.25">
      <c r="A198" s="25"/>
      <c r="B198" s="12" t="str">
        <f>CONCATENATE("          ","6399"," - ","DONATION-ON CAMPUS")</f>
        <v xml:space="preserve">          6399 - DONATION-ON CAMPUS</v>
      </c>
      <c r="C198" s="12"/>
      <c r="D198" s="7">
        <v>3994.53</v>
      </c>
      <c r="E198" s="3"/>
      <c r="F198" s="8">
        <f t="shared" si="36"/>
        <v>1.8117626284667031E-3</v>
      </c>
      <c r="G198" s="3"/>
      <c r="H198" s="7">
        <v>3603.41</v>
      </c>
      <c r="I198" s="3"/>
      <c r="J198" s="8">
        <f t="shared" si="37"/>
        <v>4.4571096781512902E-3</v>
      </c>
      <c r="K198" s="3"/>
      <c r="L198" s="7">
        <f t="shared" si="38"/>
        <v>391.12000000000035</v>
      </c>
      <c r="M198" s="3"/>
      <c r="N198" s="8">
        <f t="shared" si="39"/>
        <v>0.10854163139914702</v>
      </c>
      <c r="O198" s="12"/>
      <c r="P198" s="7">
        <v>77992.600000000006</v>
      </c>
      <c r="Q198" s="3"/>
      <c r="R198" s="8">
        <f t="shared" si="40"/>
        <v>3.2409743423552993E-3</v>
      </c>
      <c r="S198" s="3"/>
      <c r="T198" s="7">
        <v>62269.95</v>
      </c>
      <c r="U198" s="3"/>
      <c r="V198" s="8">
        <f t="shared" si="41"/>
        <v>6.3461187308464896E-3</v>
      </c>
      <c r="W198" s="3"/>
      <c r="X198" s="7">
        <f t="shared" si="42"/>
        <v>15722.650000000009</v>
      </c>
      <c r="Y198" s="3"/>
      <c r="Z198" s="8">
        <f t="shared" si="43"/>
        <v>0.25249177171332254</v>
      </c>
    </row>
    <row r="199" spans="1:26" s="68" customFormat="1" ht="15" customHeight="1" outlineLevel="1" collapsed="1" x14ac:dyDescent="0.25">
      <c r="A199" s="26"/>
      <c r="B199" s="14" t="str">
        <f>CONCATENATE("     ","Employees' Appreciation                           ")</f>
        <v xml:space="preserve">     Employees' Appreciation                           </v>
      </c>
      <c r="C199" s="14"/>
      <c r="D199" s="2">
        <f>SUM(OSRRefD22_8x_0)</f>
        <v>37.700000000000003</v>
      </c>
      <c r="E199" s="2"/>
      <c r="F199" s="6">
        <f t="shared" si="36"/>
        <v>1.7099245992193002E-5</v>
      </c>
      <c r="G199" s="2"/>
      <c r="H199" s="2">
        <f>SUM(OSRRefH22_8x_0)</f>
        <v>0</v>
      </c>
      <c r="I199" s="2"/>
      <c r="J199" s="6">
        <f t="shared" si="37"/>
        <v>0</v>
      </c>
      <c r="K199" s="2"/>
      <c r="L199" s="2">
        <f t="shared" si="38"/>
        <v>37.700000000000003</v>
      </c>
      <c r="M199" s="2"/>
      <c r="N199" s="6">
        <f t="shared" si="39"/>
        <v>0</v>
      </c>
      <c r="O199" s="14"/>
      <c r="P199" s="2">
        <f>SUM(OSRRefP22_8x_0)</f>
        <v>5059.6099999999997</v>
      </c>
      <c r="Q199" s="2"/>
      <c r="R199" s="6">
        <f t="shared" si="40"/>
        <v>2.1025156479363802E-4</v>
      </c>
      <c r="S199" s="2"/>
      <c r="T199" s="2">
        <f>SUM(OSRRefT22_8x_0)</f>
        <v>196.03</v>
      </c>
      <c r="U199" s="2"/>
      <c r="V199" s="6">
        <f t="shared" si="41"/>
        <v>1.9978009534419692E-5</v>
      </c>
      <c r="W199" s="2"/>
      <c r="X199" s="2">
        <f t="shared" si="42"/>
        <v>4863.58</v>
      </c>
      <c r="Y199" s="2"/>
      <c r="Z199" s="6">
        <f t="shared" si="43"/>
        <v>24.810386165382848</v>
      </c>
    </row>
    <row r="200" spans="1:26" s="69" customFormat="1" ht="15" hidden="1" customHeight="1" outlineLevel="2" x14ac:dyDescent="0.25">
      <c r="A200" s="25"/>
      <c r="B200" s="12" t="str">
        <f>CONCATENATE("          ","6277"," - ","EMPLOYEE APPRECIATION")</f>
        <v xml:space="preserve">          6277 - EMPLOYEE APPRECIATION</v>
      </c>
      <c r="C200" s="12"/>
      <c r="D200" s="7">
        <v>37.700000000000003</v>
      </c>
      <c r="E200" s="3"/>
      <c r="F200" s="8">
        <f t="shared" si="36"/>
        <v>1.7099245992193002E-5</v>
      </c>
      <c r="G200" s="3"/>
      <c r="H200" s="7"/>
      <c r="I200" s="3"/>
      <c r="J200" s="8">
        <f t="shared" si="37"/>
        <v>0</v>
      </c>
      <c r="K200" s="3"/>
      <c r="L200" s="7">
        <f t="shared" si="38"/>
        <v>37.700000000000003</v>
      </c>
      <c r="M200" s="3"/>
      <c r="N200" s="8">
        <f t="shared" si="39"/>
        <v>0</v>
      </c>
      <c r="O200" s="12"/>
      <c r="P200" s="7">
        <v>5059.6099999999997</v>
      </c>
      <c r="Q200" s="3"/>
      <c r="R200" s="8">
        <f t="shared" si="40"/>
        <v>2.1025156479363802E-4</v>
      </c>
      <c r="S200" s="3"/>
      <c r="T200" s="7">
        <v>196.03</v>
      </c>
      <c r="U200" s="3"/>
      <c r="V200" s="8">
        <f t="shared" si="41"/>
        <v>1.9978009534419692E-5</v>
      </c>
      <c r="W200" s="3"/>
      <c r="X200" s="7">
        <f t="shared" si="42"/>
        <v>4863.58</v>
      </c>
      <c r="Y200" s="3"/>
      <c r="Z200" s="8">
        <f t="shared" si="43"/>
        <v>24.810386165382848</v>
      </c>
    </row>
    <row r="201" spans="1:26" s="68" customFormat="1" ht="15" customHeight="1" outlineLevel="1" collapsed="1" x14ac:dyDescent="0.25">
      <c r="A201" s="26"/>
      <c r="B201" s="14" t="str">
        <f>CONCATENATE("     ","Equipment Rental                                  ")</f>
        <v xml:space="preserve">     Equipment Rental                                  </v>
      </c>
      <c r="C201" s="14"/>
      <c r="D201" s="2">
        <f>SUM(OSRRefD22_9x_0)</f>
        <v>3106.76</v>
      </c>
      <c r="E201" s="2"/>
      <c r="F201" s="6">
        <f t="shared" si="36"/>
        <v>1.4091048668091652E-3</v>
      </c>
      <c r="G201" s="2"/>
      <c r="H201" s="2">
        <f>SUM(OSRRefH22_9x_0)</f>
        <v>3584.98</v>
      </c>
      <c r="I201" s="2"/>
      <c r="J201" s="6">
        <f t="shared" si="37"/>
        <v>4.4343133459636324E-3</v>
      </c>
      <c r="K201" s="2"/>
      <c r="L201" s="2">
        <f t="shared" si="38"/>
        <v>-478.2199999999998</v>
      </c>
      <c r="M201" s="2"/>
      <c r="N201" s="6">
        <f t="shared" si="39"/>
        <v>-0.13339544432604919</v>
      </c>
      <c r="O201" s="14"/>
      <c r="P201" s="2">
        <f>SUM(OSRRefP22_9x_0)</f>
        <v>39733.67</v>
      </c>
      <c r="Q201" s="2"/>
      <c r="R201" s="6">
        <f t="shared" si="40"/>
        <v>1.6511285044685325E-3</v>
      </c>
      <c r="S201" s="2"/>
      <c r="T201" s="2">
        <f>SUM(OSRRefT22_9x_0)</f>
        <v>29965.5</v>
      </c>
      <c r="U201" s="2"/>
      <c r="V201" s="6">
        <f t="shared" si="41"/>
        <v>3.0538746350234824E-3</v>
      </c>
      <c r="W201" s="2"/>
      <c r="X201" s="2">
        <f t="shared" si="42"/>
        <v>9768.1699999999983</v>
      </c>
      <c r="Y201" s="2"/>
      <c r="Z201" s="6">
        <f t="shared" si="43"/>
        <v>0.32598054429260309</v>
      </c>
    </row>
    <row r="202" spans="1:26" s="69" customFormat="1" ht="15" hidden="1" customHeight="1" outlineLevel="2" x14ac:dyDescent="0.25">
      <c r="A202" s="25"/>
      <c r="B202" s="12" t="str">
        <f>CONCATENATE("          ","6351"," - ","EQUIPMENT RENTAL")</f>
        <v xml:space="preserve">          6351 - EQUIPMENT RENTAL</v>
      </c>
      <c r="C202" s="12"/>
      <c r="D202" s="7">
        <v>3106.76</v>
      </c>
      <c r="E202" s="3"/>
      <c r="F202" s="8">
        <f t="shared" si="36"/>
        <v>1.4091048668091652E-3</v>
      </c>
      <c r="G202" s="3"/>
      <c r="H202" s="7">
        <v>3584.98</v>
      </c>
      <c r="I202" s="3"/>
      <c r="J202" s="8">
        <f t="shared" si="37"/>
        <v>4.4343133459636324E-3</v>
      </c>
      <c r="K202" s="3"/>
      <c r="L202" s="7">
        <f t="shared" si="38"/>
        <v>-478.2199999999998</v>
      </c>
      <c r="M202" s="3"/>
      <c r="N202" s="8">
        <f t="shared" si="39"/>
        <v>-0.13339544432604919</v>
      </c>
      <c r="O202" s="12"/>
      <c r="P202" s="7">
        <v>39733.67</v>
      </c>
      <c r="Q202" s="3"/>
      <c r="R202" s="8">
        <f t="shared" si="40"/>
        <v>1.6511285044685325E-3</v>
      </c>
      <c r="S202" s="3"/>
      <c r="T202" s="7">
        <v>29965.5</v>
      </c>
      <c r="U202" s="3"/>
      <c r="V202" s="8">
        <f t="shared" si="41"/>
        <v>3.0538746350234824E-3</v>
      </c>
      <c r="W202" s="3"/>
      <c r="X202" s="7">
        <f t="shared" si="42"/>
        <v>9768.1699999999983</v>
      </c>
      <c r="Y202" s="3"/>
      <c r="Z202" s="8">
        <f t="shared" si="43"/>
        <v>0.32598054429260309</v>
      </c>
    </row>
    <row r="203" spans="1:26" s="68" customFormat="1" ht="15" customHeight="1" outlineLevel="1" collapsed="1" x14ac:dyDescent="0.25">
      <c r="A203" s="26"/>
      <c r="B203" s="14" t="str">
        <f>CONCATENATE("     ","Freight out/Postage                               ")</f>
        <v xml:space="preserve">     Freight out/Postage                               </v>
      </c>
      <c r="C203" s="14"/>
      <c r="D203" s="2">
        <f>SUM(OSRRefD22_10x_0)</f>
        <v>-1240.0600000000004</v>
      </c>
      <c r="E203" s="2"/>
      <c r="F203" s="6">
        <f t="shared" si="36"/>
        <v>-5.6244273169970454E-4</v>
      </c>
      <c r="G203" s="2"/>
      <c r="H203" s="2">
        <f>SUM(OSRRefH22_10x_0)</f>
        <v>-19807.939999999999</v>
      </c>
      <c r="I203" s="2"/>
      <c r="J203" s="6">
        <f t="shared" si="37"/>
        <v>-2.4500726000716004E-2</v>
      </c>
      <c r="K203" s="2"/>
      <c r="L203" s="2">
        <f t="shared" si="38"/>
        <v>18567.879999999997</v>
      </c>
      <c r="M203" s="2"/>
      <c r="N203" s="6">
        <f t="shared" si="39"/>
        <v>-0.93739581198246757</v>
      </c>
      <c r="O203" s="14"/>
      <c r="P203" s="2">
        <f>SUM(OSRRefP22_10x_0)</f>
        <v>-45095.899999999994</v>
      </c>
      <c r="Q203" s="2"/>
      <c r="R203" s="6">
        <f t="shared" si="40"/>
        <v>-1.8739554117367585E-3</v>
      </c>
      <c r="S203" s="2"/>
      <c r="T203" s="2">
        <f>SUM(OSRRefT22_10x_0)</f>
        <v>-64908.44</v>
      </c>
      <c r="U203" s="2"/>
      <c r="V203" s="6">
        <f t="shared" si="41"/>
        <v>-6.6150152179988188E-3</v>
      </c>
      <c r="W203" s="2"/>
      <c r="X203" s="2">
        <f t="shared" si="42"/>
        <v>19812.540000000008</v>
      </c>
      <c r="Y203" s="2"/>
      <c r="Z203" s="6">
        <f t="shared" si="43"/>
        <v>-0.30523827101683554</v>
      </c>
    </row>
    <row r="204" spans="1:26" s="69" customFormat="1" ht="15" hidden="1" customHeight="1" outlineLevel="2" x14ac:dyDescent="0.25">
      <c r="A204" s="25"/>
      <c r="B204" s="12" t="str">
        <f>CONCATENATE("          ","6305"," - ","FREIGHT OUT")</f>
        <v xml:space="preserve">          6305 - FREIGHT OUT</v>
      </c>
      <c r="C204" s="12"/>
      <c r="D204" s="7">
        <v>8082.94</v>
      </c>
      <c r="E204" s="3"/>
      <c r="F204" s="8">
        <f t="shared" si="36"/>
        <v>3.666105554380278E-3</v>
      </c>
      <c r="G204" s="3"/>
      <c r="H204" s="7">
        <v>23540.09</v>
      </c>
      <c r="I204" s="3"/>
      <c r="J204" s="8">
        <f t="shared" si="37"/>
        <v>2.9117076037295898E-2</v>
      </c>
      <c r="K204" s="3"/>
      <c r="L204" s="7">
        <f t="shared" si="38"/>
        <v>-15457.150000000001</v>
      </c>
      <c r="M204" s="3"/>
      <c r="N204" s="8">
        <f t="shared" si="39"/>
        <v>-0.65663087949111498</v>
      </c>
      <c r="O204" s="12"/>
      <c r="P204" s="7">
        <v>134542.87</v>
      </c>
      <c r="Q204" s="3"/>
      <c r="R204" s="8">
        <f t="shared" si="40"/>
        <v>5.5909149023990025E-3</v>
      </c>
      <c r="S204" s="3"/>
      <c r="T204" s="7">
        <v>227351.32</v>
      </c>
      <c r="U204" s="3"/>
      <c r="V204" s="8">
        <f t="shared" si="41"/>
        <v>2.31700598817676E-2</v>
      </c>
      <c r="W204" s="3"/>
      <c r="X204" s="7">
        <f t="shared" si="42"/>
        <v>-92808.450000000012</v>
      </c>
      <c r="Y204" s="3"/>
      <c r="Z204" s="8">
        <f t="shared" si="43"/>
        <v>-0.40821601563606497</v>
      </c>
    </row>
    <row r="205" spans="1:26" s="69" customFormat="1" ht="15" hidden="1" customHeight="1" outlineLevel="2" x14ac:dyDescent="0.25">
      <c r="A205" s="25"/>
      <c r="B205" s="12" t="str">
        <f>CONCATENATE("          ","6307"," - ","POSTAGE")</f>
        <v xml:space="preserve">          6307 - POSTAGE</v>
      </c>
      <c r="C205" s="12"/>
      <c r="D205" s="7">
        <v>-9323</v>
      </c>
      <c r="E205" s="3"/>
      <c r="F205" s="8">
        <f t="shared" si="36"/>
        <v>-4.228548286079983E-3</v>
      </c>
      <c r="G205" s="3"/>
      <c r="H205" s="7">
        <v>-43348.03</v>
      </c>
      <c r="I205" s="3"/>
      <c r="J205" s="8">
        <f t="shared" si="37"/>
        <v>-5.3617802038011898E-2</v>
      </c>
      <c r="K205" s="3"/>
      <c r="L205" s="7">
        <f t="shared" si="38"/>
        <v>34025.03</v>
      </c>
      <c r="M205" s="3"/>
      <c r="N205" s="8">
        <f t="shared" si="39"/>
        <v>-0.78492678906054092</v>
      </c>
      <c r="O205" s="12"/>
      <c r="P205" s="7">
        <v>-179638.77</v>
      </c>
      <c r="Q205" s="3"/>
      <c r="R205" s="8">
        <f t="shared" si="40"/>
        <v>-7.4648703141357619E-3</v>
      </c>
      <c r="S205" s="3"/>
      <c r="T205" s="7">
        <v>-292259.76</v>
      </c>
      <c r="U205" s="3"/>
      <c r="V205" s="8">
        <f t="shared" si="41"/>
        <v>-2.9785075099766418E-2</v>
      </c>
      <c r="W205" s="3"/>
      <c r="X205" s="7">
        <f t="shared" si="42"/>
        <v>112620.99000000002</v>
      </c>
      <c r="Y205" s="3"/>
      <c r="Z205" s="8">
        <f t="shared" si="43"/>
        <v>-0.3853455227637223</v>
      </c>
    </row>
    <row r="206" spans="1:26" s="68" customFormat="1" ht="15" customHeight="1" outlineLevel="1" collapsed="1" x14ac:dyDescent="0.25">
      <c r="A206" s="26"/>
      <c r="B206" s="14" t="str">
        <f>CONCATENATE("     ","General                                           ")</f>
        <v xml:space="preserve">     General                                           </v>
      </c>
      <c r="C206" s="14"/>
      <c r="D206" s="2">
        <f>SUM(OSRRefD22_11x_0)</f>
        <v>27659.88</v>
      </c>
      <c r="E206" s="2"/>
      <c r="F206" s="6">
        <f t="shared" si="36"/>
        <v>1.2545440112321999E-2</v>
      </c>
      <c r="G206" s="2"/>
      <c r="H206" s="2">
        <f>SUM(OSRRefH22_11x_0)</f>
        <v>-58.19</v>
      </c>
      <c r="I206" s="2"/>
      <c r="J206" s="6">
        <f t="shared" si="37"/>
        <v>-7.1976048290819968E-5</v>
      </c>
      <c r="K206" s="2"/>
      <c r="L206" s="2">
        <f t="shared" si="38"/>
        <v>27718.07</v>
      </c>
      <c r="M206" s="2"/>
      <c r="N206" s="6">
        <f t="shared" si="39"/>
        <v>-476.33734318611448</v>
      </c>
      <c r="O206" s="14"/>
      <c r="P206" s="2">
        <f>SUM(OSRRefP22_11x_0)</f>
        <v>77290.2</v>
      </c>
      <c r="Q206" s="2"/>
      <c r="R206" s="6">
        <f t="shared" si="40"/>
        <v>3.2117861837598636E-3</v>
      </c>
      <c r="S206" s="2"/>
      <c r="T206" s="2">
        <f>SUM(OSRRefT22_11x_0)</f>
        <v>21314.38</v>
      </c>
      <c r="U206" s="2"/>
      <c r="V206" s="6">
        <f t="shared" si="41"/>
        <v>2.1722128595635585E-3</v>
      </c>
      <c r="W206" s="2"/>
      <c r="X206" s="2">
        <f t="shared" si="42"/>
        <v>55975.819999999992</v>
      </c>
      <c r="Y206" s="2"/>
      <c r="Z206" s="6">
        <f t="shared" si="43"/>
        <v>2.6261997768642575</v>
      </c>
    </row>
    <row r="207" spans="1:26" s="69" customFormat="1" ht="15" hidden="1" customHeight="1" outlineLevel="2" x14ac:dyDescent="0.25">
      <c r="A207" s="25"/>
      <c r="B207" s="12" t="str">
        <f>CONCATENATE("          ","6279"," - ","GENERAL EXPENSE")</f>
        <v xml:space="preserve">          6279 - GENERAL EXPENSE</v>
      </c>
      <c r="C207" s="12"/>
      <c r="D207" s="7">
        <v>27659.88</v>
      </c>
      <c r="E207" s="3"/>
      <c r="F207" s="8">
        <f t="shared" si="36"/>
        <v>1.2545440112321999E-2</v>
      </c>
      <c r="G207" s="3"/>
      <c r="H207" s="7">
        <v>-58.19</v>
      </c>
      <c r="I207" s="3"/>
      <c r="J207" s="8">
        <f t="shared" si="37"/>
        <v>-7.1976048290819968E-5</v>
      </c>
      <c r="K207" s="3"/>
      <c r="L207" s="7">
        <f t="shared" si="38"/>
        <v>27718.07</v>
      </c>
      <c r="M207" s="3"/>
      <c r="N207" s="8">
        <f t="shared" si="39"/>
        <v>-476.33734318611448</v>
      </c>
      <c r="O207" s="12"/>
      <c r="P207" s="7">
        <v>77290.2</v>
      </c>
      <c r="Q207" s="3"/>
      <c r="R207" s="8">
        <f t="shared" si="40"/>
        <v>3.2117861837598636E-3</v>
      </c>
      <c r="S207" s="3"/>
      <c r="T207" s="7">
        <v>21314.38</v>
      </c>
      <c r="U207" s="3"/>
      <c r="V207" s="8">
        <f t="shared" si="41"/>
        <v>2.1722128595635585E-3</v>
      </c>
      <c r="W207" s="3"/>
      <c r="X207" s="7">
        <f t="shared" si="42"/>
        <v>55975.819999999992</v>
      </c>
      <c r="Y207" s="3"/>
      <c r="Z207" s="8">
        <f t="shared" si="43"/>
        <v>2.6261997768642575</v>
      </c>
    </row>
    <row r="208" spans="1:26" s="68" customFormat="1" ht="15" customHeight="1" outlineLevel="1" collapsed="1" x14ac:dyDescent="0.25">
      <c r="A208" s="26"/>
      <c r="B208" s="14" t="str">
        <f>CONCATENATE("     ","Insurance                                         ")</f>
        <v xml:space="preserve">     Insurance                                         </v>
      </c>
      <c r="C208" s="14"/>
      <c r="D208" s="2">
        <f>SUM(OSRRefD22_12x_0)</f>
        <v>11626.43</v>
      </c>
      <c r="E208" s="2"/>
      <c r="F208" s="6">
        <f t="shared" si="36"/>
        <v>5.2732940737669088E-3</v>
      </c>
      <c r="G208" s="2"/>
      <c r="H208" s="2">
        <f>SUM(OSRRefH22_12x_0)</f>
        <v>8563.32</v>
      </c>
      <c r="I208" s="2"/>
      <c r="J208" s="6">
        <f t="shared" si="37"/>
        <v>1.0592093724862424E-2</v>
      </c>
      <c r="K208" s="2"/>
      <c r="L208" s="2">
        <f t="shared" si="38"/>
        <v>3063.1100000000006</v>
      </c>
      <c r="M208" s="2"/>
      <c r="N208" s="6">
        <f t="shared" si="39"/>
        <v>0.35770121868621058</v>
      </c>
      <c r="O208" s="14"/>
      <c r="P208" s="2">
        <f>SUM(OSRRefP22_12x_0)</f>
        <v>134773.74</v>
      </c>
      <c r="Q208" s="2"/>
      <c r="R208" s="6">
        <f t="shared" si="40"/>
        <v>5.6005086811218505E-3</v>
      </c>
      <c r="S208" s="2"/>
      <c r="T208" s="2">
        <f>SUM(OSRRefT22_12x_0)</f>
        <v>100308.52</v>
      </c>
      <c r="U208" s="2"/>
      <c r="V208" s="6">
        <f t="shared" si="41"/>
        <v>1.0222744319458901E-2</v>
      </c>
      <c r="W208" s="2"/>
      <c r="X208" s="2">
        <f t="shared" si="42"/>
        <v>34465.219999999987</v>
      </c>
      <c r="Y208" s="2"/>
      <c r="Z208" s="6">
        <f t="shared" si="43"/>
        <v>0.34359214950036132</v>
      </c>
    </row>
    <row r="209" spans="1:26" s="69" customFormat="1" ht="15" hidden="1" customHeight="1" outlineLevel="2" x14ac:dyDescent="0.25">
      <c r="A209" s="25"/>
      <c r="B209" s="12" t="str">
        <f>CONCATENATE("          ","6314"," - ","LIABILITY INSURANCE")</f>
        <v xml:space="preserve">          6314 - LIABILITY INSURANCE</v>
      </c>
      <c r="C209" s="12"/>
      <c r="D209" s="7">
        <v>11626.43</v>
      </c>
      <c r="E209" s="3"/>
      <c r="F209" s="8">
        <f t="shared" si="36"/>
        <v>5.2732940737669088E-3</v>
      </c>
      <c r="G209" s="3"/>
      <c r="H209" s="7">
        <v>8563.32</v>
      </c>
      <c r="I209" s="3"/>
      <c r="J209" s="8">
        <f t="shared" si="37"/>
        <v>1.0592093724862424E-2</v>
      </c>
      <c r="K209" s="3"/>
      <c r="L209" s="7">
        <f t="shared" si="38"/>
        <v>3063.1100000000006</v>
      </c>
      <c r="M209" s="3"/>
      <c r="N209" s="8">
        <f t="shared" si="39"/>
        <v>0.35770121868621058</v>
      </c>
      <c r="O209" s="12"/>
      <c r="P209" s="7">
        <v>134773.74</v>
      </c>
      <c r="Q209" s="3"/>
      <c r="R209" s="8">
        <f t="shared" si="40"/>
        <v>5.6005086811218505E-3</v>
      </c>
      <c r="S209" s="3"/>
      <c r="T209" s="7">
        <v>100308.52</v>
      </c>
      <c r="U209" s="3"/>
      <c r="V209" s="8">
        <f t="shared" si="41"/>
        <v>1.0222744319458901E-2</v>
      </c>
      <c r="W209" s="3"/>
      <c r="X209" s="7">
        <f t="shared" si="42"/>
        <v>34465.219999999987</v>
      </c>
      <c r="Y209" s="3"/>
      <c r="Z209" s="8">
        <f t="shared" si="43"/>
        <v>0.34359214950036132</v>
      </c>
    </row>
    <row r="210" spans="1:26" s="68" customFormat="1" ht="15" customHeight="1" outlineLevel="1" collapsed="1" x14ac:dyDescent="0.25">
      <c r="A210" s="26"/>
      <c r="B210" s="14" t="str">
        <f>CONCATENATE("     ","Interest                                          ")</f>
        <v xml:space="preserve">     Interest                                          </v>
      </c>
      <c r="C210" s="14"/>
      <c r="D210" s="2">
        <f>SUM(OSRRefD22_13x_0)</f>
        <v>11158</v>
      </c>
      <c r="E210" s="2"/>
      <c r="F210" s="6">
        <f t="shared" si="36"/>
        <v>5.0608325406071488E-3</v>
      </c>
      <c r="G210" s="2"/>
      <c r="H210" s="2">
        <f>SUM(OSRRefH22_13x_0)</f>
        <v>11554</v>
      </c>
      <c r="I210" s="2"/>
      <c r="J210" s="6">
        <f t="shared" si="37"/>
        <v>1.4291308849495341E-2</v>
      </c>
      <c r="K210" s="2"/>
      <c r="L210" s="2">
        <f t="shared" si="38"/>
        <v>-396</v>
      </c>
      <c r="M210" s="2"/>
      <c r="N210" s="6">
        <f t="shared" si="39"/>
        <v>-3.4273844555997926E-2</v>
      </c>
      <c r="O210" s="14"/>
      <c r="P210" s="2">
        <f>SUM(OSRRefP22_13x_0)</f>
        <v>119450</v>
      </c>
      <c r="Q210" s="2"/>
      <c r="R210" s="6">
        <f t="shared" si="40"/>
        <v>4.9637322668348079E-3</v>
      </c>
      <c r="S210" s="2"/>
      <c r="T210" s="2">
        <f>SUM(OSRRefT22_13x_0)</f>
        <v>123971</v>
      </c>
      <c r="U210" s="2"/>
      <c r="V210" s="6">
        <f t="shared" si="41"/>
        <v>1.2634259143965432E-2</v>
      </c>
      <c r="W210" s="2"/>
      <c r="X210" s="2">
        <f t="shared" si="42"/>
        <v>-4521</v>
      </c>
      <c r="Y210" s="2"/>
      <c r="Z210" s="6">
        <f t="shared" si="43"/>
        <v>-3.6468206274047961E-2</v>
      </c>
    </row>
    <row r="211" spans="1:26" s="69" customFormat="1" ht="15" hidden="1" customHeight="1" outlineLevel="2" x14ac:dyDescent="0.25">
      <c r="A211" s="25"/>
      <c r="B211" s="12" t="str">
        <f>CONCATENATE("          ","6401"," - ","INTEREST EXPENSE")</f>
        <v xml:space="preserve">          6401 - INTEREST EXPENSE</v>
      </c>
      <c r="C211" s="12"/>
      <c r="D211" s="7">
        <v>11158</v>
      </c>
      <c r="E211" s="3"/>
      <c r="F211" s="8">
        <f t="shared" si="36"/>
        <v>5.0608325406071488E-3</v>
      </c>
      <c r="G211" s="3"/>
      <c r="H211" s="7">
        <v>11554</v>
      </c>
      <c r="I211" s="3"/>
      <c r="J211" s="8">
        <f t="shared" si="37"/>
        <v>1.4291308849495341E-2</v>
      </c>
      <c r="K211" s="3"/>
      <c r="L211" s="7">
        <f t="shared" si="38"/>
        <v>-396</v>
      </c>
      <c r="M211" s="3"/>
      <c r="N211" s="8">
        <f t="shared" si="39"/>
        <v>-3.4273844555997926E-2</v>
      </c>
      <c r="O211" s="12"/>
      <c r="P211" s="7">
        <v>119450</v>
      </c>
      <c r="Q211" s="3"/>
      <c r="R211" s="8">
        <f t="shared" si="40"/>
        <v>4.9637322668348079E-3</v>
      </c>
      <c r="S211" s="3"/>
      <c r="T211" s="7">
        <v>123971</v>
      </c>
      <c r="U211" s="3"/>
      <c r="V211" s="8">
        <f t="shared" si="41"/>
        <v>1.2634259143965432E-2</v>
      </c>
      <c r="W211" s="3"/>
      <c r="X211" s="7">
        <f t="shared" si="42"/>
        <v>-4521</v>
      </c>
      <c r="Y211" s="3"/>
      <c r="Z211" s="8">
        <f t="shared" si="43"/>
        <v>-3.6468206274047961E-2</v>
      </c>
    </row>
    <row r="212" spans="1:26" s="68" customFormat="1" ht="15" customHeight="1" outlineLevel="1" collapsed="1" x14ac:dyDescent="0.25">
      <c r="A212" s="26"/>
      <c r="B212" s="14" t="str">
        <f>CONCATENATE("     ","Inventory Adjustment                              ")</f>
        <v xml:space="preserve">     Inventory Adjustment                              </v>
      </c>
      <c r="C212" s="14"/>
      <c r="D212" s="2">
        <f>SUM(OSRRefD22_14x_0)</f>
        <v>7200</v>
      </c>
      <c r="E212" s="2"/>
      <c r="F212" s="6">
        <f t="shared" si="36"/>
        <v>3.2656384918777082E-3</v>
      </c>
      <c r="G212" s="2"/>
      <c r="H212" s="2">
        <f>SUM(OSRRefH22_14x_0)</f>
        <v>3350</v>
      </c>
      <c r="I212" s="2"/>
      <c r="J212" s="6">
        <f t="shared" si="37"/>
        <v>4.143663202856967E-3</v>
      </c>
      <c r="K212" s="2"/>
      <c r="L212" s="2">
        <f t="shared" si="38"/>
        <v>3850</v>
      </c>
      <c r="M212" s="2"/>
      <c r="N212" s="6">
        <f t="shared" si="39"/>
        <v>1.1492537313432836</v>
      </c>
      <c r="O212" s="14"/>
      <c r="P212" s="2">
        <f>SUM(OSRRefP22_14x_0)</f>
        <v>70840</v>
      </c>
      <c r="Q212" s="2"/>
      <c r="R212" s="6">
        <f t="shared" si="40"/>
        <v>2.9437487968403332E-3</v>
      </c>
      <c r="S212" s="2"/>
      <c r="T212" s="2">
        <f>SUM(OSRRefT22_14x_0)</f>
        <v>41850</v>
      </c>
      <c r="U212" s="2"/>
      <c r="V212" s="6">
        <f t="shared" si="41"/>
        <v>4.265059934782758E-3</v>
      </c>
      <c r="W212" s="2"/>
      <c r="X212" s="2">
        <f t="shared" si="42"/>
        <v>28990</v>
      </c>
      <c r="Y212" s="2"/>
      <c r="Z212" s="6">
        <f t="shared" si="43"/>
        <v>0.69271206690561526</v>
      </c>
    </row>
    <row r="213" spans="1:26" s="69" customFormat="1" ht="15" hidden="1" customHeight="1" outlineLevel="2" x14ac:dyDescent="0.25">
      <c r="A213" s="25"/>
      <c r="B213" s="12" t="str">
        <f>CONCATENATE("          ","6408"," - ","INVENTORY ADJUSTMENT")</f>
        <v xml:space="preserve">          6408 - INVENTORY ADJUSTMENT</v>
      </c>
      <c r="C213" s="12"/>
      <c r="D213" s="7">
        <v>7200</v>
      </c>
      <c r="E213" s="3"/>
      <c r="F213" s="8">
        <f t="shared" si="36"/>
        <v>3.2656384918777082E-3</v>
      </c>
      <c r="G213" s="3"/>
      <c r="H213" s="7">
        <v>3350</v>
      </c>
      <c r="I213" s="3"/>
      <c r="J213" s="8">
        <f t="shared" si="37"/>
        <v>4.143663202856967E-3</v>
      </c>
      <c r="K213" s="3"/>
      <c r="L213" s="7">
        <f t="shared" si="38"/>
        <v>3850</v>
      </c>
      <c r="M213" s="3"/>
      <c r="N213" s="8">
        <f t="shared" si="39"/>
        <v>1.1492537313432836</v>
      </c>
      <c r="O213" s="12"/>
      <c r="P213" s="7">
        <v>70840</v>
      </c>
      <c r="Q213" s="3"/>
      <c r="R213" s="8">
        <f t="shared" si="40"/>
        <v>2.9437487968403332E-3</v>
      </c>
      <c r="S213" s="3"/>
      <c r="T213" s="7">
        <v>41850</v>
      </c>
      <c r="U213" s="3"/>
      <c r="V213" s="8">
        <f t="shared" si="41"/>
        <v>4.265059934782758E-3</v>
      </c>
      <c r="W213" s="3"/>
      <c r="X213" s="7">
        <f t="shared" si="42"/>
        <v>28990</v>
      </c>
      <c r="Y213" s="3"/>
      <c r="Z213" s="8">
        <f t="shared" si="43"/>
        <v>0.69271206690561526</v>
      </c>
    </row>
    <row r="214" spans="1:26" s="69" customFormat="1" ht="15" hidden="1" customHeight="1" outlineLevel="2" x14ac:dyDescent="0.25">
      <c r="A214" s="25"/>
      <c r="B214" s="12" t="str">
        <f>CONCATENATE("          ","7741"," - ","INV. SHRINKAGE-LOGO GIFTS")</f>
        <v xml:space="preserve">          7741 - INV. SHRINKAGE-LOGO GIFTS</v>
      </c>
      <c r="C214" s="12"/>
      <c r="D214" s="7"/>
      <c r="E214" s="3"/>
      <c r="F214" s="8">
        <f t="shared" si="36"/>
        <v>0</v>
      </c>
      <c r="G214" s="3"/>
      <c r="H214" s="7"/>
      <c r="I214" s="3"/>
      <c r="J214" s="8">
        <f t="shared" si="37"/>
        <v>0</v>
      </c>
      <c r="K214" s="3"/>
      <c r="L214" s="7">
        <f t="shared" si="38"/>
        <v>0</v>
      </c>
      <c r="M214" s="3"/>
      <c r="N214" s="8">
        <f t="shared" si="39"/>
        <v>0</v>
      </c>
      <c r="O214" s="12"/>
      <c r="P214" s="7"/>
      <c r="Q214" s="3"/>
      <c r="R214" s="8">
        <f t="shared" si="40"/>
        <v>0</v>
      </c>
      <c r="S214" s="3"/>
      <c r="T214" s="7">
        <v>0</v>
      </c>
      <c r="U214" s="3"/>
      <c r="V214" s="8">
        <f t="shared" si="41"/>
        <v>0</v>
      </c>
      <c r="W214" s="3"/>
      <c r="X214" s="7">
        <f t="shared" si="42"/>
        <v>0</v>
      </c>
      <c r="Y214" s="3"/>
      <c r="Z214" s="8">
        <f t="shared" si="43"/>
        <v>0</v>
      </c>
    </row>
    <row r="215" spans="1:26" s="68" customFormat="1" ht="15" customHeight="1" outlineLevel="1" collapsed="1" x14ac:dyDescent="0.25">
      <c r="A215" s="26"/>
      <c r="B215" s="14" t="str">
        <f>CONCATENATE("     ","Professional Services                             ")</f>
        <v xml:space="preserve">     Professional Services                             </v>
      </c>
      <c r="C215" s="14"/>
      <c r="D215" s="2">
        <f>SUM(OSRRefD22_15x_0)</f>
        <v>511.58</v>
      </c>
      <c r="E215" s="2"/>
      <c r="F215" s="6">
        <f t="shared" si="36"/>
        <v>2.3203268606594417E-4</v>
      </c>
      <c r="G215" s="2"/>
      <c r="H215" s="2">
        <f>SUM(OSRRefH22_15x_0)</f>
        <v>0</v>
      </c>
      <c r="I215" s="2"/>
      <c r="J215" s="6">
        <f t="shared" si="37"/>
        <v>0</v>
      </c>
      <c r="K215" s="2"/>
      <c r="L215" s="2">
        <f t="shared" si="38"/>
        <v>511.58</v>
      </c>
      <c r="M215" s="2"/>
      <c r="N215" s="6">
        <f t="shared" si="39"/>
        <v>0</v>
      </c>
      <c r="O215" s="14"/>
      <c r="P215" s="2">
        <f>SUM(OSRRefP22_15x_0)</f>
        <v>10138.11</v>
      </c>
      <c r="Q215" s="2"/>
      <c r="R215" s="6">
        <f t="shared" si="40"/>
        <v>4.212881015631699E-4</v>
      </c>
      <c r="S215" s="2"/>
      <c r="T215" s="2">
        <f>SUM(OSRRefT22_15x_0)</f>
        <v>0</v>
      </c>
      <c r="U215" s="2"/>
      <c r="V215" s="6">
        <f t="shared" si="41"/>
        <v>0</v>
      </c>
      <c r="W215" s="2"/>
      <c r="X215" s="2">
        <f t="shared" si="42"/>
        <v>10138.11</v>
      </c>
      <c r="Y215" s="2"/>
      <c r="Z215" s="6">
        <f t="shared" si="43"/>
        <v>0</v>
      </c>
    </row>
    <row r="216" spans="1:26" s="69" customFormat="1" ht="15" hidden="1" customHeight="1" outlineLevel="2" x14ac:dyDescent="0.25">
      <c r="A216" s="25"/>
      <c r="B216" s="12" t="str">
        <f>CONCATENATE("          ","6336"," - ","PROFESSIONAL SERVICES")</f>
        <v xml:space="preserve">          6336 - PROFESSIONAL SERVICES</v>
      </c>
      <c r="C216" s="12"/>
      <c r="D216" s="7">
        <v>511.58</v>
      </c>
      <c r="E216" s="3"/>
      <c r="F216" s="8">
        <f t="shared" si="36"/>
        <v>2.3203268606594417E-4</v>
      </c>
      <c r="G216" s="3"/>
      <c r="H216" s="7"/>
      <c r="I216" s="3"/>
      <c r="J216" s="8">
        <f t="shared" si="37"/>
        <v>0</v>
      </c>
      <c r="K216" s="3"/>
      <c r="L216" s="7">
        <f t="shared" si="38"/>
        <v>511.58</v>
      </c>
      <c r="M216" s="3"/>
      <c r="N216" s="8">
        <f t="shared" si="39"/>
        <v>0</v>
      </c>
      <c r="O216" s="12"/>
      <c r="P216" s="7">
        <v>10138.11</v>
      </c>
      <c r="Q216" s="3"/>
      <c r="R216" s="8">
        <f t="shared" si="40"/>
        <v>4.212881015631699E-4</v>
      </c>
      <c r="S216" s="3"/>
      <c r="T216" s="7"/>
      <c r="U216" s="3"/>
      <c r="V216" s="8">
        <f t="shared" si="41"/>
        <v>0</v>
      </c>
      <c r="W216" s="3"/>
      <c r="X216" s="7">
        <f t="shared" si="42"/>
        <v>10138.11</v>
      </c>
      <c r="Y216" s="3"/>
      <c r="Z216" s="8">
        <f t="shared" si="43"/>
        <v>0</v>
      </c>
    </row>
    <row r="217" spans="1:26" s="68" customFormat="1" ht="15" customHeight="1" outlineLevel="1" collapsed="1" x14ac:dyDescent="0.25">
      <c r="A217" s="26"/>
      <c r="B217" s="14" t="str">
        <f>CONCATENATE("     ","R/H Commissions                                   ")</f>
        <v xml:space="preserve">     R/H Commissions                                   </v>
      </c>
      <c r="C217" s="14"/>
      <c r="D217" s="2">
        <f>SUM(OSRRefD22_16x_0)</f>
        <v>56038.67</v>
      </c>
      <c r="E217" s="2"/>
      <c r="F217" s="6">
        <f t="shared" si="36"/>
        <v>2.5416949692448967E-2</v>
      </c>
      <c r="G217" s="2"/>
      <c r="H217" s="2">
        <f>SUM(OSRRefH22_16x_0)</f>
        <v>3760.68</v>
      </c>
      <c r="I217" s="2"/>
      <c r="J217" s="6">
        <f t="shared" si="37"/>
        <v>4.6516392040955633E-3</v>
      </c>
      <c r="K217" s="2"/>
      <c r="L217" s="2">
        <f t="shared" si="38"/>
        <v>52277.99</v>
      </c>
      <c r="M217" s="2"/>
      <c r="N217" s="6">
        <f t="shared" si="39"/>
        <v>13.901206696661243</v>
      </c>
      <c r="O217" s="14"/>
      <c r="P217" s="2">
        <f>SUM(OSRRefP22_16x_0)</f>
        <v>912239.08</v>
      </c>
      <c r="Q217" s="2"/>
      <c r="R217" s="6">
        <f t="shared" si="40"/>
        <v>3.7907999635526997E-2</v>
      </c>
      <c r="S217" s="2"/>
      <c r="T217" s="2">
        <f>SUM(OSRRefT22_16x_0)</f>
        <v>69400.47</v>
      </c>
      <c r="U217" s="2"/>
      <c r="V217" s="6">
        <f t="shared" si="41"/>
        <v>7.0728115663582503E-3</v>
      </c>
      <c r="W217" s="2"/>
      <c r="X217" s="2">
        <f t="shared" si="42"/>
        <v>842838.61</v>
      </c>
      <c r="Y217" s="2"/>
      <c r="Z217" s="6">
        <f t="shared" si="43"/>
        <v>12.14456631201489</v>
      </c>
    </row>
    <row r="218" spans="1:26" s="69" customFormat="1" ht="15" hidden="1" customHeight="1" outlineLevel="2" x14ac:dyDescent="0.25">
      <c r="A218" s="25"/>
      <c r="B218" s="12" t="str">
        <f>CONCATENATE("          ","6387"," - ","COMMISSION DUE HOUSING")</f>
        <v xml:space="preserve">          6387 - COMMISSION DUE HOUSING</v>
      </c>
      <c r="C218" s="12"/>
      <c r="D218" s="7">
        <v>56038.67</v>
      </c>
      <c r="E218" s="3"/>
      <c r="F218" s="8">
        <f t="shared" si="36"/>
        <v>2.5416949692448967E-2</v>
      </c>
      <c r="G218" s="3"/>
      <c r="H218" s="7">
        <v>3760.68</v>
      </c>
      <c r="I218" s="3"/>
      <c r="J218" s="8">
        <f t="shared" si="37"/>
        <v>4.6516392040955633E-3</v>
      </c>
      <c r="K218" s="3"/>
      <c r="L218" s="7">
        <f t="shared" si="38"/>
        <v>52277.99</v>
      </c>
      <c r="M218" s="3"/>
      <c r="N218" s="8">
        <f t="shared" si="39"/>
        <v>13.901206696661243</v>
      </c>
      <c r="O218" s="12"/>
      <c r="P218" s="7">
        <v>912239.08</v>
      </c>
      <c r="Q218" s="3"/>
      <c r="R218" s="8">
        <f t="shared" si="40"/>
        <v>3.7907999635526997E-2</v>
      </c>
      <c r="S218" s="3"/>
      <c r="T218" s="7">
        <v>69400.47</v>
      </c>
      <c r="U218" s="3"/>
      <c r="V218" s="8">
        <f t="shared" si="41"/>
        <v>7.0728115663582503E-3</v>
      </c>
      <c r="W218" s="3"/>
      <c r="X218" s="7">
        <f t="shared" si="42"/>
        <v>842838.61</v>
      </c>
      <c r="Y218" s="3"/>
      <c r="Z218" s="8">
        <f t="shared" si="43"/>
        <v>12.14456631201489</v>
      </c>
    </row>
    <row r="219" spans="1:26" s="68" customFormat="1" ht="15" customHeight="1" outlineLevel="1" collapsed="1" x14ac:dyDescent="0.25">
      <c r="A219" s="26"/>
      <c r="B219" s="14" t="str">
        <f>CONCATENATE("     ","Rent                                              ")</f>
        <v xml:space="preserve">     Rent                                              </v>
      </c>
      <c r="C219" s="14"/>
      <c r="D219" s="2">
        <f>SUM(OSRRefD22_17x_0)</f>
        <v>8750</v>
      </c>
      <c r="E219" s="2"/>
      <c r="F219" s="6">
        <f t="shared" si="36"/>
        <v>3.9686578894347147E-3</v>
      </c>
      <c r="G219" s="2"/>
      <c r="H219" s="2">
        <f>SUM(OSRRefH22_17x_0)</f>
        <v>8750</v>
      </c>
      <c r="I219" s="2"/>
      <c r="J219" s="6">
        <f t="shared" si="37"/>
        <v>1.0823000902984613E-2</v>
      </c>
      <c r="K219" s="2"/>
      <c r="L219" s="2">
        <f t="shared" si="38"/>
        <v>0</v>
      </c>
      <c r="M219" s="2"/>
      <c r="N219" s="6">
        <f t="shared" si="39"/>
        <v>0</v>
      </c>
      <c r="O219" s="14"/>
      <c r="P219" s="2">
        <f>SUM(OSRRefP22_17x_0)</f>
        <v>96250</v>
      </c>
      <c r="Q219" s="2"/>
      <c r="R219" s="6">
        <f t="shared" si="40"/>
        <v>3.9996586913591484E-3</v>
      </c>
      <c r="S219" s="2"/>
      <c r="T219" s="2">
        <f>SUM(OSRRefT22_17x_0)</f>
        <v>90700</v>
      </c>
      <c r="U219" s="2"/>
      <c r="V219" s="6">
        <f t="shared" si="41"/>
        <v>9.2435110175578539E-3</v>
      </c>
      <c r="W219" s="2"/>
      <c r="X219" s="2">
        <f t="shared" si="42"/>
        <v>5550</v>
      </c>
      <c r="Y219" s="2"/>
      <c r="Z219" s="6">
        <f t="shared" si="43"/>
        <v>6.1190738699007714E-2</v>
      </c>
    </row>
    <row r="220" spans="1:26" s="69" customFormat="1" ht="15" hidden="1" customHeight="1" outlineLevel="2" x14ac:dyDescent="0.25">
      <c r="A220" s="25"/>
      <c r="B220" s="12" t="str">
        <f>CONCATENATE("          ","6273"," - ","RENT")</f>
        <v xml:space="preserve">          6273 - RENT</v>
      </c>
      <c r="C220" s="12"/>
      <c r="D220" s="7">
        <v>8750</v>
      </c>
      <c r="E220" s="3"/>
      <c r="F220" s="8">
        <f t="shared" si="36"/>
        <v>3.9686578894347147E-3</v>
      </c>
      <c r="G220" s="3"/>
      <c r="H220" s="7">
        <v>8750</v>
      </c>
      <c r="I220" s="3"/>
      <c r="J220" s="8">
        <f t="shared" si="37"/>
        <v>1.0823000902984613E-2</v>
      </c>
      <c r="K220" s="3"/>
      <c r="L220" s="7">
        <f t="shared" si="38"/>
        <v>0</v>
      </c>
      <c r="M220" s="3"/>
      <c r="N220" s="8">
        <f t="shared" si="39"/>
        <v>0</v>
      </c>
      <c r="O220" s="12"/>
      <c r="P220" s="7">
        <v>96250</v>
      </c>
      <c r="Q220" s="3"/>
      <c r="R220" s="8">
        <f t="shared" si="40"/>
        <v>3.9996586913591484E-3</v>
      </c>
      <c r="S220" s="3"/>
      <c r="T220" s="7">
        <v>90700</v>
      </c>
      <c r="U220" s="3"/>
      <c r="V220" s="8">
        <f t="shared" si="41"/>
        <v>9.2435110175578539E-3</v>
      </c>
      <c r="W220" s="3"/>
      <c r="X220" s="7">
        <f t="shared" si="42"/>
        <v>5550</v>
      </c>
      <c r="Y220" s="3"/>
      <c r="Z220" s="8">
        <f t="shared" si="43"/>
        <v>6.1190738699007714E-2</v>
      </c>
    </row>
    <row r="221" spans="1:26" s="68" customFormat="1" ht="15" customHeight="1" outlineLevel="1" collapsed="1" x14ac:dyDescent="0.25">
      <c r="A221" s="26"/>
      <c r="B221" s="14" t="str">
        <f>CONCATENATE("     ","Repair and Maintenance                            ")</f>
        <v xml:space="preserve">     Repair and Maintenance                            </v>
      </c>
      <c r="C221" s="14"/>
      <c r="D221" s="2">
        <f>SUM(OSRRefD22_18x_0)</f>
        <v>18177.120000000003</v>
      </c>
      <c r="E221" s="2"/>
      <c r="F221" s="6">
        <f t="shared" si="36"/>
        <v>8.244430936594464E-3</v>
      </c>
      <c r="G221" s="2"/>
      <c r="H221" s="2">
        <f>SUM(OSRRefH22_18x_0)</f>
        <v>26806.69</v>
      </c>
      <c r="I221" s="2"/>
      <c r="J221" s="6">
        <f t="shared" si="37"/>
        <v>3.3157580580117557E-2</v>
      </c>
      <c r="K221" s="2"/>
      <c r="L221" s="2">
        <f t="shared" si="38"/>
        <v>-8629.5699999999961</v>
      </c>
      <c r="M221" s="2"/>
      <c r="N221" s="6">
        <f t="shared" si="39"/>
        <v>-0.32191852108559454</v>
      </c>
      <c r="O221" s="14"/>
      <c r="P221" s="2">
        <f>SUM(OSRRefP22_18x_0)</f>
        <v>425183.3</v>
      </c>
      <c r="Q221" s="2"/>
      <c r="R221" s="6">
        <f t="shared" si="40"/>
        <v>1.7668447597566382E-2</v>
      </c>
      <c r="S221" s="2"/>
      <c r="T221" s="2">
        <f>SUM(OSRRefT22_18x_0)</f>
        <v>380063.44999999995</v>
      </c>
      <c r="U221" s="2"/>
      <c r="V221" s="6">
        <f t="shared" si="41"/>
        <v>3.8733414415061167E-2</v>
      </c>
      <c r="W221" s="2"/>
      <c r="X221" s="2">
        <f t="shared" si="42"/>
        <v>45119.850000000035</v>
      </c>
      <c r="Y221" s="2"/>
      <c r="Z221" s="6">
        <f t="shared" si="43"/>
        <v>0.11871662481619856</v>
      </c>
    </row>
    <row r="222" spans="1:26" s="69" customFormat="1" ht="15" hidden="1" customHeight="1" outlineLevel="2" x14ac:dyDescent="0.25">
      <c r="A222" s="25"/>
      <c r="B222" s="12" t="str">
        <f>CONCATENATE("          ","6371"," - ","COMPUTER SOFTWARE MAINTENANCE")</f>
        <v xml:space="preserve">          6371 - COMPUTER SOFTWARE MAINTENANCE</v>
      </c>
      <c r="C222" s="12"/>
      <c r="D222" s="7">
        <v>3500</v>
      </c>
      <c r="E222" s="3"/>
      <c r="F222" s="8">
        <f t="shared" si="36"/>
        <v>1.5874631557738861E-3</v>
      </c>
      <c r="G222" s="3"/>
      <c r="H222" s="7">
        <v>17193.2</v>
      </c>
      <c r="I222" s="3"/>
      <c r="J222" s="8">
        <f t="shared" si="37"/>
        <v>2.1266516471450867E-2</v>
      </c>
      <c r="K222" s="3"/>
      <c r="L222" s="7">
        <f t="shared" si="38"/>
        <v>-13693.2</v>
      </c>
      <c r="M222" s="3"/>
      <c r="N222" s="8">
        <f t="shared" si="39"/>
        <v>-0.79643114719772934</v>
      </c>
      <c r="O222" s="12"/>
      <c r="P222" s="7">
        <v>126711.76</v>
      </c>
      <c r="Q222" s="3"/>
      <c r="R222" s="8">
        <f t="shared" si="40"/>
        <v>5.2654939447419691E-3</v>
      </c>
      <c r="S222" s="3"/>
      <c r="T222" s="7">
        <v>96713.19</v>
      </c>
      <c r="U222" s="3"/>
      <c r="V222" s="8">
        <f t="shared" si="41"/>
        <v>9.8563333771572881E-3</v>
      </c>
      <c r="W222" s="3"/>
      <c r="X222" s="7">
        <f t="shared" si="42"/>
        <v>29998.569999999992</v>
      </c>
      <c r="Y222" s="3"/>
      <c r="Z222" s="8">
        <f t="shared" si="43"/>
        <v>0.31018075197395506</v>
      </c>
    </row>
    <row r="223" spans="1:26" s="69" customFormat="1" ht="15" hidden="1" customHeight="1" outlineLevel="2" x14ac:dyDescent="0.25">
      <c r="A223" s="25"/>
      <c r="B223" s="12" t="str">
        <f>CONCATENATE("          ","6372"," - ","COMPUTER HARDWARE MAINTENANCE")</f>
        <v xml:space="preserve">          6372 - COMPUTER HARDWARE MAINTENANCE</v>
      </c>
      <c r="C223" s="12"/>
      <c r="D223" s="7"/>
      <c r="E223" s="3"/>
      <c r="F223" s="8">
        <f t="shared" si="36"/>
        <v>0</v>
      </c>
      <c r="G223" s="3"/>
      <c r="H223" s="7"/>
      <c r="I223" s="3"/>
      <c r="J223" s="8">
        <f t="shared" si="37"/>
        <v>0</v>
      </c>
      <c r="K223" s="3"/>
      <c r="L223" s="7">
        <f t="shared" si="38"/>
        <v>0</v>
      </c>
      <c r="M223" s="3"/>
      <c r="N223" s="8">
        <f t="shared" si="39"/>
        <v>0</v>
      </c>
      <c r="O223" s="12"/>
      <c r="P223" s="7">
        <v>1555.65</v>
      </c>
      <c r="Q223" s="3"/>
      <c r="R223" s="8">
        <f t="shared" si="40"/>
        <v>6.4644873176237505E-5</v>
      </c>
      <c r="S223" s="3"/>
      <c r="T223" s="7">
        <v>98.85</v>
      </c>
      <c r="U223" s="3"/>
      <c r="V223" s="8">
        <f t="shared" si="41"/>
        <v>1.0074102139863216E-5</v>
      </c>
      <c r="W223" s="3"/>
      <c r="X223" s="7">
        <f t="shared" si="42"/>
        <v>1456.8000000000002</v>
      </c>
      <c r="Y223" s="3"/>
      <c r="Z223" s="8">
        <f t="shared" si="43"/>
        <v>14.737481031866468</v>
      </c>
    </row>
    <row r="224" spans="1:26" s="69" customFormat="1" ht="15" hidden="1" customHeight="1" outlineLevel="2" x14ac:dyDescent="0.25">
      <c r="A224" s="25"/>
      <c r="B224" s="12" t="str">
        <f>CONCATENATE("          ","6373"," - ","MAINTENANCE CONTRACTS")</f>
        <v xml:space="preserve">          6373 - MAINTENANCE CONTRACTS</v>
      </c>
      <c r="C224" s="12"/>
      <c r="D224" s="7">
        <v>6615.02</v>
      </c>
      <c r="E224" s="3"/>
      <c r="F224" s="8">
        <f t="shared" si="36"/>
        <v>3.0003144356306778E-3</v>
      </c>
      <c r="G224" s="3"/>
      <c r="H224" s="7">
        <v>3198.33</v>
      </c>
      <c r="I224" s="3"/>
      <c r="J224" s="8">
        <f t="shared" si="37"/>
        <v>3.9560603974906038E-3</v>
      </c>
      <c r="K224" s="3"/>
      <c r="L224" s="7">
        <f t="shared" si="38"/>
        <v>3416.6900000000005</v>
      </c>
      <c r="M224" s="3"/>
      <c r="N224" s="8">
        <f t="shared" si="39"/>
        <v>1.0682731300397397</v>
      </c>
      <c r="O224" s="12"/>
      <c r="P224" s="7">
        <v>173032.21</v>
      </c>
      <c r="Q224" s="3"/>
      <c r="R224" s="8">
        <f t="shared" si="40"/>
        <v>7.1903354037566895E-3</v>
      </c>
      <c r="S224" s="3"/>
      <c r="T224" s="7">
        <v>214972.3</v>
      </c>
      <c r="U224" s="3"/>
      <c r="V224" s="8">
        <f t="shared" si="41"/>
        <v>2.1908476554793298E-2</v>
      </c>
      <c r="W224" s="3"/>
      <c r="X224" s="7">
        <f t="shared" si="42"/>
        <v>-41940.089999999997</v>
      </c>
      <c r="Y224" s="3"/>
      <c r="Z224" s="8">
        <f t="shared" si="43"/>
        <v>-0.19509532158329235</v>
      </c>
    </row>
    <row r="225" spans="1:26" s="69" customFormat="1" ht="15" hidden="1" customHeight="1" outlineLevel="2" x14ac:dyDescent="0.25">
      <c r="A225" s="25"/>
      <c r="B225" s="12" t="str">
        <f>CONCATENATE("          ","6375"," - ","OUTSIDE REPAIRS &amp; MAINTENANCE")</f>
        <v xml:space="preserve">          6375 - OUTSIDE REPAIRS &amp; MAINTENANCE</v>
      </c>
      <c r="C225" s="12"/>
      <c r="D225" s="7">
        <v>8062.1</v>
      </c>
      <c r="E225" s="3"/>
      <c r="F225" s="8">
        <f t="shared" si="36"/>
        <v>3.656653345189899E-3</v>
      </c>
      <c r="G225" s="3"/>
      <c r="H225" s="7">
        <v>6415.16</v>
      </c>
      <c r="I225" s="3"/>
      <c r="J225" s="8">
        <f t="shared" si="37"/>
        <v>7.935003711176088E-3</v>
      </c>
      <c r="K225" s="3"/>
      <c r="L225" s="7">
        <f t="shared" si="38"/>
        <v>1646.9400000000005</v>
      </c>
      <c r="M225" s="3"/>
      <c r="N225" s="8">
        <f t="shared" si="39"/>
        <v>0.25672625468421684</v>
      </c>
      <c r="O225" s="12"/>
      <c r="P225" s="7">
        <v>123883.68</v>
      </c>
      <c r="Q225" s="3"/>
      <c r="R225" s="8">
        <f t="shared" si="40"/>
        <v>5.1479733758914856E-3</v>
      </c>
      <c r="S225" s="3"/>
      <c r="T225" s="7">
        <v>68279.11</v>
      </c>
      <c r="U225" s="3"/>
      <c r="V225" s="8">
        <f t="shared" si="41"/>
        <v>6.9585303809707229E-3</v>
      </c>
      <c r="W225" s="3"/>
      <c r="X225" s="7">
        <f t="shared" si="42"/>
        <v>55604.569999999992</v>
      </c>
      <c r="Y225" s="3"/>
      <c r="Z225" s="8">
        <f t="shared" si="43"/>
        <v>0.81437162845268474</v>
      </c>
    </row>
    <row r="226" spans="1:26" s="68" customFormat="1" ht="15" customHeight="1" outlineLevel="1" collapsed="1" x14ac:dyDescent="0.25">
      <c r="A226" s="26"/>
      <c r="B226" s="14" t="str">
        <f>CONCATENATE("     ","Royalty &amp; Commissions                             ")</f>
        <v xml:space="preserve">     Royalty &amp; Commissions                             </v>
      </c>
      <c r="C226" s="14"/>
      <c r="D226" s="2">
        <f>SUM(OSRRefD22_19x_0)</f>
        <v>3968.3</v>
      </c>
      <c r="E226" s="2"/>
      <c r="F226" s="6">
        <f t="shared" si="36"/>
        <v>1.799865726016432E-3</v>
      </c>
      <c r="G226" s="2"/>
      <c r="H226" s="2">
        <f>SUM(OSRRefH22_19x_0)</f>
        <v>393.98</v>
      </c>
      <c r="I226" s="2"/>
      <c r="J226" s="6">
        <f t="shared" si="37"/>
        <v>4.8731953094375755E-4</v>
      </c>
      <c r="K226" s="2"/>
      <c r="L226" s="2">
        <f t="shared" si="38"/>
        <v>3574.32</v>
      </c>
      <c r="M226" s="2"/>
      <c r="N226" s="6">
        <f t="shared" si="39"/>
        <v>9.0723386973958071</v>
      </c>
      <c r="O226" s="14"/>
      <c r="P226" s="2">
        <f>SUM(OSRRefP22_19x_0)</f>
        <v>96021.4</v>
      </c>
      <c r="Q226" s="2"/>
      <c r="R226" s="6">
        <f t="shared" si="40"/>
        <v>3.9901592422490733E-3</v>
      </c>
      <c r="S226" s="2"/>
      <c r="T226" s="2">
        <f>SUM(OSRRefT22_19x_0)</f>
        <v>48972.63</v>
      </c>
      <c r="U226" s="2"/>
      <c r="V226" s="6">
        <f t="shared" si="41"/>
        <v>4.9909486765577094E-3</v>
      </c>
      <c r="W226" s="2"/>
      <c r="X226" s="2">
        <f t="shared" si="42"/>
        <v>47048.77</v>
      </c>
      <c r="Y226" s="2"/>
      <c r="Z226" s="6">
        <f t="shared" si="43"/>
        <v>0.96071560788138188</v>
      </c>
    </row>
    <row r="227" spans="1:26" s="69" customFormat="1" ht="15" hidden="1" customHeight="1" outlineLevel="2" x14ac:dyDescent="0.25">
      <c r="A227" s="25"/>
      <c r="B227" s="12" t="str">
        <f>CONCATENATE("          ","6253"," - ","ROYALTY DUE ATHLETICS-LRG")</f>
        <v xml:space="preserve">          6253 - ROYALTY DUE ATHLETICS-LRG</v>
      </c>
      <c r="C227" s="12"/>
      <c r="D227" s="7">
        <v>-3708.97</v>
      </c>
      <c r="E227" s="3"/>
      <c r="F227" s="8">
        <f t="shared" si="36"/>
        <v>-1.68224377739162E-3</v>
      </c>
      <c r="G227" s="3"/>
      <c r="H227" s="7"/>
      <c r="I227" s="3"/>
      <c r="J227" s="8">
        <f t="shared" si="37"/>
        <v>0</v>
      </c>
      <c r="K227" s="3"/>
      <c r="L227" s="7">
        <f t="shared" si="38"/>
        <v>-3708.97</v>
      </c>
      <c r="M227" s="3"/>
      <c r="N227" s="8">
        <f t="shared" si="39"/>
        <v>0</v>
      </c>
      <c r="O227" s="12"/>
      <c r="P227" s="7">
        <v>51456.52</v>
      </c>
      <c r="Q227" s="3"/>
      <c r="R227" s="8">
        <f t="shared" si="40"/>
        <v>2.1382703111178787E-3</v>
      </c>
      <c r="S227" s="3"/>
      <c r="T227" s="7">
        <v>35159.06</v>
      </c>
      <c r="U227" s="3"/>
      <c r="V227" s="8">
        <f t="shared" si="41"/>
        <v>3.583166025104494E-3</v>
      </c>
      <c r="W227" s="3"/>
      <c r="X227" s="7">
        <f t="shared" si="42"/>
        <v>16297.46</v>
      </c>
      <c r="Y227" s="3"/>
      <c r="Z227" s="8">
        <f t="shared" si="43"/>
        <v>0.46353514570639831</v>
      </c>
    </row>
    <row r="228" spans="1:26" s="69" customFormat="1" ht="15" hidden="1" customHeight="1" outlineLevel="2" x14ac:dyDescent="0.25">
      <c r="A228" s="25"/>
      <c r="B228" s="12" t="str">
        <f>CONCATENATE("          ","6254"," - ","ROYALTY &amp; COMMISSIONS")</f>
        <v xml:space="preserve">          6254 - ROYALTY &amp; COMMISSIONS</v>
      </c>
      <c r="C228" s="12"/>
      <c r="D228" s="7">
        <v>6416.46</v>
      </c>
      <c r="E228" s="3"/>
      <c r="F228" s="8">
        <f t="shared" ref="F228:F259" si="44">IF(D$12=0,0,D228/D$12)</f>
        <v>2.9102553829991168E-3</v>
      </c>
      <c r="G228" s="3"/>
      <c r="H228" s="7"/>
      <c r="I228" s="3"/>
      <c r="J228" s="8">
        <f t="shared" ref="J228:J259" si="45">IF(H$12=0,0,H228/H$12)</f>
        <v>0</v>
      </c>
      <c r="K228" s="3"/>
      <c r="L228" s="7">
        <f t="shared" ref="L228:L259" si="46">+D228-H228</f>
        <v>6416.46</v>
      </c>
      <c r="M228" s="3"/>
      <c r="N228" s="8">
        <f t="shared" ref="N228:N259" si="47">IF(H228=0,0,L228/H228)</f>
        <v>0</v>
      </c>
      <c r="O228" s="12"/>
      <c r="P228" s="7">
        <v>31253.42</v>
      </c>
      <c r="Q228" s="3"/>
      <c r="R228" s="8">
        <f t="shared" ref="R228:R259" si="48">IF(P$12=0,0,P228/P$12)</f>
        <v>1.2987326019501073E-3</v>
      </c>
      <c r="S228" s="3"/>
      <c r="T228" s="7">
        <v>185.7</v>
      </c>
      <c r="U228" s="3"/>
      <c r="V228" s="8">
        <f t="shared" ref="V228:V259" si="49">IF(T$12=0,0,T228/T$12)</f>
        <v>1.8925248026025285E-5</v>
      </c>
      <c r="W228" s="3"/>
      <c r="X228" s="7">
        <f t="shared" ref="X228:X259" si="50">+P228-T228</f>
        <v>31067.719999999998</v>
      </c>
      <c r="Y228" s="3"/>
      <c r="Z228" s="8">
        <f t="shared" ref="Z228:Z259" si="51">IF(T228=0,0,X228/T228)</f>
        <v>167.30059235325794</v>
      </c>
    </row>
    <row r="229" spans="1:26" s="69" customFormat="1" ht="15" hidden="1" customHeight="1" outlineLevel="2" x14ac:dyDescent="0.25">
      <c r="A229" s="25"/>
      <c r="B229" s="12" t="str">
        <f>CONCATENATE("          ","6259"," - ","ROYALTY &amp; COMMISSIONS")</f>
        <v xml:space="preserve">          6259 - ROYALTY &amp; COMMISSIONS</v>
      </c>
      <c r="C229" s="12"/>
      <c r="D229" s="7">
        <v>1260.81</v>
      </c>
      <c r="E229" s="3"/>
      <c r="F229" s="8">
        <f t="shared" si="44"/>
        <v>5.7185412040893521E-4</v>
      </c>
      <c r="G229" s="3"/>
      <c r="H229" s="7">
        <v>393.98</v>
      </c>
      <c r="I229" s="3"/>
      <c r="J229" s="8">
        <f t="shared" si="45"/>
        <v>4.8731953094375755E-4</v>
      </c>
      <c r="K229" s="3"/>
      <c r="L229" s="7">
        <f t="shared" si="46"/>
        <v>866.82999999999993</v>
      </c>
      <c r="M229" s="3"/>
      <c r="N229" s="8">
        <f t="shared" si="47"/>
        <v>2.200187826793238</v>
      </c>
      <c r="O229" s="12"/>
      <c r="P229" s="7">
        <v>13311.46</v>
      </c>
      <c r="Q229" s="3"/>
      <c r="R229" s="8">
        <f t="shared" si="48"/>
        <v>5.531563291810873E-4</v>
      </c>
      <c r="S229" s="3"/>
      <c r="T229" s="7">
        <v>13627.87</v>
      </c>
      <c r="U229" s="3"/>
      <c r="V229" s="8">
        <f t="shared" si="49"/>
        <v>1.3888574034271902E-3</v>
      </c>
      <c r="W229" s="3"/>
      <c r="X229" s="7">
        <f t="shared" si="50"/>
        <v>-316.41000000000167</v>
      </c>
      <c r="Y229" s="3"/>
      <c r="Z229" s="8">
        <f t="shared" si="51"/>
        <v>-2.3217861632082025E-2</v>
      </c>
    </row>
    <row r="230" spans="1:26" s="68" customFormat="1" ht="15" customHeight="1" outlineLevel="1" collapsed="1" x14ac:dyDescent="0.25">
      <c r="A230" s="26"/>
      <c r="B230" s="14" t="str">
        <f>CONCATENATE("     ","Services                                          ")</f>
        <v xml:space="preserve">     Services                                          </v>
      </c>
      <c r="C230" s="14"/>
      <c r="D230" s="2">
        <f>SUM(OSRRefD22_20x_0)</f>
        <v>26493.08</v>
      </c>
      <c r="E230" s="2"/>
      <c r="F230" s="6">
        <f t="shared" si="44"/>
        <v>1.2016225252277151E-2</v>
      </c>
      <c r="G230" s="2"/>
      <c r="H230" s="2">
        <f>SUM(OSRRefH22_20x_0)</f>
        <v>25692.670000000002</v>
      </c>
      <c r="I230" s="2"/>
      <c r="J230" s="6">
        <f t="shared" si="45"/>
        <v>3.1779633212581225E-2</v>
      </c>
      <c r="K230" s="2"/>
      <c r="L230" s="2">
        <f t="shared" si="46"/>
        <v>800.40999999999985</v>
      </c>
      <c r="M230" s="2"/>
      <c r="N230" s="6">
        <f t="shared" si="47"/>
        <v>3.1153243318035838E-2</v>
      </c>
      <c r="O230" s="14"/>
      <c r="P230" s="2">
        <f>SUM(OSRRefP22_20x_0)</f>
        <v>339190.61</v>
      </c>
      <c r="Q230" s="2"/>
      <c r="R230" s="6">
        <f t="shared" si="48"/>
        <v>1.4095030351313364E-2</v>
      </c>
      <c r="S230" s="2"/>
      <c r="T230" s="2">
        <f>SUM(OSRRefT22_20x_0)</f>
        <v>240549.41</v>
      </c>
      <c r="U230" s="2"/>
      <c r="V230" s="6">
        <f t="shared" si="49"/>
        <v>2.4515117106968482E-2</v>
      </c>
      <c r="W230" s="2"/>
      <c r="X230" s="2">
        <f t="shared" si="50"/>
        <v>98641.199999999983</v>
      </c>
      <c r="Y230" s="2"/>
      <c r="Z230" s="6">
        <f t="shared" si="51"/>
        <v>0.41006627287092484</v>
      </c>
    </row>
    <row r="231" spans="1:26" s="69" customFormat="1" ht="15" hidden="1" customHeight="1" outlineLevel="2" x14ac:dyDescent="0.25">
      <c r="A231" s="25"/>
      <c r="B231" s="12" t="str">
        <f>CONCATENATE("          ","6282"," - ","JANITORIAL/EXTERMINATOR EXPENS")</f>
        <v xml:space="preserve">          6282 - JANITORIAL/EXTERMINATOR EXPENS</v>
      </c>
      <c r="C231" s="12"/>
      <c r="D231" s="7">
        <v>2746.35</v>
      </c>
      <c r="E231" s="3"/>
      <c r="F231" s="8">
        <f t="shared" si="44"/>
        <v>1.2456369822456033E-3</v>
      </c>
      <c r="G231" s="3"/>
      <c r="H231" s="7">
        <v>2769.65</v>
      </c>
      <c r="I231" s="3"/>
      <c r="J231" s="8">
        <f t="shared" si="45"/>
        <v>3.4258199372515816E-3</v>
      </c>
      <c r="K231" s="3"/>
      <c r="L231" s="7">
        <f t="shared" si="46"/>
        <v>-23.300000000000182</v>
      </c>
      <c r="M231" s="3"/>
      <c r="N231" s="8">
        <f t="shared" si="47"/>
        <v>-8.4126153124041599E-3</v>
      </c>
      <c r="O231" s="12"/>
      <c r="P231" s="7">
        <v>37334.76</v>
      </c>
      <c r="Q231" s="3"/>
      <c r="R231" s="8">
        <f t="shared" si="48"/>
        <v>1.5514420501174847E-3</v>
      </c>
      <c r="S231" s="3"/>
      <c r="T231" s="7">
        <v>36819.56</v>
      </c>
      <c r="U231" s="3"/>
      <c r="V231" s="8">
        <f t="shared" si="49"/>
        <v>3.7523925967103905E-3</v>
      </c>
      <c r="W231" s="3"/>
      <c r="X231" s="7">
        <f t="shared" si="50"/>
        <v>515.20000000000437</v>
      </c>
      <c r="Y231" s="3"/>
      <c r="Z231" s="8">
        <f t="shared" si="51"/>
        <v>1.3992562648766155E-2</v>
      </c>
    </row>
    <row r="232" spans="1:26" s="69" customFormat="1" ht="15" hidden="1" customHeight="1" outlineLevel="2" x14ac:dyDescent="0.25">
      <c r="A232" s="25"/>
      <c r="B232" s="12" t="str">
        <f>CONCATENATE("          ","6283"," - ","PLANT SERVICE")</f>
        <v xml:space="preserve">          6283 - PLANT SERVICE</v>
      </c>
      <c r="C232" s="12"/>
      <c r="D232" s="7"/>
      <c r="E232" s="3"/>
      <c r="F232" s="8">
        <f t="shared" si="44"/>
        <v>0</v>
      </c>
      <c r="G232" s="3"/>
      <c r="H232" s="7"/>
      <c r="I232" s="3"/>
      <c r="J232" s="8">
        <f t="shared" si="45"/>
        <v>0</v>
      </c>
      <c r="K232" s="3"/>
      <c r="L232" s="7">
        <f t="shared" si="46"/>
        <v>0</v>
      </c>
      <c r="M232" s="3"/>
      <c r="N232" s="8">
        <f t="shared" si="47"/>
        <v>0</v>
      </c>
      <c r="O232" s="12"/>
      <c r="P232" s="7"/>
      <c r="Q232" s="3"/>
      <c r="R232" s="8">
        <f t="shared" si="48"/>
        <v>0</v>
      </c>
      <c r="S232" s="3"/>
      <c r="T232" s="7">
        <v>171.31</v>
      </c>
      <c r="U232" s="3"/>
      <c r="V232" s="8">
        <f t="shared" si="49"/>
        <v>1.7458719651795324E-5</v>
      </c>
      <c r="W232" s="3"/>
      <c r="X232" s="7">
        <f t="shared" si="50"/>
        <v>-171.31</v>
      </c>
      <c r="Y232" s="3"/>
      <c r="Z232" s="8">
        <f t="shared" si="51"/>
        <v>-1</v>
      </c>
    </row>
    <row r="233" spans="1:26" s="69" customFormat="1" ht="15" hidden="1" customHeight="1" outlineLevel="2" x14ac:dyDescent="0.25">
      <c r="A233" s="25"/>
      <c r="B233" s="12" t="str">
        <f>CONCATENATE("          ","6284"," - ","TRASH REMOVAL EXPENSE")</f>
        <v xml:space="preserve">          6284 - TRASH REMOVAL EXPENSE</v>
      </c>
      <c r="C233" s="12"/>
      <c r="D233" s="7">
        <v>149.69999999999999</v>
      </c>
      <c r="E233" s="3"/>
      <c r="F233" s="8">
        <f t="shared" si="44"/>
        <v>6.7898066976957352E-5</v>
      </c>
      <c r="G233" s="3"/>
      <c r="H233" s="7">
        <v>5561.57</v>
      </c>
      <c r="I233" s="3"/>
      <c r="J233" s="8">
        <f t="shared" si="45"/>
        <v>6.8791859579442442E-3</v>
      </c>
      <c r="K233" s="3"/>
      <c r="L233" s="7">
        <f t="shared" si="46"/>
        <v>-5411.87</v>
      </c>
      <c r="M233" s="3"/>
      <c r="N233" s="8">
        <f t="shared" si="47"/>
        <v>-0.9730831401924277</v>
      </c>
      <c r="O233" s="12"/>
      <c r="P233" s="7">
        <v>1489.87</v>
      </c>
      <c r="Q233" s="3"/>
      <c r="R233" s="8">
        <f t="shared" si="48"/>
        <v>6.1911392150600049E-5</v>
      </c>
      <c r="S233" s="3"/>
      <c r="T233" s="7">
        <v>34461.040000000001</v>
      </c>
      <c r="U233" s="3"/>
      <c r="V233" s="8">
        <f t="shared" si="49"/>
        <v>3.512028698087121E-3</v>
      </c>
      <c r="W233" s="3"/>
      <c r="X233" s="7">
        <f t="shared" si="50"/>
        <v>-32971.17</v>
      </c>
      <c r="Y233" s="3"/>
      <c r="Z233" s="8">
        <f t="shared" si="51"/>
        <v>-0.95676653983745119</v>
      </c>
    </row>
    <row r="234" spans="1:26" s="69" customFormat="1" ht="15" hidden="1" customHeight="1" outlineLevel="2" x14ac:dyDescent="0.25">
      <c r="A234" s="25"/>
      <c r="B234" s="12" t="str">
        <f>CONCATENATE("          ","6285"," - ","JANITORIAL SERVICES")</f>
        <v xml:space="preserve">          6285 - JANITORIAL SERVICES</v>
      </c>
      <c r="C234" s="12"/>
      <c r="D234" s="7">
        <v>18816.060000000001</v>
      </c>
      <c r="E234" s="3"/>
      <c r="F234" s="8">
        <f t="shared" si="44"/>
        <v>8.534229139094511E-3</v>
      </c>
      <c r="G234" s="3"/>
      <c r="H234" s="7">
        <v>16146.46</v>
      </c>
      <c r="I234" s="3"/>
      <c r="J234" s="8">
        <f t="shared" si="45"/>
        <v>1.9971788704000567E-2</v>
      </c>
      <c r="K234" s="3"/>
      <c r="L234" s="7">
        <f t="shared" si="46"/>
        <v>2669.6000000000022</v>
      </c>
      <c r="M234" s="3"/>
      <c r="N234" s="8">
        <f t="shared" si="47"/>
        <v>0.16533655055039942</v>
      </c>
      <c r="O234" s="12"/>
      <c r="P234" s="7">
        <v>260157.3</v>
      </c>
      <c r="Q234" s="3"/>
      <c r="R234" s="8">
        <f t="shared" si="48"/>
        <v>1.0810809413667837E-2</v>
      </c>
      <c r="S234" s="3"/>
      <c r="T234" s="7">
        <v>152390.13</v>
      </c>
      <c r="U234" s="3"/>
      <c r="V234" s="8">
        <f t="shared" si="49"/>
        <v>1.5530538540485927E-2</v>
      </c>
      <c r="W234" s="3"/>
      <c r="X234" s="7">
        <f t="shared" si="50"/>
        <v>107767.16999999998</v>
      </c>
      <c r="Y234" s="3"/>
      <c r="Z234" s="8">
        <f t="shared" si="51"/>
        <v>0.70717946103202345</v>
      </c>
    </row>
    <row r="235" spans="1:26" s="69" customFormat="1" ht="15" hidden="1" customHeight="1" outlineLevel="2" x14ac:dyDescent="0.25">
      <c r="A235" s="25"/>
      <c r="B235" s="12" t="str">
        <f>CONCATENATE("          ","6286"," - ","LAUNDRY EXPENSE")</f>
        <v xml:space="preserve">          6286 - LAUNDRY EXPENSE</v>
      </c>
      <c r="C235" s="12"/>
      <c r="D235" s="7">
        <v>4780.97</v>
      </c>
      <c r="E235" s="3"/>
      <c r="F235" s="8">
        <f t="shared" si="44"/>
        <v>2.168461063960079E-3</v>
      </c>
      <c r="G235" s="3"/>
      <c r="H235" s="7">
        <v>1214.99</v>
      </c>
      <c r="I235" s="3"/>
      <c r="J235" s="8">
        <f t="shared" si="45"/>
        <v>1.5028386133848317E-3</v>
      </c>
      <c r="K235" s="3"/>
      <c r="L235" s="7">
        <f t="shared" si="46"/>
        <v>3565.9800000000005</v>
      </c>
      <c r="M235" s="3"/>
      <c r="N235" s="8">
        <f t="shared" si="47"/>
        <v>2.9349871192355494</v>
      </c>
      <c r="O235" s="12"/>
      <c r="P235" s="7">
        <v>40208.68</v>
      </c>
      <c r="Q235" s="3"/>
      <c r="R235" s="8">
        <f t="shared" si="48"/>
        <v>1.6708674953774417E-3</v>
      </c>
      <c r="S235" s="3"/>
      <c r="T235" s="7">
        <v>16707.37</v>
      </c>
      <c r="U235" s="3"/>
      <c r="V235" s="8">
        <f t="shared" si="49"/>
        <v>1.7026985520332473E-3</v>
      </c>
      <c r="W235" s="3"/>
      <c r="X235" s="7">
        <f t="shared" si="50"/>
        <v>23501.31</v>
      </c>
      <c r="Y235" s="3"/>
      <c r="Z235" s="8">
        <f t="shared" si="51"/>
        <v>1.4066432957431363</v>
      </c>
    </row>
    <row r="236" spans="1:26" s="68" customFormat="1" ht="15" customHeight="1" outlineLevel="1" collapsed="1" x14ac:dyDescent="0.25">
      <c r="A236" s="26"/>
      <c r="B236" s="14" t="str">
        <f>CONCATENATE("     ","Subscriptions &amp; Dues                              ")</f>
        <v xml:space="preserve">     Subscriptions &amp; Dues                              </v>
      </c>
      <c r="C236" s="14"/>
      <c r="D236" s="2">
        <f>SUM(OSRRefD22_21x_0)</f>
        <v>3783.09</v>
      </c>
      <c r="E236" s="2"/>
      <c r="F236" s="6">
        <f t="shared" si="44"/>
        <v>1.7158617114218944E-3</v>
      </c>
      <c r="G236" s="2"/>
      <c r="H236" s="2">
        <f>SUM(OSRRefH22_21x_0)</f>
        <v>743.39</v>
      </c>
      <c r="I236" s="2"/>
      <c r="J236" s="6">
        <f t="shared" si="45"/>
        <v>9.1950978757368367E-4</v>
      </c>
      <c r="K236" s="2"/>
      <c r="L236" s="2">
        <f t="shared" si="46"/>
        <v>3039.7000000000003</v>
      </c>
      <c r="M236" s="2"/>
      <c r="N236" s="6">
        <f t="shared" si="47"/>
        <v>4.088970795948291</v>
      </c>
      <c r="O236" s="14"/>
      <c r="P236" s="2">
        <f>SUM(OSRRefP22_21x_0)</f>
        <v>15086.43</v>
      </c>
      <c r="Q236" s="2"/>
      <c r="R236" s="6">
        <f t="shared" si="48"/>
        <v>6.2691502203720932E-4</v>
      </c>
      <c r="S236" s="2"/>
      <c r="T236" s="2">
        <f>SUM(OSRRefT22_21x_0)</f>
        <v>9274.5999999999985</v>
      </c>
      <c r="U236" s="2"/>
      <c r="V236" s="6">
        <f t="shared" si="49"/>
        <v>9.4520250588138975E-4</v>
      </c>
      <c r="W236" s="2"/>
      <c r="X236" s="2">
        <f t="shared" si="50"/>
        <v>5811.8300000000017</v>
      </c>
      <c r="Y236" s="2"/>
      <c r="Z236" s="6">
        <f t="shared" si="51"/>
        <v>0.62663942380264404</v>
      </c>
    </row>
    <row r="237" spans="1:26" s="69" customFormat="1" ht="15" hidden="1" customHeight="1" outlineLevel="2" x14ac:dyDescent="0.25">
      <c r="A237" s="25"/>
      <c r="B237" s="12" t="str">
        <f>CONCATENATE("          ","6258"," - ","MEMBERSHIP DUES")</f>
        <v xml:space="preserve">          6258 - MEMBERSHIP DUES</v>
      </c>
      <c r="C237" s="12"/>
      <c r="D237" s="7">
        <v>1778.84</v>
      </c>
      <c r="E237" s="3"/>
      <c r="F237" s="8">
        <f t="shared" si="44"/>
        <v>8.0681227429051984E-4</v>
      </c>
      <c r="G237" s="3"/>
      <c r="H237" s="7">
        <v>611.22</v>
      </c>
      <c r="I237" s="3"/>
      <c r="J237" s="8">
        <f t="shared" si="45"/>
        <v>7.5602681279111504E-4</v>
      </c>
      <c r="K237" s="3"/>
      <c r="L237" s="7">
        <f t="shared" si="46"/>
        <v>1167.6199999999999</v>
      </c>
      <c r="M237" s="3"/>
      <c r="N237" s="8">
        <f t="shared" si="47"/>
        <v>1.9103105264880074</v>
      </c>
      <c r="O237" s="12"/>
      <c r="P237" s="7">
        <v>4767.1400000000003</v>
      </c>
      <c r="Q237" s="3"/>
      <c r="R237" s="8">
        <f t="shared" si="48"/>
        <v>1.9809800450832054E-4</v>
      </c>
      <c r="S237" s="3"/>
      <c r="T237" s="7">
        <v>3841.45</v>
      </c>
      <c r="U237" s="3"/>
      <c r="V237" s="8">
        <f t="shared" si="49"/>
        <v>3.9149377506502331E-4</v>
      </c>
      <c r="W237" s="3"/>
      <c r="X237" s="7">
        <f t="shared" si="50"/>
        <v>925.69000000000051</v>
      </c>
      <c r="Y237" s="3"/>
      <c r="Z237" s="8">
        <f t="shared" si="51"/>
        <v>0.24097411133816674</v>
      </c>
    </row>
    <row r="238" spans="1:26" s="69" customFormat="1" ht="15" hidden="1" customHeight="1" outlineLevel="2" x14ac:dyDescent="0.25">
      <c r="A238" s="25"/>
      <c r="B238" s="12" t="str">
        <f>CONCATENATE("          ","6275"," - ","SUBSCRIPTIONS")</f>
        <v xml:space="preserve">          6275 - SUBSCRIPTIONS</v>
      </c>
      <c r="C238" s="12"/>
      <c r="D238" s="7">
        <v>2004.25</v>
      </c>
      <c r="E238" s="3"/>
      <c r="F238" s="8">
        <f t="shared" si="44"/>
        <v>9.090494371313746E-4</v>
      </c>
      <c r="G238" s="3"/>
      <c r="H238" s="7">
        <v>132.16999999999999</v>
      </c>
      <c r="I238" s="3"/>
      <c r="J238" s="8">
        <f t="shared" si="45"/>
        <v>1.6348297478256871E-4</v>
      </c>
      <c r="K238" s="3"/>
      <c r="L238" s="7">
        <f t="shared" si="46"/>
        <v>1872.08</v>
      </c>
      <c r="M238" s="3"/>
      <c r="N238" s="8">
        <f t="shared" si="47"/>
        <v>14.164182492244837</v>
      </c>
      <c r="O238" s="12"/>
      <c r="P238" s="7">
        <v>10319.290000000001</v>
      </c>
      <c r="Q238" s="3"/>
      <c r="R238" s="8">
        <f t="shared" si="48"/>
        <v>4.2881701752888883E-4</v>
      </c>
      <c r="S238" s="3"/>
      <c r="T238" s="7">
        <v>5433.15</v>
      </c>
      <c r="U238" s="3"/>
      <c r="V238" s="8">
        <f t="shared" si="49"/>
        <v>5.537087308163666E-4</v>
      </c>
      <c r="W238" s="3"/>
      <c r="X238" s="7">
        <f t="shared" si="50"/>
        <v>4886.1400000000012</v>
      </c>
      <c r="Y238" s="3"/>
      <c r="Z238" s="8">
        <f t="shared" si="51"/>
        <v>0.89931991570267733</v>
      </c>
    </row>
    <row r="239" spans="1:26" s="68" customFormat="1" ht="15" customHeight="1" outlineLevel="1" collapsed="1" x14ac:dyDescent="0.25">
      <c r="A239" s="26"/>
      <c r="B239" s="14" t="str">
        <f>CONCATENATE("     ","Supplies                                          ")</f>
        <v xml:space="preserve">     Supplies                                          </v>
      </c>
      <c r="C239" s="14"/>
      <c r="D239" s="2">
        <f>SUM(OSRRefD22_22x_0)</f>
        <v>54507.76</v>
      </c>
      <c r="E239" s="2"/>
      <c r="F239" s="6">
        <f t="shared" si="44"/>
        <v>2.4722588772504456E-2</v>
      </c>
      <c r="G239" s="2"/>
      <c r="H239" s="2">
        <f>SUM(OSRRefH22_22x_0)</f>
        <v>24464.99</v>
      </c>
      <c r="I239" s="2"/>
      <c r="J239" s="6">
        <f t="shared" si="45"/>
        <v>3.0261098155601095E-2</v>
      </c>
      <c r="K239" s="2"/>
      <c r="L239" s="2">
        <f t="shared" si="46"/>
        <v>30042.77</v>
      </c>
      <c r="M239" s="2"/>
      <c r="N239" s="6">
        <f t="shared" si="47"/>
        <v>1.2279902832578309</v>
      </c>
      <c r="O239" s="14"/>
      <c r="P239" s="2">
        <f>SUM(OSRRefP22_22x_0)</f>
        <v>535315.06000000006</v>
      </c>
      <c r="Q239" s="2"/>
      <c r="R239" s="6">
        <f t="shared" si="48"/>
        <v>2.2244961375007213E-2</v>
      </c>
      <c r="S239" s="2"/>
      <c r="T239" s="2">
        <f>SUM(OSRRefT22_22x_0)</f>
        <v>298361.87000000005</v>
      </c>
      <c r="U239" s="2"/>
      <c r="V239" s="6">
        <f t="shared" si="49"/>
        <v>3.0406959565205782E-2</v>
      </c>
      <c r="W239" s="2"/>
      <c r="X239" s="2">
        <f t="shared" si="50"/>
        <v>236953.19</v>
      </c>
      <c r="Y239" s="2"/>
      <c r="Z239" s="6">
        <f t="shared" si="51"/>
        <v>0.79418053654108001</v>
      </c>
    </row>
    <row r="240" spans="1:26" s="69" customFormat="1" ht="15" hidden="1" customHeight="1" outlineLevel="2" x14ac:dyDescent="0.25">
      <c r="A240" s="25"/>
      <c r="B240" s="12" t="str">
        <f>CONCATENATE("          ","6234"," - ","EXPENDABLE SUPPLIES &amp; EQUIPMEN")</f>
        <v xml:space="preserve">          6234 - EXPENDABLE SUPPLIES &amp; EQUIPMEN</v>
      </c>
      <c r="C240" s="12"/>
      <c r="D240" s="7"/>
      <c r="E240" s="3"/>
      <c r="F240" s="8">
        <f t="shared" si="44"/>
        <v>0</v>
      </c>
      <c r="G240" s="3"/>
      <c r="H240" s="7"/>
      <c r="I240" s="3"/>
      <c r="J240" s="8">
        <f t="shared" si="45"/>
        <v>0</v>
      </c>
      <c r="K240" s="3"/>
      <c r="L240" s="7">
        <f t="shared" si="46"/>
        <v>0</v>
      </c>
      <c r="M240" s="3"/>
      <c r="N240" s="8">
        <f t="shared" si="47"/>
        <v>0</v>
      </c>
      <c r="O240" s="12"/>
      <c r="P240" s="7">
        <v>12156.59</v>
      </c>
      <c r="Q240" s="3"/>
      <c r="R240" s="8">
        <f t="shared" si="48"/>
        <v>5.0516582702119178E-4</v>
      </c>
      <c r="S240" s="3"/>
      <c r="T240" s="7">
        <v>2387.48</v>
      </c>
      <c r="U240" s="3"/>
      <c r="V240" s="8">
        <f t="shared" si="49"/>
        <v>2.4331529971553499E-4</v>
      </c>
      <c r="W240" s="3"/>
      <c r="X240" s="7">
        <f t="shared" si="50"/>
        <v>9769.11</v>
      </c>
      <c r="Y240" s="3"/>
      <c r="Z240" s="8">
        <f t="shared" si="51"/>
        <v>4.0918080989160117</v>
      </c>
    </row>
    <row r="241" spans="1:26" s="69" customFormat="1" ht="15" hidden="1" customHeight="1" outlineLevel="2" x14ac:dyDescent="0.25">
      <c r="A241" s="25"/>
      <c r="B241" s="12" t="str">
        <f>CONCATENATE("          ","6235"," - ","COVID-19 EXPENSES")</f>
        <v xml:space="preserve">          6235 - COVID-19 EXPENSES</v>
      </c>
      <c r="C241" s="12"/>
      <c r="D241" s="7">
        <v>156</v>
      </c>
      <c r="E241" s="3"/>
      <c r="F241" s="8">
        <f t="shared" si="44"/>
        <v>7.0755500657350344E-5</v>
      </c>
      <c r="G241" s="3"/>
      <c r="H241" s="7">
        <v>5849.47</v>
      </c>
      <c r="I241" s="3"/>
      <c r="J241" s="8">
        <f t="shared" si="45"/>
        <v>7.2352936105121619E-3</v>
      </c>
      <c r="K241" s="3"/>
      <c r="L241" s="7">
        <f t="shared" si="46"/>
        <v>-5693.47</v>
      </c>
      <c r="M241" s="3"/>
      <c r="N241" s="8">
        <f t="shared" si="47"/>
        <v>-0.97333091716001618</v>
      </c>
      <c r="O241" s="12"/>
      <c r="P241" s="7">
        <v>4435.6099999999997</v>
      </c>
      <c r="Q241" s="3"/>
      <c r="R241" s="8">
        <f t="shared" si="48"/>
        <v>1.8432131000498236E-4</v>
      </c>
      <c r="S241" s="3"/>
      <c r="T241" s="7">
        <v>111232.71</v>
      </c>
      <c r="U241" s="3"/>
      <c r="V241" s="8">
        <f t="shared" si="49"/>
        <v>1.1336061525885531E-2</v>
      </c>
      <c r="W241" s="3"/>
      <c r="X241" s="7">
        <f t="shared" si="50"/>
        <v>-106797.1</v>
      </c>
      <c r="Y241" s="3"/>
      <c r="Z241" s="8">
        <f t="shared" si="51"/>
        <v>-0.96012315082496869</v>
      </c>
    </row>
    <row r="242" spans="1:26" s="69" customFormat="1" ht="15" hidden="1" customHeight="1" outlineLevel="2" x14ac:dyDescent="0.25">
      <c r="A242" s="25"/>
      <c r="B242" s="12" t="str">
        <f>CONCATENATE("          ","6237"," - ","JANITORIAL SUPPLIES")</f>
        <v xml:space="preserve">          6237 - JANITORIAL SUPPLIES</v>
      </c>
      <c r="C242" s="12"/>
      <c r="D242" s="7">
        <v>9589.9699999999993</v>
      </c>
      <c r="E242" s="3"/>
      <c r="F242" s="8">
        <f t="shared" si="44"/>
        <v>4.3496354399933978E-3</v>
      </c>
      <c r="G242" s="3"/>
      <c r="H242" s="7">
        <v>1785.74</v>
      </c>
      <c r="I242" s="3"/>
      <c r="J242" s="8">
        <f t="shared" si="45"/>
        <v>2.2088075008566566E-3</v>
      </c>
      <c r="K242" s="3"/>
      <c r="L242" s="7">
        <f t="shared" si="46"/>
        <v>7804.23</v>
      </c>
      <c r="M242" s="3"/>
      <c r="N242" s="8">
        <f t="shared" si="47"/>
        <v>4.3703058675955067</v>
      </c>
      <c r="O242" s="12"/>
      <c r="P242" s="7">
        <v>96452.76</v>
      </c>
      <c r="Q242" s="3"/>
      <c r="R242" s="8">
        <f t="shared" si="48"/>
        <v>4.0080843619696421E-3</v>
      </c>
      <c r="S242" s="3"/>
      <c r="T242" s="7">
        <v>27693.49</v>
      </c>
      <c r="U242" s="3"/>
      <c r="V242" s="8">
        <f t="shared" si="49"/>
        <v>2.8223272318591867E-3</v>
      </c>
      <c r="W242" s="3"/>
      <c r="X242" s="7">
        <f t="shared" si="50"/>
        <v>68759.26999999999</v>
      </c>
      <c r="Y242" s="3"/>
      <c r="Z242" s="8">
        <f t="shared" si="51"/>
        <v>2.4828676342346157</v>
      </c>
    </row>
    <row r="243" spans="1:26" s="69" customFormat="1" ht="15" hidden="1" customHeight="1" outlineLevel="2" x14ac:dyDescent="0.25">
      <c r="A243" s="25"/>
      <c r="B243" s="12" t="str">
        <f>CONCATENATE("          ","6239"," - ","KITCHEN SUPPLIES")</f>
        <v xml:space="preserve">          6239 - KITCHEN SUPPLIES</v>
      </c>
      <c r="C243" s="12"/>
      <c r="D243" s="7">
        <v>1200.6500000000001</v>
      </c>
      <c r="E243" s="3"/>
      <c r="F243" s="8">
        <f t="shared" si="44"/>
        <v>5.4456789656569043E-4</v>
      </c>
      <c r="G243" s="3"/>
      <c r="H243" s="7">
        <v>618.89</v>
      </c>
      <c r="I243" s="3"/>
      <c r="J243" s="8">
        <f t="shared" si="45"/>
        <v>7.6551394615407403E-4</v>
      </c>
      <c r="K243" s="3"/>
      <c r="L243" s="7">
        <f t="shared" si="46"/>
        <v>581.7600000000001</v>
      </c>
      <c r="M243" s="3"/>
      <c r="N243" s="8">
        <f t="shared" si="47"/>
        <v>0.94000549370647468</v>
      </c>
      <c r="O243" s="12"/>
      <c r="P243" s="7">
        <v>45826.65</v>
      </c>
      <c r="Q243" s="3"/>
      <c r="R243" s="8">
        <f t="shared" si="48"/>
        <v>1.9043216516194674E-3</v>
      </c>
      <c r="S243" s="3"/>
      <c r="T243" s="7">
        <v>7886.1</v>
      </c>
      <c r="U243" s="3"/>
      <c r="V243" s="8">
        <f t="shared" si="49"/>
        <v>8.0369627602605283E-4</v>
      </c>
      <c r="W243" s="3"/>
      <c r="X243" s="7">
        <f t="shared" si="50"/>
        <v>37940.550000000003</v>
      </c>
      <c r="Y243" s="3"/>
      <c r="Z243" s="8">
        <f t="shared" si="51"/>
        <v>4.8110663065393542</v>
      </c>
    </row>
    <row r="244" spans="1:26" s="69" customFormat="1" ht="15" hidden="1" customHeight="1" outlineLevel="2" x14ac:dyDescent="0.25">
      <c r="A244" s="25"/>
      <c r="B244" s="12" t="str">
        <f>CONCATENATE("          ","6241"," - ","OFFICE EXPENSE")</f>
        <v xml:space="preserve">          6241 - OFFICE EXPENSE</v>
      </c>
      <c r="C244" s="12"/>
      <c r="D244" s="7">
        <v>19646.259999999998</v>
      </c>
      <c r="E244" s="3"/>
      <c r="F244" s="8">
        <f t="shared" si="44"/>
        <v>8.9107753996440758E-3</v>
      </c>
      <c r="G244" s="3"/>
      <c r="H244" s="7">
        <v>6122.59</v>
      </c>
      <c r="I244" s="3"/>
      <c r="J244" s="8">
        <f t="shared" si="45"/>
        <v>7.5731196684119513E-3</v>
      </c>
      <c r="K244" s="3"/>
      <c r="L244" s="7">
        <f t="shared" si="46"/>
        <v>13523.669999999998</v>
      </c>
      <c r="M244" s="3"/>
      <c r="N244" s="8">
        <f t="shared" si="47"/>
        <v>2.2088152236226821</v>
      </c>
      <c r="O244" s="12"/>
      <c r="P244" s="7">
        <v>93314.53</v>
      </c>
      <c r="Q244" s="3"/>
      <c r="R244" s="8">
        <f t="shared" si="48"/>
        <v>3.8776755422814963E-3</v>
      </c>
      <c r="S244" s="3"/>
      <c r="T244" s="7">
        <v>42551.19</v>
      </c>
      <c r="U244" s="3"/>
      <c r="V244" s="8">
        <f t="shared" si="49"/>
        <v>4.3365203260771505E-3</v>
      </c>
      <c r="W244" s="3"/>
      <c r="X244" s="7">
        <f t="shared" si="50"/>
        <v>50763.34</v>
      </c>
      <c r="Y244" s="3"/>
      <c r="Z244" s="8">
        <f t="shared" si="51"/>
        <v>1.1929946025011284</v>
      </c>
    </row>
    <row r="245" spans="1:26" s="69" customFormat="1" ht="15" hidden="1" customHeight="1" outlineLevel="2" x14ac:dyDescent="0.25">
      <c r="A245" s="25"/>
      <c r="B245" s="12" t="str">
        <f>CONCATENATE("          ","6243"," - ","PAPER SUPPLIES")</f>
        <v xml:space="preserve">          6243 - PAPER SUPPLIES</v>
      </c>
      <c r="C245" s="12"/>
      <c r="D245" s="7">
        <v>8904.08</v>
      </c>
      <c r="E245" s="3"/>
      <c r="F245" s="8">
        <f t="shared" si="44"/>
        <v>4.0385425531608982E-3</v>
      </c>
      <c r="G245" s="3"/>
      <c r="H245" s="7">
        <v>3342.95</v>
      </c>
      <c r="I245" s="3"/>
      <c r="J245" s="8">
        <f t="shared" si="45"/>
        <v>4.1349429564151328E-3</v>
      </c>
      <c r="K245" s="3"/>
      <c r="L245" s="7">
        <f t="shared" si="46"/>
        <v>5561.13</v>
      </c>
      <c r="M245" s="3"/>
      <c r="N245" s="8">
        <f t="shared" si="47"/>
        <v>1.6635396880001199</v>
      </c>
      <c r="O245" s="12"/>
      <c r="P245" s="7">
        <v>195348.76</v>
      </c>
      <c r="Q245" s="3"/>
      <c r="R245" s="8">
        <f t="shared" si="48"/>
        <v>8.1176973068076089E-3</v>
      </c>
      <c r="S245" s="3"/>
      <c r="T245" s="7">
        <v>45656.78</v>
      </c>
      <c r="U245" s="3"/>
      <c r="V245" s="8">
        <f t="shared" si="49"/>
        <v>4.6530203854047965E-3</v>
      </c>
      <c r="W245" s="3"/>
      <c r="X245" s="7">
        <f t="shared" si="50"/>
        <v>149691.98000000001</v>
      </c>
      <c r="Y245" s="3"/>
      <c r="Z245" s="8">
        <f t="shared" si="51"/>
        <v>3.2786363821539761</v>
      </c>
    </row>
    <row r="246" spans="1:26" s="69" customFormat="1" ht="15" hidden="1" customHeight="1" outlineLevel="2" x14ac:dyDescent="0.25">
      <c r="A246" s="25"/>
      <c r="B246" s="12" t="str">
        <f>CONCATENATE("          ","6245"," - ","PRINTING")</f>
        <v xml:space="preserve">          6245 - PRINTING</v>
      </c>
      <c r="C246" s="12"/>
      <c r="D246" s="7">
        <v>4762.72</v>
      </c>
      <c r="E246" s="3"/>
      <c r="F246" s="8">
        <f t="shared" si="44"/>
        <v>2.1601835775049722E-3</v>
      </c>
      <c r="G246" s="3"/>
      <c r="H246" s="7">
        <v>5963.79</v>
      </c>
      <c r="I246" s="3"/>
      <c r="J246" s="8">
        <f t="shared" si="45"/>
        <v>7.3766976634526416E-3</v>
      </c>
      <c r="K246" s="3"/>
      <c r="L246" s="7">
        <f t="shared" si="46"/>
        <v>-1201.0699999999997</v>
      </c>
      <c r="M246" s="3"/>
      <c r="N246" s="8">
        <f t="shared" si="47"/>
        <v>-0.20139374458188497</v>
      </c>
      <c r="O246" s="12"/>
      <c r="P246" s="7">
        <v>12774.4</v>
      </c>
      <c r="Q246" s="3"/>
      <c r="R246" s="8">
        <f t="shared" si="48"/>
        <v>5.308388570067356E-4</v>
      </c>
      <c r="S246" s="3"/>
      <c r="T246" s="7">
        <v>9084.3799999999992</v>
      </c>
      <c r="U246" s="3"/>
      <c r="V246" s="8">
        <f t="shared" si="49"/>
        <v>9.258166109998038E-4</v>
      </c>
      <c r="W246" s="3"/>
      <c r="X246" s="7">
        <f t="shared" si="50"/>
        <v>3690.0200000000004</v>
      </c>
      <c r="Y246" s="3"/>
      <c r="Z246" s="8">
        <f t="shared" si="51"/>
        <v>0.40619392847943403</v>
      </c>
    </row>
    <row r="247" spans="1:26" s="69" customFormat="1" ht="15" hidden="1" customHeight="1" outlineLevel="2" x14ac:dyDescent="0.25">
      <c r="A247" s="25"/>
      <c r="B247" s="12" t="str">
        <f>CONCATENATE("          ","6247"," - ","STORE SUPPLIES")</f>
        <v xml:space="preserve">          6247 - STORE SUPPLIES</v>
      </c>
      <c r="C247" s="12"/>
      <c r="D247" s="7">
        <v>10248.08</v>
      </c>
      <c r="E247" s="3"/>
      <c r="F247" s="8">
        <f t="shared" si="44"/>
        <v>4.6481284049780698E-3</v>
      </c>
      <c r="G247" s="3"/>
      <c r="H247" s="7">
        <v>781.56</v>
      </c>
      <c r="I247" s="3"/>
      <c r="J247" s="8">
        <f t="shared" si="45"/>
        <v>9.6672280979847485E-4</v>
      </c>
      <c r="K247" s="3"/>
      <c r="L247" s="7">
        <f t="shared" si="46"/>
        <v>9466.52</v>
      </c>
      <c r="M247" s="3"/>
      <c r="N247" s="8">
        <f t="shared" si="47"/>
        <v>12.112339423716671</v>
      </c>
      <c r="O247" s="12"/>
      <c r="P247" s="7">
        <v>65473.919999999998</v>
      </c>
      <c r="Q247" s="3"/>
      <c r="R247" s="8">
        <f t="shared" si="48"/>
        <v>2.7207619032244526E-3</v>
      </c>
      <c r="S247" s="3"/>
      <c r="T247" s="7">
        <v>47369.15</v>
      </c>
      <c r="U247" s="3"/>
      <c r="V247" s="8">
        <f t="shared" si="49"/>
        <v>4.8275331854173162E-3</v>
      </c>
      <c r="W247" s="3"/>
      <c r="X247" s="7">
        <f t="shared" si="50"/>
        <v>18104.769999999997</v>
      </c>
      <c r="Y247" s="3"/>
      <c r="Z247" s="8">
        <f t="shared" si="51"/>
        <v>0.38220592938653103</v>
      </c>
    </row>
    <row r="248" spans="1:26" s="69" customFormat="1" ht="15" hidden="1" customHeight="1" outlineLevel="2" x14ac:dyDescent="0.25">
      <c r="A248" s="25"/>
      <c r="B248" s="12" t="str">
        <f>CONCATENATE("          ","6248"," - ","UNIFORMS")</f>
        <v xml:space="preserve">          6248 - UNIFORMS</v>
      </c>
      <c r="C248" s="12"/>
      <c r="D248" s="7"/>
      <c r="E248" s="3"/>
      <c r="F248" s="8">
        <f t="shared" si="44"/>
        <v>0</v>
      </c>
      <c r="G248" s="3"/>
      <c r="H248" s="7"/>
      <c r="I248" s="3"/>
      <c r="J248" s="8">
        <f t="shared" si="45"/>
        <v>0</v>
      </c>
      <c r="K248" s="3"/>
      <c r="L248" s="7">
        <f t="shared" si="46"/>
        <v>0</v>
      </c>
      <c r="M248" s="3"/>
      <c r="N248" s="8">
        <f t="shared" si="47"/>
        <v>0</v>
      </c>
      <c r="O248" s="12"/>
      <c r="P248" s="7">
        <v>9531.84</v>
      </c>
      <c r="Q248" s="3"/>
      <c r="R248" s="8">
        <f t="shared" si="48"/>
        <v>3.9609461507163413E-4</v>
      </c>
      <c r="S248" s="3"/>
      <c r="T248" s="7">
        <v>4500.59</v>
      </c>
      <c r="U248" s="3"/>
      <c r="V248" s="8">
        <f t="shared" si="49"/>
        <v>4.5866872382040462E-4</v>
      </c>
      <c r="W248" s="3"/>
      <c r="X248" s="7">
        <f t="shared" si="50"/>
        <v>5031.25</v>
      </c>
      <c r="Y248" s="3"/>
      <c r="Z248" s="8">
        <f t="shared" si="51"/>
        <v>1.1179089852663762</v>
      </c>
    </row>
    <row r="249" spans="1:26" s="68" customFormat="1" ht="15" customHeight="1" outlineLevel="1" collapsed="1" x14ac:dyDescent="0.25">
      <c r="A249" s="26"/>
      <c r="B249" s="14" t="str">
        <f>CONCATENATE("     ","Telephone/Data Lines                              ")</f>
        <v xml:space="preserve">     Telephone/Data Lines                              </v>
      </c>
      <c r="C249" s="14"/>
      <c r="D249" s="2">
        <f>SUM(OSRRefD22_23x_0)</f>
        <v>3440.79</v>
      </c>
      <c r="E249" s="2"/>
      <c r="F249" s="6">
        <f t="shared" si="44"/>
        <v>1.5606078147872083E-3</v>
      </c>
      <c r="G249" s="2"/>
      <c r="H249" s="2">
        <f>SUM(OSRRefH22_23x_0)</f>
        <v>3381.15</v>
      </c>
      <c r="I249" s="2"/>
      <c r="J249" s="6">
        <f t="shared" si="45"/>
        <v>4.1821930860715915E-3</v>
      </c>
      <c r="K249" s="2"/>
      <c r="L249" s="2">
        <f t="shared" si="46"/>
        <v>59.639999999999873</v>
      </c>
      <c r="M249" s="2"/>
      <c r="N249" s="6">
        <f t="shared" si="47"/>
        <v>1.7638968989840697E-2</v>
      </c>
      <c r="O249" s="14"/>
      <c r="P249" s="2">
        <f>SUM(OSRRefP22_23x_0)</f>
        <v>40522.44</v>
      </c>
      <c r="Q249" s="2"/>
      <c r="R249" s="6">
        <f t="shared" si="48"/>
        <v>1.6839057593878402E-3</v>
      </c>
      <c r="S249" s="2"/>
      <c r="T249" s="2">
        <f>SUM(OSRRefT22_23x_0)</f>
        <v>44028.78</v>
      </c>
      <c r="U249" s="2"/>
      <c r="V249" s="6">
        <f t="shared" si="49"/>
        <v>4.4871059869860067E-3</v>
      </c>
      <c r="W249" s="2"/>
      <c r="X249" s="2">
        <f t="shared" si="50"/>
        <v>-3506.3399999999965</v>
      </c>
      <c r="Y249" s="2"/>
      <c r="Z249" s="6">
        <f t="shared" si="51"/>
        <v>-7.9637455318998088E-2</v>
      </c>
    </row>
    <row r="250" spans="1:26" s="69" customFormat="1" ht="15" hidden="1" customHeight="1" outlineLevel="2" x14ac:dyDescent="0.25">
      <c r="A250" s="25"/>
      <c r="B250" s="12" t="str">
        <f>CONCATENATE("          ","6303"," - ","DATA PHONE LINES")</f>
        <v xml:space="preserve">          6303 - DATA PHONE LINES</v>
      </c>
      <c r="C250" s="12"/>
      <c r="D250" s="7"/>
      <c r="E250" s="3"/>
      <c r="F250" s="8">
        <f t="shared" si="44"/>
        <v>0</v>
      </c>
      <c r="G250" s="3"/>
      <c r="H250" s="7"/>
      <c r="I250" s="3"/>
      <c r="J250" s="8">
        <f t="shared" si="45"/>
        <v>0</v>
      </c>
      <c r="K250" s="3"/>
      <c r="L250" s="7">
        <f t="shared" si="46"/>
        <v>0</v>
      </c>
      <c r="M250" s="3"/>
      <c r="N250" s="8">
        <f t="shared" si="47"/>
        <v>0</v>
      </c>
      <c r="O250" s="12"/>
      <c r="P250" s="7">
        <v>295</v>
      </c>
      <c r="Q250" s="3"/>
      <c r="R250" s="8">
        <f t="shared" si="48"/>
        <v>1.2258694170918948E-5</v>
      </c>
      <c r="S250" s="3"/>
      <c r="T250" s="7">
        <v>3540</v>
      </c>
      <c r="U250" s="3"/>
      <c r="V250" s="8">
        <f t="shared" si="49"/>
        <v>3.6077209484183901E-4</v>
      </c>
      <c r="W250" s="3"/>
      <c r="X250" s="7">
        <f t="shared" si="50"/>
        <v>-3245</v>
      </c>
      <c r="Y250" s="3"/>
      <c r="Z250" s="8">
        <f t="shared" si="51"/>
        <v>-0.91666666666666663</v>
      </c>
    </row>
    <row r="251" spans="1:26" s="69" customFormat="1" ht="15" hidden="1" customHeight="1" outlineLevel="2" x14ac:dyDescent="0.25">
      <c r="A251" s="25"/>
      <c r="B251" s="12" t="str">
        <f>CONCATENATE("          ","6309"," - ","TELEPHONE")</f>
        <v xml:space="preserve">          6309 - TELEPHONE</v>
      </c>
      <c r="C251" s="12"/>
      <c r="D251" s="7">
        <v>3440.79</v>
      </c>
      <c r="E251" s="3"/>
      <c r="F251" s="8">
        <f t="shared" si="44"/>
        <v>1.5606078147872083E-3</v>
      </c>
      <c r="G251" s="3"/>
      <c r="H251" s="7">
        <v>3381.15</v>
      </c>
      <c r="I251" s="3"/>
      <c r="J251" s="8">
        <f t="shared" si="45"/>
        <v>4.1821930860715915E-3</v>
      </c>
      <c r="K251" s="3"/>
      <c r="L251" s="7">
        <f t="shared" si="46"/>
        <v>59.639999999999873</v>
      </c>
      <c r="M251" s="3"/>
      <c r="N251" s="8">
        <f t="shared" si="47"/>
        <v>1.7638968989840697E-2</v>
      </c>
      <c r="O251" s="12"/>
      <c r="P251" s="7">
        <v>40227.440000000002</v>
      </c>
      <c r="Q251" s="3"/>
      <c r="R251" s="8">
        <f t="shared" si="48"/>
        <v>1.6716470652169213E-3</v>
      </c>
      <c r="S251" s="3"/>
      <c r="T251" s="7">
        <v>40488.78</v>
      </c>
      <c r="U251" s="3"/>
      <c r="V251" s="8">
        <f t="shared" si="49"/>
        <v>4.1263338921441678E-3</v>
      </c>
      <c r="W251" s="3"/>
      <c r="X251" s="7">
        <f t="shared" si="50"/>
        <v>-261.33999999999651</v>
      </c>
      <c r="Y251" s="3"/>
      <c r="Z251" s="8">
        <f t="shared" si="51"/>
        <v>-6.4546276770995944E-3</v>
      </c>
    </row>
    <row r="252" spans="1:26" s="68" customFormat="1" ht="15" customHeight="1" outlineLevel="1" collapsed="1" x14ac:dyDescent="0.25">
      <c r="A252" s="26"/>
      <c r="B252" s="14" t="str">
        <f>CONCATENATE("     ","Training                                          ")</f>
        <v xml:space="preserve">     Training                                          </v>
      </c>
      <c r="C252" s="14"/>
      <c r="D252" s="2">
        <f>SUM(OSRRefD22_24x_0)</f>
        <v>13740.38</v>
      </c>
      <c r="E252" s="2"/>
      <c r="F252" s="6">
        <f t="shared" si="44"/>
        <v>6.2320991418092532E-3</v>
      </c>
      <c r="G252" s="2"/>
      <c r="H252" s="2">
        <f>SUM(OSRRefH22_24x_0)</f>
        <v>0</v>
      </c>
      <c r="I252" s="2"/>
      <c r="J252" s="6">
        <f t="shared" si="45"/>
        <v>0</v>
      </c>
      <c r="K252" s="2"/>
      <c r="L252" s="2">
        <f t="shared" si="46"/>
        <v>13740.38</v>
      </c>
      <c r="M252" s="2"/>
      <c r="N252" s="6">
        <f t="shared" si="47"/>
        <v>0</v>
      </c>
      <c r="O252" s="14"/>
      <c r="P252" s="2">
        <f>SUM(OSRRefP22_24x_0)</f>
        <v>26570.3</v>
      </c>
      <c r="Q252" s="2"/>
      <c r="R252" s="6">
        <f t="shared" si="48"/>
        <v>1.1041260397612466E-3</v>
      </c>
      <c r="S252" s="2"/>
      <c r="T252" s="2">
        <f>SUM(OSRRefT22_24x_0)</f>
        <v>2181.86</v>
      </c>
      <c r="U252" s="2"/>
      <c r="V252" s="6">
        <f t="shared" si="49"/>
        <v>2.2235994430836581E-4</v>
      </c>
      <c r="W252" s="2"/>
      <c r="X252" s="2">
        <f t="shared" si="50"/>
        <v>24388.44</v>
      </c>
      <c r="Y252" s="2"/>
      <c r="Z252" s="6">
        <f t="shared" si="51"/>
        <v>11.177820758435463</v>
      </c>
    </row>
    <row r="253" spans="1:26" s="69" customFormat="1" ht="15" hidden="1" customHeight="1" outlineLevel="2" x14ac:dyDescent="0.25">
      <c r="A253" s="25"/>
      <c r="B253" s="12" t="str">
        <f>CONCATENATE("          ","6376"," - ","TRAINING")</f>
        <v xml:space="preserve">          6376 - TRAINING</v>
      </c>
      <c r="C253" s="12"/>
      <c r="D253" s="7">
        <v>13740.38</v>
      </c>
      <c r="E253" s="3"/>
      <c r="F253" s="8">
        <f t="shared" si="44"/>
        <v>6.2320991418092532E-3</v>
      </c>
      <c r="G253" s="3"/>
      <c r="H253" s="7"/>
      <c r="I253" s="3"/>
      <c r="J253" s="8">
        <f t="shared" si="45"/>
        <v>0</v>
      </c>
      <c r="K253" s="3"/>
      <c r="L253" s="7">
        <f t="shared" si="46"/>
        <v>13740.38</v>
      </c>
      <c r="M253" s="3"/>
      <c r="N253" s="8">
        <f t="shared" si="47"/>
        <v>0</v>
      </c>
      <c r="O253" s="12"/>
      <c r="P253" s="7">
        <v>26570.3</v>
      </c>
      <c r="Q253" s="3"/>
      <c r="R253" s="8">
        <f t="shared" si="48"/>
        <v>1.1041260397612466E-3</v>
      </c>
      <c r="S253" s="3"/>
      <c r="T253" s="7">
        <v>2181.86</v>
      </c>
      <c r="U253" s="3"/>
      <c r="V253" s="8">
        <f t="shared" si="49"/>
        <v>2.2235994430836581E-4</v>
      </c>
      <c r="W253" s="3"/>
      <c r="X253" s="7">
        <f t="shared" si="50"/>
        <v>24388.44</v>
      </c>
      <c r="Y253" s="3"/>
      <c r="Z253" s="8">
        <f t="shared" si="51"/>
        <v>11.177820758435463</v>
      </c>
    </row>
    <row r="254" spans="1:26" s="68" customFormat="1" ht="15" customHeight="1" outlineLevel="1" collapsed="1" x14ac:dyDescent="0.25">
      <c r="A254" s="26"/>
      <c r="B254" s="14" t="str">
        <f>CONCATENATE("     ","Travel                                            ")</f>
        <v xml:space="preserve">     Travel                                            </v>
      </c>
      <c r="C254" s="14"/>
      <c r="D254" s="2">
        <f>SUM(OSRRefD22_25x_0)</f>
        <v>456.64</v>
      </c>
      <c r="E254" s="2"/>
      <c r="F254" s="6">
        <f t="shared" si="44"/>
        <v>2.0711405012931066E-4</v>
      </c>
      <c r="G254" s="2"/>
      <c r="H254" s="2">
        <f>SUM(OSRRefH22_25x_0)</f>
        <v>0</v>
      </c>
      <c r="I254" s="2"/>
      <c r="J254" s="6">
        <f t="shared" si="45"/>
        <v>0</v>
      </c>
      <c r="K254" s="2"/>
      <c r="L254" s="2">
        <f t="shared" si="46"/>
        <v>456.64</v>
      </c>
      <c r="M254" s="2"/>
      <c r="N254" s="6">
        <f t="shared" si="47"/>
        <v>0</v>
      </c>
      <c r="O254" s="14"/>
      <c r="P254" s="2">
        <f>SUM(OSRRefP22_25x_0)</f>
        <v>2716.9</v>
      </c>
      <c r="Q254" s="2"/>
      <c r="R254" s="6">
        <f t="shared" si="48"/>
        <v>1.129004955693888E-4</v>
      </c>
      <c r="S254" s="2"/>
      <c r="T254" s="2">
        <f>SUM(OSRRefT22_25x_0)</f>
        <v>1464.9099999999999</v>
      </c>
      <c r="U254" s="2"/>
      <c r="V254" s="6">
        <f t="shared" si="49"/>
        <v>1.4929340380077919E-4</v>
      </c>
      <c r="W254" s="2"/>
      <c r="X254" s="2">
        <f t="shared" si="50"/>
        <v>1251.9900000000002</v>
      </c>
      <c r="Y254" s="2"/>
      <c r="Z254" s="6">
        <f t="shared" si="51"/>
        <v>0.85465318688520142</v>
      </c>
    </row>
    <row r="255" spans="1:26" s="69" customFormat="1" ht="15" hidden="1" customHeight="1" outlineLevel="2" x14ac:dyDescent="0.25">
      <c r="A255" s="25"/>
      <c r="B255" s="12" t="str">
        <f>CONCATENATE("          ","6292"," - ","TRAVEL/CONFERENCE")</f>
        <v xml:space="preserve">          6292 - TRAVEL/CONFERENCE</v>
      </c>
      <c r="C255" s="12"/>
      <c r="D255" s="7">
        <v>15</v>
      </c>
      <c r="E255" s="3"/>
      <c r="F255" s="8">
        <f t="shared" si="44"/>
        <v>6.8034135247452258E-6</v>
      </c>
      <c r="G255" s="3"/>
      <c r="H255" s="7"/>
      <c r="I255" s="3"/>
      <c r="J255" s="8">
        <f t="shared" si="45"/>
        <v>0</v>
      </c>
      <c r="K255" s="3"/>
      <c r="L255" s="7">
        <f t="shared" si="46"/>
        <v>15</v>
      </c>
      <c r="M255" s="3"/>
      <c r="N255" s="8">
        <f t="shared" si="47"/>
        <v>0</v>
      </c>
      <c r="O255" s="12"/>
      <c r="P255" s="7">
        <v>1123.5899999999999</v>
      </c>
      <c r="Q255" s="3"/>
      <c r="R255" s="8">
        <f t="shared" si="48"/>
        <v>4.6690665028823123E-5</v>
      </c>
      <c r="S255" s="3"/>
      <c r="T255" s="7">
        <v>299.16000000000003</v>
      </c>
      <c r="U255" s="3"/>
      <c r="V255" s="8">
        <f t="shared" si="49"/>
        <v>3.0488299404769654E-5</v>
      </c>
      <c r="W255" s="3"/>
      <c r="X255" s="7">
        <f t="shared" si="50"/>
        <v>824.42999999999984</v>
      </c>
      <c r="Y255" s="3"/>
      <c r="Z255" s="8">
        <f t="shared" si="51"/>
        <v>2.7558162855996784</v>
      </c>
    </row>
    <row r="256" spans="1:26" s="69" customFormat="1" ht="15" hidden="1" customHeight="1" outlineLevel="2" x14ac:dyDescent="0.25">
      <c r="A256" s="25"/>
      <c r="B256" s="12" t="str">
        <f>CONCATENATE("          ","6294"," - ","TRAVEL OPERATIONAL")</f>
        <v xml:space="preserve">          6294 - TRAVEL OPERATIONAL</v>
      </c>
      <c r="C256" s="12"/>
      <c r="D256" s="7">
        <v>207.39</v>
      </c>
      <c r="E256" s="3"/>
      <c r="F256" s="8">
        <f t="shared" si="44"/>
        <v>9.4063995393127485E-5</v>
      </c>
      <c r="G256" s="3"/>
      <c r="H256" s="7"/>
      <c r="I256" s="3"/>
      <c r="J256" s="8">
        <f t="shared" si="45"/>
        <v>0</v>
      </c>
      <c r="K256" s="3"/>
      <c r="L256" s="7">
        <f t="shared" si="46"/>
        <v>207.39</v>
      </c>
      <c r="M256" s="3"/>
      <c r="N256" s="8">
        <f t="shared" si="47"/>
        <v>0</v>
      </c>
      <c r="O256" s="12"/>
      <c r="P256" s="7">
        <v>610.87</v>
      </c>
      <c r="Q256" s="3"/>
      <c r="R256" s="8">
        <f t="shared" si="48"/>
        <v>2.5384639010811045E-5</v>
      </c>
      <c r="S256" s="3"/>
      <c r="T256" s="7">
        <v>773.65</v>
      </c>
      <c r="U256" s="3"/>
      <c r="V256" s="8">
        <f t="shared" si="49"/>
        <v>7.8845008806324507E-5</v>
      </c>
      <c r="W256" s="3"/>
      <c r="X256" s="7">
        <f t="shared" si="50"/>
        <v>-162.77999999999997</v>
      </c>
      <c r="Y256" s="3"/>
      <c r="Z256" s="8">
        <f t="shared" si="51"/>
        <v>-0.2104052219996122</v>
      </c>
    </row>
    <row r="257" spans="1:26" s="69" customFormat="1" ht="15" hidden="1" customHeight="1" outlineLevel="2" x14ac:dyDescent="0.25">
      <c r="A257" s="25"/>
      <c r="B257" s="12" t="str">
        <f>CONCATENATE("          ","6298"," - ","VEHICLE MILEAGE")</f>
        <v xml:space="preserve">          6298 - VEHICLE MILEAGE</v>
      </c>
      <c r="C257" s="12"/>
      <c r="D257" s="7">
        <v>234.25</v>
      </c>
      <c r="E257" s="3"/>
      <c r="F257" s="8">
        <f t="shared" si="44"/>
        <v>1.0624664121143795E-4</v>
      </c>
      <c r="G257" s="3"/>
      <c r="H257" s="7"/>
      <c r="I257" s="3"/>
      <c r="J257" s="8">
        <f t="shared" si="45"/>
        <v>0</v>
      </c>
      <c r="K257" s="3"/>
      <c r="L257" s="7">
        <f t="shared" si="46"/>
        <v>234.25</v>
      </c>
      <c r="M257" s="3"/>
      <c r="N257" s="8">
        <f t="shared" si="47"/>
        <v>0</v>
      </c>
      <c r="O257" s="12"/>
      <c r="P257" s="7">
        <v>982.44</v>
      </c>
      <c r="Q257" s="3"/>
      <c r="R257" s="8">
        <f t="shared" si="48"/>
        <v>4.0825191529754618E-5</v>
      </c>
      <c r="S257" s="3"/>
      <c r="T257" s="7">
        <v>392.1</v>
      </c>
      <c r="U257" s="3"/>
      <c r="V257" s="8">
        <f t="shared" si="49"/>
        <v>3.9960095589685056E-5</v>
      </c>
      <c r="W257" s="3"/>
      <c r="X257" s="7">
        <f t="shared" si="50"/>
        <v>590.34</v>
      </c>
      <c r="Y257" s="3"/>
      <c r="Z257" s="8">
        <f t="shared" si="51"/>
        <v>1.5055853098699312</v>
      </c>
    </row>
    <row r="258" spans="1:26" s="68" customFormat="1" ht="15" customHeight="1" outlineLevel="1" collapsed="1" x14ac:dyDescent="0.25">
      <c r="A258" s="26"/>
      <c r="B258" s="14" t="str">
        <f>CONCATENATE("     ","Utilities                                         ")</f>
        <v xml:space="preserve">     Utilities                                         </v>
      </c>
      <c r="C258" s="14"/>
      <c r="D258" s="2">
        <f>SUM(OSRRefD22_26x_0)</f>
        <v>59120.33</v>
      </c>
      <c r="E258" s="2"/>
      <c r="F258" s="6">
        <f t="shared" si="44"/>
        <v>2.6814670180626728E-2</v>
      </c>
      <c r="G258" s="2"/>
      <c r="H258" s="2">
        <f>SUM(OSRRefH22_26x_0)</f>
        <v>10946.9</v>
      </c>
      <c r="I258" s="2"/>
      <c r="J258" s="6">
        <f t="shared" si="45"/>
        <v>1.3540378123986545E-2</v>
      </c>
      <c r="K258" s="2"/>
      <c r="L258" s="2">
        <f t="shared" si="46"/>
        <v>48173.43</v>
      </c>
      <c r="M258" s="2"/>
      <c r="N258" s="6">
        <f t="shared" si="47"/>
        <v>4.400645844942404</v>
      </c>
      <c r="O258" s="14"/>
      <c r="P258" s="2">
        <f>SUM(OSRRefP22_26x_0)</f>
        <v>194507.55</v>
      </c>
      <c r="Q258" s="2"/>
      <c r="R258" s="6">
        <f t="shared" si="48"/>
        <v>8.0827409131685631E-3</v>
      </c>
      <c r="S258" s="2"/>
      <c r="T258" s="2">
        <f>SUM(OSRRefT22_26x_0)</f>
        <v>77598.45</v>
      </c>
      <c r="U258" s="2"/>
      <c r="V258" s="6">
        <f t="shared" si="49"/>
        <v>7.9082924754179957E-3</v>
      </c>
      <c r="W258" s="2"/>
      <c r="X258" s="2">
        <f t="shared" si="50"/>
        <v>116909.09999999999</v>
      </c>
      <c r="Y258" s="2"/>
      <c r="Z258" s="6">
        <f t="shared" si="51"/>
        <v>1.506590659993853</v>
      </c>
    </row>
    <row r="259" spans="1:26" s="69" customFormat="1" ht="15" hidden="1" customHeight="1" outlineLevel="2" x14ac:dyDescent="0.25">
      <c r="A259" s="25"/>
      <c r="B259" s="12" t="str">
        <f>CONCATENATE("          ","6274"," - ","UTILITIES")</f>
        <v xml:space="preserve">          6274 - UTILITIES</v>
      </c>
      <c r="C259" s="12"/>
      <c r="D259" s="7">
        <v>59120.33</v>
      </c>
      <c r="E259" s="3"/>
      <c r="F259" s="8">
        <f t="shared" si="44"/>
        <v>2.6814670180626728E-2</v>
      </c>
      <c r="G259" s="3"/>
      <c r="H259" s="7">
        <v>10946.9</v>
      </c>
      <c r="I259" s="3"/>
      <c r="J259" s="8">
        <f t="shared" si="45"/>
        <v>1.3540378123986545E-2</v>
      </c>
      <c r="K259" s="3"/>
      <c r="L259" s="7">
        <f t="shared" si="46"/>
        <v>48173.43</v>
      </c>
      <c r="M259" s="3"/>
      <c r="N259" s="8">
        <f t="shared" si="47"/>
        <v>4.400645844942404</v>
      </c>
      <c r="O259" s="12"/>
      <c r="P259" s="7">
        <v>194507.55</v>
      </c>
      <c r="Q259" s="3"/>
      <c r="R259" s="8">
        <f t="shared" si="48"/>
        <v>8.0827409131685631E-3</v>
      </c>
      <c r="S259" s="3"/>
      <c r="T259" s="7">
        <v>77598.45</v>
      </c>
      <c r="U259" s="3"/>
      <c r="V259" s="8">
        <f t="shared" si="49"/>
        <v>7.9082924754179957E-3</v>
      </c>
      <c r="W259" s="3"/>
      <c r="X259" s="7">
        <f t="shared" si="50"/>
        <v>116909.09999999999</v>
      </c>
      <c r="Y259" s="3"/>
      <c r="Z259" s="8">
        <f t="shared" si="51"/>
        <v>1.506590659993853</v>
      </c>
    </row>
    <row r="260" spans="1:26" s="64" customFormat="1" ht="15" customHeight="1" x14ac:dyDescent="0.25">
      <c r="A260" s="36"/>
      <c r="B260" s="36"/>
      <c r="C260" s="36"/>
      <c r="D260" s="2"/>
      <c r="E260" s="2"/>
      <c r="F260" s="6"/>
      <c r="G260" s="2"/>
      <c r="H260" s="2"/>
      <c r="I260" s="2"/>
      <c r="J260" s="6"/>
      <c r="K260" s="2"/>
      <c r="L260" s="2"/>
      <c r="M260" s="2"/>
      <c r="N260" s="6"/>
      <c r="O260" s="36"/>
      <c r="P260" s="2"/>
      <c r="Q260" s="2"/>
      <c r="R260" s="6"/>
      <c r="S260" s="2"/>
      <c r="T260" s="2"/>
      <c r="U260" s="2"/>
      <c r="V260" s="6"/>
      <c r="W260" s="2"/>
      <c r="X260" s="2"/>
      <c r="Y260" s="2"/>
      <c r="Z260" s="6"/>
    </row>
    <row r="261" spans="1:26" s="62" customFormat="1" ht="15" customHeight="1" collapsed="1" x14ac:dyDescent="0.25">
      <c r="A261" s="11"/>
      <c r="B261" s="28" t="s">
        <v>290</v>
      </c>
      <c r="C261" s="11"/>
      <c r="D261" s="5">
        <f>SUM(OSRRefD25x_0)</f>
        <v>473367.29</v>
      </c>
      <c r="E261" s="5"/>
      <c r="F261" s="13">
        <f t="shared" ref="F261:F270" si="52">IF(D$12=0,0,D261/D$12)</f>
        <v>0.21470089486386634</v>
      </c>
      <c r="G261" s="5"/>
      <c r="H261" s="5">
        <f>SUM(OSRRefH25x_0)</f>
        <v>60774.670000000006</v>
      </c>
      <c r="I261" s="5"/>
      <c r="J261" s="13">
        <f t="shared" ref="J261:J270" si="53">IF(H$12=0,0,H261/H$12)</f>
        <v>7.5173063804410509E-2</v>
      </c>
      <c r="K261" s="5"/>
      <c r="L261" s="5">
        <f t="shared" ref="L261:L270" si="54">+D261-H261</f>
        <v>412592.62</v>
      </c>
      <c r="M261" s="5"/>
      <c r="N261" s="13">
        <f t="shared" ref="N261:N270" si="55">IF(H261=0,0,L261/H261)</f>
        <v>6.7888911613999703</v>
      </c>
      <c r="O261" s="11"/>
      <c r="P261" s="5">
        <f>SUM(OSRRefP25x_0)</f>
        <v>1630519.4</v>
      </c>
      <c r="Q261" s="5"/>
      <c r="R261" s="13">
        <f t="shared" ref="R261:R270" si="56">IF(P$12=0,0,P261/P$12)</f>
        <v>6.7756063268983938E-2</v>
      </c>
      <c r="S261" s="5"/>
      <c r="T261" s="5">
        <f>SUM(OSRRefT25x_0)</f>
        <v>1082109.6199999999</v>
      </c>
      <c r="U261" s="5"/>
      <c r="V261" s="13">
        <f t="shared" ref="V261:V270" si="57">IF(T$12=0,0,T261/T$12)</f>
        <v>0.11028106058076451</v>
      </c>
      <c r="W261" s="5"/>
      <c r="X261" s="5">
        <f t="shared" ref="X261:X270" si="58">+P261-T261</f>
        <v>548409.78</v>
      </c>
      <c r="Y261" s="5"/>
      <c r="Z261" s="13">
        <f t="shared" ref="Z261:Z270" si="59">IF(T261=0,0,X261/T261)</f>
        <v>0.50679688070788986</v>
      </c>
    </row>
    <row r="262" spans="1:26" s="69" customFormat="1" ht="15" hidden="1" customHeight="1" outlineLevel="1" x14ac:dyDescent="0.25">
      <c r="A262" s="42"/>
      <c r="B262" s="12" t="str">
        <f>CONCATENATE("          ","4098"," - ","TAXABLE SALES-GRAD RENTALS")</f>
        <v xml:space="preserve">          4098 - TAXABLE SALES-GRAD RENTALS</v>
      </c>
      <c r="C262" s="12"/>
      <c r="D262" s="3">
        <f>0</f>
        <v>0</v>
      </c>
      <c r="E262" s="3"/>
      <c r="F262" s="20">
        <f t="shared" si="52"/>
        <v>0</v>
      </c>
      <c r="G262" s="3"/>
      <c r="H262" s="3">
        <f>0</f>
        <v>0</v>
      </c>
      <c r="I262" s="3"/>
      <c r="J262" s="20">
        <f t="shared" si="53"/>
        <v>0</v>
      </c>
      <c r="K262" s="3"/>
      <c r="L262" s="3">
        <f t="shared" si="54"/>
        <v>0</v>
      </c>
      <c r="M262" s="3"/>
      <c r="N262" s="20">
        <f t="shared" si="55"/>
        <v>0</v>
      </c>
      <c r="O262" s="12"/>
      <c r="P262" s="3">
        <f>0</f>
        <v>0</v>
      </c>
      <c r="Q262" s="3"/>
      <c r="R262" s="20">
        <f t="shared" si="56"/>
        <v>0</v>
      </c>
      <c r="S262" s="3"/>
      <c r="T262" s="3">
        <f>--49.95</f>
        <v>49.95</v>
      </c>
      <c r="U262" s="3"/>
      <c r="V262" s="20">
        <f t="shared" si="57"/>
        <v>5.0905554060310338E-6</v>
      </c>
      <c r="W262" s="3"/>
      <c r="X262" s="3">
        <f t="shared" si="58"/>
        <v>-49.95</v>
      </c>
      <c r="Y262" s="3"/>
      <c r="Z262" s="20">
        <f t="shared" si="59"/>
        <v>-1</v>
      </c>
    </row>
    <row r="263" spans="1:26" s="69" customFormat="1" ht="15" hidden="1" customHeight="1" outlineLevel="1" x14ac:dyDescent="0.25">
      <c r="A263" s="42"/>
      <c r="B263" s="12" t="str">
        <f>CONCATENATE("          ","4187"," - ","NON-TAXABLE SALES-COMPUTER REP")</f>
        <v xml:space="preserve">          4187 - NON-TAXABLE SALES-COMPUTER REP</v>
      </c>
      <c r="C263" s="12"/>
      <c r="D263" s="3">
        <f>0</f>
        <v>0</v>
      </c>
      <c r="E263" s="3"/>
      <c r="F263" s="20">
        <f t="shared" si="52"/>
        <v>0</v>
      </c>
      <c r="G263" s="3"/>
      <c r="H263" s="3">
        <f>--264.48</f>
        <v>264.48</v>
      </c>
      <c r="I263" s="3"/>
      <c r="J263" s="20">
        <f t="shared" si="53"/>
        <v>3.2713911757958523E-4</v>
      </c>
      <c r="K263" s="3"/>
      <c r="L263" s="3">
        <f t="shared" si="54"/>
        <v>-264.48</v>
      </c>
      <c r="M263" s="3"/>
      <c r="N263" s="20">
        <f t="shared" si="55"/>
        <v>-1</v>
      </c>
      <c r="O263" s="12"/>
      <c r="P263" s="3">
        <f>0</f>
        <v>0</v>
      </c>
      <c r="Q263" s="3"/>
      <c r="R263" s="20">
        <f t="shared" si="56"/>
        <v>0</v>
      </c>
      <c r="S263" s="3"/>
      <c r="T263" s="3">
        <f>--3580.44</f>
        <v>3580.44</v>
      </c>
      <c r="U263" s="3"/>
      <c r="V263" s="20">
        <f t="shared" si="57"/>
        <v>3.6489345741681192E-4</v>
      </c>
      <c r="W263" s="3"/>
      <c r="X263" s="3">
        <f t="shared" si="58"/>
        <v>-3580.44</v>
      </c>
      <c r="Y263" s="3"/>
      <c r="Z263" s="20">
        <f t="shared" si="59"/>
        <v>-1</v>
      </c>
    </row>
    <row r="264" spans="1:26" s="69" customFormat="1" ht="15" hidden="1" customHeight="1" outlineLevel="1" x14ac:dyDescent="0.25">
      <c r="A264" s="42"/>
      <c r="B264" s="12" t="str">
        <f>CONCATENATE("          ","9087"," - ","")</f>
        <v xml:space="preserve">          9087 - </v>
      </c>
      <c r="C264" s="12"/>
      <c r="D264" s="3">
        <f>-1290.36</f>
        <v>-1290.3599999999999</v>
      </c>
      <c r="E264" s="3"/>
      <c r="F264" s="20">
        <f t="shared" si="52"/>
        <v>-5.8525684505268325E-4</v>
      </c>
      <c r="G264" s="3"/>
      <c r="H264" s="3">
        <f>0</f>
        <v>0</v>
      </c>
      <c r="I264" s="3"/>
      <c r="J264" s="20">
        <f t="shared" si="53"/>
        <v>0</v>
      </c>
      <c r="K264" s="3"/>
      <c r="L264" s="3">
        <f t="shared" si="54"/>
        <v>-1290.3599999999999</v>
      </c>
      <c r="M264" s="3"/>
      <c r="N264" s="20">
        <f t="shared" si="55"/>
        <v>0</v>
      </c>
      <c r="O264" s="12"/>
      <c r="P264" s="3">
        <f>--705.64</f>
        <v>705.64</v>
      </c>
      <c r="Q264" s="3"/>
      <c r="R264" s="20">
        <f t="shared" si="56"/>
        <v>2.9322796456838125E-5</v>
      </c>
      <c r="S264" s="3"/>
      <c r="T264" s="3">
        <f>0</f>
        <v>0</v>
      </c>
      <c r="U264" s="3"/>
      <c r="V264" s="20">
        <f t="shared" si="57"/>
        <v>0</v>
      </c>
      <c r="W264" s="3"/>
      <c r="X264" s="3">
        <f t="shared" si="58"/>
        <v>705.64</v>
      </c>
      <c r="Y264" s="3"/>
      <c r="Z264" s="20">
        <f t="shared" si="59"/>
        <v>0</v>
      </c>
    </row>
    <row r="265" spans="1:26" s="69" customFormat="1" ht="15" hidden="1" customHeight="1" outlineLevel="1" x14ac:dyDescent="0.25">
      <c r="A265" s="42"/>
      <c r="B265" s="12" t="str">
        <f>CONCATENATE("          ","9150"," - ","MISC. INCOME")</f>
        <v xml:space="preserve">          9150 - MISC. INCOME</v>
      </c>
      <c r="C265" s="12"/>
      <c r="D265" s="3">
        <f>--88022.93</f>
        <v>88022.93</v>
      </c>
      <c r="E265" s="3"/>
      <c r="F265" s="20">
        <f t="shared" si="52"/>
        <v>3.9923759496646817E-2</v>
      </c>
      <c r="G265" s="3"/>
      <c r="H265" s="3">
        <f>--57179.3</f>
        <v>57179.3</v>
      </c>
      <c r="I265" s="3"/>
      <c r="J265" s="20">
        <f t="shared" si="53"/>
        <v>7.0725898917946076E-2</v>
      </c>
      <c r="K265" s="3"/>
      <c r="L265" s="3">
        <f t="shared" si="54"/>
        <v>30843.62999999999</v>
      </c>
      <c r="M265" s="3"/>
      <c r="N265" s="20">
        <f t="shared" si="55"/>
        <v>0.539419510207365</v>
      </c>
      <c r="O265" s="12"/>
      <c r="P265" s="3">
        <f>--658709.21</f>
        <v>658709.21</v>
      </c>
      <c r="Q265" s="3"/>
      <c r="R265" s="20">
        <f t="shared" si="56"/>
        <v>2.7372592382907204E-2</v>
      </c>
      <c r="S265" s="3"/>
      <c r="T265" s="3">
        <f>--411720.9</f>
        <v>411720.9</v>
      </c>
      <c r="U265" s="3"/>
      <c r="V265" s="20">
        <f t="shared" si="57"/>
        <v>4.1959720786205461E-2</v>
      </c>
      <c r="W265" s="3"/>
      <c r="X265" s="3">
        <f t="shared" si="58"/>
        <v>246988.30999999994</v>
      </c>
      <c r="Y265" s="3"/>
      <c r="Z265" s="20">
        <f t="shared" si="59"/>
        <v>0.59989257285700082</v>
      </c>
    </row>
    <row r="266" spans="1:26" s="69" customFormat="1" ht="15" hidden="1" customHeight="1" outlineLevel="1" x14ac:dyDescent="0.25">
      <c r="A266" s="42"/>
      <c r="B266" s="12" t="str">
        <f>CONCATENATE("          ","9151"," - ","MISC. INCOME")</f>
        <v xml:space="preserve">          9151 - MISC. INCOME</v>
      </c>
      <c r="C266" s="12"/>
      <c r="D266" s="3">
        <f>--626.04</f>
        <v>626.04</v>
      </c>
      <c r="E266" s="3"/>
      <c r="F266" s="20">
        <f t="shared" si="52"/>
        <v>2.8394726686876672E-4</v>
      </c>
      <c r="G266" s="3"/>
      <c r="H266" s="3">
        <f>0</f>
        <v>0</v>
      </c>
      <c r="I266" s="3"/>
      <c r="J266" s="20">
        <f t="shared" si="53"/>
        <v>0</v>
      </c>
      <c r="K266" s="3"/>
      <c r="L266" s="3">
        <f t="shared" si="54"/>
        <v>626.04</v>
      </c>
      <c r="M266" s="3"/>
      <c r="N266" s="20">
        <f t="shared" si="55"/>
        <v>0</v>
      </c>
      <c r="O266" s="12"/>
      <c r="P266" s="3">
        <f>--324387.74</f>
        <v>324387.74</v>
      </c>
      <c r="Q266" s="3"/>
      <c r="R266" s="20">
        <f t="shared" si="56"/>
        <v>1.3479898635442616E-2</v>
      </c>
      <c r="S266" s="3"/>
      <c r="T266" s="3">
        <f>--295628.46</f>
        <v>295628.46000000002</v>
      </c>
      <c r="U266" s="3"/>
      <c r="V266" s="20">
        <f t="shared" si="57"/>
        <v>3.0128389494086673E-2</v>
      </c>
      <c r="W266" s="3"/>
      <c r="X266" s="3">
        <f t="shared" si="58"/>
        <v>28759.27999999997</v>
      </c>
      <c r="Y266" s="3"/>
      <c r="Z266" s="20">
        <f t="shared" si="59"/>
        <v>9.7281838155906797E-2</v>
      </c>
    </row>
    <row r="267" spans="1:26" s="69" customFormat="1" ht="15" hidden="1" customHeight="1" outlineLevel="1" x14ac:dyDescent="0.25">
      <c r="A267" s="42"/>
      <c r="B267" s="12" t="str">
        <f>CONCATENATE("          ","9152"," - ","MISC. INCOME")</f>
        <v xml:space="preserve">          9152 - MISC. INCOME</v>
      </c>
      <c r="C267" s="12"/>
      <c r="D267" s="3">
        <f>--1358.68</f>
        <v>1358.68</v>
      </c>
      <c r="E267" s="3"/>
      <c r="F267" s="20">
        <f t="shared" si="52"/>
        <v>6.1624412585338962E-4</v>
      </c>
      <c r="G267" s="3"/>
      <c r="H267" s="3">
        <f>--1436.07</f>
        <v>1436.07</v>
      </c>
      <c r="I267" s="3"/>
      <c r="J267" s="20">
        <f t="shared" si="53"/>
        <v>1.7762956464856131E-3</v>
      </c>
      <c r="K267" s="3"/>
      <c r="L267" s="3">
        <f t="shared" si="54"/>
        <v>-77.389999999999873</v>
      </c>
      <c r="M267" s="3"/>
      <c r="N267" s="20">
        <f t="shared" si="55"/>
        <v>-5.389013070393496E-2</v>
      </c>
      <c r="O267" s="12"/>
      <c r="P267" s="3">
        <f>--5247.11</f>
        <v>5247.11</v>
      </c>
      <c r="Q267" s="3"/>
      <c r="R267" s="20">
        <f t="shared" si="56"/>
        <v>2.1804310769888314E-4</v>
      </c>
      <c r="S267" s="3"/>
      <c r="T267" s="3">
        <f>--5652.57</f>
        <v>5652.57</v>
      </c>
      <c r="U267" s="3"/>
      <c r="V267" s="20">
        <f t="shared" si="57"/>
        <v>5.7607048591529209E-4</v>
      </c>
      <c r="W267" s="3"/>
      <c r="X267" s="3">
        <f t="shared" si="58"/>
        <v>-405.46000000000004</v>
      </c>
      <c r="Y267" s="3"/>
      <c r="Z267" s="20">
        <f t="shared" si="59"/>
        <v>-7.1730204137233161E-2</v>
      </c>
    </row>
    <row r="268" spans="1:26" s="69" customFormat="1" ht="15" hidden="1" customHeight="1" outlineLevel="1" x14ac:dyDescent="0.25">
      <c r="A268" s="42"/>
      <c r="B268" s="12" t="str">
        <f>CONCATENATE("          ","9160"," - ","MISC. INCOME")</f>
        <v xml:space="preserve">          9160 - MISC. INCOME</v>
      </c>
      <c r="C268" s="12"/>
      <c r="D268" s="3">
        <f>0</f>
        <v>0</v>
      </c>
      <c r="E268" s="3"/>
      <c r="F268" s="20">
        <f t="shared" si="52"/>
        <v>0</v>
      </c>
      <c r="G268" s="3"/>
      <c r="H268" s="3">
        <f>0</f>
        <v>0</v>
      </c>
      <c r="I268" s="3"/>
      <c r="J268" s="20">
        <f t="shared" si="53"/>
        <v>0</v>
      </c>
      <c r="K268" s="3"/>
      <c r="L268" s="3">
        <f t="shared" si="54"/>
        <v>0</v>
      </c>
      <c r="M268" s="3"/>
      <c r="N268" s="20">
        <f t="shared" si="55"/>
        <v>0</v>
      </c>
      <c r="O268" s="12"/>
      <c r="P268" s="3">
        <f>0</f>
        <v>0</v>
      </c>
      <c r="Q268" s="3"/>
      <c r="R268" s="20">
        <f t="shared" si="56"/>
        <v>0</v>
      </c>
      <c r="S268" s="3"/>
      <c r="T268" s="3">
        <f>--13615.06</f>
        <v>13615.06</v>
      </c>
      <c r="U268" s="3"/>
      <c r="V268" s="20">
        <f t="shared" si="57"/>
        <v>1.387551897626364E-3</v>
      </c>
      <c r="W268" s="3"/>
      <c r="X268" s="3">
        <f t="shared" si="58"/>
        <v>-13615.06</v>
      </c>
      <c r="Y268" s="3"/>
      <c r="Z268" s="20">
        <f t="shared" si="59"/>
        <v>-1</v>
      </c>
    </row>
    <row r="269" spans="1:26" s="69" customFormat="1" ht="15" hidden="1" customHeight="1" outlineLevel="1" x14ac:dyDescent="0.25">
      <c r="A269" s="42"/>
      <c r="B269" s="12" t="str">
        <f>CONCATENATE("          ","9163"," - ","MISC. INCOME")</f>
        <v xml:space="preserve">          9163 - MISC. INCOME</v>
      </c>
      <c r="C269" s="12"/>
      <c r="D269" s="3">
        <f>--384650</f>
        <v>384650</v>
      </c>
      <c r="E269" s="3"/>
      <c r="F269" s="20">
        <f t="shared" si="52"/>
        <v>0.17446220081955008</v>
      </c>
      <c r="G269" s="3"/>
      <c r="H269" s="3">
        <f>--1862</f>
        <v>1862</v>
      </c>
      <c r="I269" s="3"/>
      <c r="J269" s="20">
        <f t="shared" si="53"/>
        <v>2.3031345921551258E-3</v>
      </c>
      <c r="K269" s="3"/>
      <c r="L269" s="3">
        <f t="shared" si="54"/>
        <v>382788</v>
      </c>
      <c r="M269" s="3"/>
      <c r="N269" s="20">
        <f t="shared" si="55"/>
        <v>205.57894736842104</v>
      </c>
      <c r="O269" s="12"/>
      <c r="P269" s="3">
        <f>--641469.7</f>
        <v>641469.69999999995</v>
      </c>
      <c r="Q269" s="3"/>
      <c r="R269" s="20">
        <f t="shared" si="56"/>
        <v>2.6656206346478393E-2</v>
      </c>
      <c r="S269" s="3"/>
      <c r="T269" s="3">
        <f>--348340.56</f>
        <v>348340.56</v>
      </c>
      <c r="U269" s="3"/>
      <c r="V269" s="20">
        <f t="shared" si="57"/>
        <v>3.5500438855813367E-2</v>
      </c>
      <c r="W269" s="3"/>
      <c r="X269" s="3">
        <f t="shared" si="58"/>
        <v>293129.13999999996</v>
      </c>
      <c r="Y269" s="3"/>
      <c r="Z269" s="20">
        <f t="shared" si="59"/>
        <v>0.84150160406241514</v>
      </c>
    </row>
    <row r="270" spans="1:26" s="69" customFormat="1" ht="15" hidden="1" customHeight="1" outlineLevel="1" x14ac:dyDescent="0.25">
      <c r="A270" s="42"/>
      <c r="B270" s="12" t="str">
        <f>CONCATENATE("          ","9165"," - ","OTHER INCOME")</f>
        <v xml:space="preserve">          9165 - OTHER INCOME</v>
      </c>
      <c r="C270" s="12"/>
      <c r="D270" s="3">
        <f>0</f>
        <v>0</v>
      </c>
      <c r="E270" s="3"/>
      <c r="F270" s="20">
        <f t="shared" si="52"/>
        <v>0</v>
      </c>
      <c r="G270" s="3"/>
      <c r="H270" s="3">
        <f>--32.82</f>
        <v>32.82</v>
      </c>
      <c r="I270" s="3"/>
      <c r="J270" s="20">
        <f t="shared" si="53"/>
        <v>4.0595530244109146E-5</v>
      </c>
      <c r="K270" s="3"/>
      <c r="L270" s="3">
        <f t="shared" si="54"/>
        <v>-32.82</v>
      </c>
      <c r="M270" s="3"/>
      <c r="N270" s="20">
        <f t="shared" si="55"/>
        <v>-1</v>
      </c>
      <c r="O270" s="12"/>
      <c r="P270" s="3">
        <f>0</f>
        <v>0</v>
      </c>
      <c r="Q270" s="3"/>
      <c r="R270" s="20">
        <f t="shared" si="56"/>
        <v>0</v>
      </c>
      <c r="S270" s="3"/>
      <c r="T270" s="3">
        <f>--3521.68</f>
        <v>3521.68</v>
      </c>
      <c r="U270" s="3"/>
      <c r="V270" s="20">
        <f t="shared" si="57"/>
        <v>3.5890504829452194E-4</v>
      </c>
      <c r="W270" s="3"/>
      <c r="X270" s="3">
        <f t="shared" si="58"/>
        <v>-3521.68</v>
      </c>
      <c r="Y270" s="3"/>
      <c r="Z270" s="20">
        <f t="shared" si="59"/>
        <v>-1</v>
      </c>
    </row>
    <row r="271" spans="1:26" ht="15" customHeight="1" x14ac:dyDescent="0.25">
      <c r="A271" s="10"/>
      <c r="B271" s="11"/>
      <c r="C271" s="11"/>
      <c r="D271" s="4"/>
      <c r="E271" s="4"/>
      <c r="F271" s="9"/>
      <c r="G271" s="4"/>
      <c r="H271" s="4"/>
      <c r="I271" s="4"/>
      <c r="J271" s="9"/>
      <c r="K271" s="4"/>
      <c r="L271" s="4"/>
      <c r="M271" s="4"/>
      <c r="N271" s="9"/>
      <c r="O271" s="11"/>
      <c r="P271" s="4"/>
      <c r="Q271" s="4"/>
      <c r="R271" s="9"/>
      <c r="S271" s="4"/>
      <c r="T271" s="4"/>
      <c r="U271" s="4"/>
      <c r="V271" s="9"/>
      <c r="W271" s="4"/>
      <c r="X271" s="4"/>
      <c r="Y271" s="4"/>
      <c r="Z271" s="9"/>
    </row>
    <row r="272" spans="1:26" s="62" customFormat="1" ht="15" customHeight="1" x14ac:dyDescent="0.25">
      <c r="A272" s="11"/>
      <c r="B272" s="27" t="s">
        <v>291</v>
      </c>
      <c r="C272" s="27"/>
      <c r="D272" s="22">
        <f>+D162-D164+D261</f>
        <v>649711.82000000007</v>
      </c>
      <c r="E272" s="15"/>
      <c r="F272" s="23">
        <f>IF(D$12=0,0,D272/D$12)</f>
        <v>0.29468387889165576</v>
      </c>
      <c r="G272" s="15"/>
      <c r="H272" s="22">
        <f>+H162-H164+H261</f>
        <v>-76429.200000000099</v>
      </c>
      <c r="I272" s="15"/>
      <c r="J272" s="23">
        <f>IF(H$12=0,0,H272/H$12)</f>
        <v>-9.4536377213073453E-2</v>
      </c>
      <c r="K272" s="16"/>
      <c r="L272" s="22">
        <f>+D272-H272</f>
        <v>726141.02000000014</v>
      </c>
      <c r="M272" s="16"/>
      <c r="N272" s="23">
        <f>IF(H272=0,0,L272/H272)</f>
        <v>-9.5008324043689996</v>
      </c>
      <c r="O272" s="28"/>
      <c r="P272" s="22">
        <f>+P162-P164+P261</f>
        <v>4192403.2400000053</v>
      </c>
      <c r="Q272" s="15"/>
      <c r="R272" s="23">
        <f>IF(P$12=0,0,P272/P$12)</f>
        <v>0.17421487850959247</v>
      </c>
      <c r="S272" s="15"/>
      <c r="T272" s="22">
        <f>+T162-T164+T261</f>
        <v>-2465946.1399999997</v>
      </c>
      <c r="U272" s="15"/>
      <c r="V272" s="23">
        <f>IF(T$12=0,0,T272/T$12)</f>
        <v>-0.25131202110026746</v>
      </c>
      <c r="W272" s="16"/>
      <c r="X272" s="22">
        <f>+P272-T272</f>
        <v>6658349.3800000045</v>
      </c>
      <c r="Y272" s="16"/>
      <c r="Z272" s="23">
        <f>IF(T272=0,0,X272/T272)</f>
        <v>-2.7001195492453074</v>
      </c>
    </row>
    <row r="273" spans="1:26" ht="15" customHeight="1" x14ac:dyDescent="0.25">
      <c r="A273" s="10"/>
      <c r="B273" s="11"/>
      <c r="C273" s="10"/>
      <c r="D273" s="4"/>
      <c r="E273" s="4"/>
      <c r="F273" s="9"/>
      <c r="G273" s="4"/>
      <c r="H273" s="4"/>
      <c r="I273" s="4"/>
      <c r="J273" s="9"/>
      <c r="K273" s="4"/>
      <c r="L273" s="4"/>
      <c r="M273" s="4"/>
      <c r="N273" s="9"/>
      <c r="P273" s="4"/>
      <c r="Q273" s="4"/>
      <c r="R273" s="9"/>
      <c r="S273" s="4"/>
      <c r="T273" s="4"/>
      <c r="U273" s="4"/>
      <c r="V273" s="9"/>
      <c r="W273" s="4"/>
      <c r="X273" s="4"/>
      <c r="Y273" s="4"/>
      <c r="Z273" s="9"/>
    </row>
    <row r="274" spans="1:26" s="62" customFormat="1" ht="15" customHeight="1" x14ac:dyDescent="0.25">
      <c r="A274" s="48"/>
      <c r="B274" s="11" t="s">
        <v>292</v>
      </c>
      <c r="C274" s="11"/>
      <c r="D274" s="5">
        <v>229105.51</v>
      </c>
      <c r="E274" s="5"/>
      <c r="F274" s="13">
        <f>IF(D$12=0,0,D274/D$12)</f>
        <v>0.10391330168851018</v>
      </c>
      <c r="G274" s="5"/>
      <c r="H274" s="5">
        <v>213156.26</v>
      </c>
      <c r="I274" s="5"/>
      <c r="J274" s="13">
        <f>IF(H$12=0,0,H274/H$12)</f>
        <v>0.26365604508077983</v>
      </c>
      <c r="K274" s="5"/>
      <c r="L274" s="5">
        <f>+D274-H274</f>
        <v>15949.25</v>
      </c>
      <c r="M274" s="5"/>
      <c r="N274" s="13">
        <f>IF(H274=0,0,L274/H274)</f>
        <v>7.4824215812381023E-2</v>
      </c>
      <c r="O274" s="11"/>
      <c r="P274" s="5">
        <v>2705465.94</v>
      </c>
      <c r="Q274" s="5"/>
      <c r="R274" s="13">
        <f>IF(P$12=0,0,P274/P$12)</f>
        <v>0.11242535440100934</v>
      </c>
      <c r="S274" s="5"/>
      <c r="T274" s="5">
        <v>2096793.09</v>
      </c>
      <c r="U274" s="5"/>
      <c r="V274" s="13">
        <f>IF(T$12=0,0,T274/T$12)</f>
        <v>0.2136905185110714</v>
      </c>
      <c r="W274" s="5"/>
      <c r="X274" s="5">
        <f>+P274-T274</f>
        <v>608672.84999999986</v>
      </c>
      <c r="Y274" s="5"/>
      <c r="Z274" s="13">
        <f>IF(T274=0,0,X274/T274)</f>
        <v>0.29028751234581751</v>
      </c>
    </row>
    <row r="275" spans="1:26" ht="15" customHeight="1" x14ac:dyDescent="0.25">
      <c r="A275" s="10"/>
      <c r="B275" s="11"/>
      <c r="C275" s="11"/>
      <c r="D275" s="4"/>
      <c r="E275" s="4"/>
      <c r="F275" s="9"/>
      <c r="G275" s="4"/>
      <c r="H275" s="4"/>
      <c r="I275" s="4"/>
      <c r="J275" s="9"/>
      <c r="K275" s="4"/>
      <c r="L275" s="4"/>
      <c r="M275" s="4"/>
      <c r="N275" s="9"/>
      <c r="O275" s="11"/>
      <c r="P275" s="4"/>
      <c r="Q275" s="4"/>
      <c r="R275" s="9"/>
      <c r="S275" s="4"/>
      <c r="T275" s="4"/>
      <c r="U275" s="4"/>
      <c r="V275" s="9"/>
      <c r="W275" s="4"/>
      <c r="X275" s="4"/>
      <c r="Y275" s="4"/>
      <c r="Z275" s="9"/>
    </row>
    <row r="276" spans="1:26" s="62" customFormat="1" ht="15" customHeight="1" x14ac:dyDescent="0.25">
      <c r="A276" s="11"/>
      <c r="B276" s="27" t="s">
        <v>293</v>
      </c>
      <c r="C276" s="27"/>
      <c r="D276" s="35">
        <f>+D272-D274</f>
        <v>420606.31000000006</v>
      </c>
      <c r="E276" s="15"/>
      <c r="F276" s="30">
        <f>IF(D$12=0,0,D276/D$12)</f>
        <v>0.19077057720314555</v>
      </c>
      <c r="G276" s="15"/>
      <c r="H276" s="35">
        <f>+H272-H274</f>
        <v>-289585.46000000008</v>
      </c>
      <c r="I276" s="15"/>
      <c r="J276" s="30">
        <f>IF(H$12=0,0,H276/H$12)</f>
        <v>-0.35819242229385323</v>
      </c>
      <c r="K276" s="16"/>
      <c r="L276" s="35">
        <f>D276-H276</f>
        <v>710191.77000000014</v>
      </c>
      <c r="M276" s="16"/>
      <c r="N276" s="30">
        <f>IF(H276=0,0,L276/H276)</f>
        <v>-2.4524427780317422</v>
      </c>
      <c r="O276" s="28"/>
      <c r="P276" s="35">
        <f>+P272-P274</f>
        <v>1486937.3000000054</v>
      </c>
      <c r="Q276" s="15"/>
      <c r="R276" s="30">
        <f>IF(P$12=0,0,P276/P$12)</f>
        <v>6.1789524108583141E-2</v>
      </c>
      <c r="S276" s="15"/>
      <c r="T276" s="35">
        <f>+T272-T274</f>
        <v>-4562739.2299999995</v>
      </c>
      <c r="U276" s="15"/>
      <c r="V276" s="30">
        <f>IF(T$12=0,0,T276/T$12)</f>
        <v>-0.46500253961133881</v>
      </c>
      <c r="W276" s="16"/>
      <c r="X276" s="35">
        <f>P276-T276</f>
        <v>6049676.5300000049</v>
      </c>
      <c r="Y276" s="16"/>
      <c r="Z276" s="30">
        <f>IF(T276=0,0,X276/T276)</f>
        <v>-1.325886978204539</v>
      </c>
    </row>
    <row r="277" spans="1:26" ht="15" customHeight="1" x14ac:dyDescent="0.25">
      <c r="A277" s="10"/>
      <c r="B277" s="10"/>
      <c r="C277" s="10"/>
      <c r="D277" s="4"/>
      <c r="E277" s="4"/>
      <c r="F277" s="9"/>
      <c r="G277" s="4"/>
      <c r="H277" s="4"/>
      <c r="I277" s="4"/>
      <c r="J277" s="9"/>
      <c r="K277" s="4"/>
      <c r="L277" s="4"/>
      <c r="M277" s="4"/>
      <c r="N277" s="9"/>
      <c r="P277" s="4"/>
      <c r="Q277" s="4"/>
      <c r="R277" s="9"/>
      <c r="S277" s="4"/>
      <c r="T277" s="4"/>
      <c r="U277" s="4"/>
      <c r="V277" s="9"/>
      <c r="W277" s="4"/>
      <c r="X277" s="4"/>
      <c r="Y277" s="4"/>
      <c r="Z277" s="9"/>
    </row>
    <row r="278" spans="1:26" s="62" customFormat="1" ht="15" customHeight="1" x14ac:dyDescent="0.25">
      <c r="A278" s="48"/>
      <c r="B278" s="11" t="s">
        <v>294</v>
      </c>
      <c r="C278" s="11"/>
      <c r="D278" s="5">
        <f>--34869.47</f>
        <v>34869.47</v>
      </c>
      <c r="E278" s="5"/>
      <c r="F278" s="13">
        <f>IF(D$12=0,0,D278/D$12)</f>
        <v>1.5815428253246527E-2</v>
      </c>
      <c r="G278" s="5"/>
      <c r="H278" s="5">
        <f>--71471.24</f>
        <v>71471.240000000005</v>
      </c>
      <c r="I278" s="5"/>
      <c r="J278" s="13">
        <f>IF(H$12=0,0,H278/H$12)</f>
        <v>8.8403805149420589E-2</v>
      </c>
      <c r="K278" s="5"/>
      <c r="L278" s="5">
        <f>+D278-H278</f>
        <v>-36601.770000000004</v>
      </c>
      <c r="M278" s="5"/>
      <c r="N278" s="13">
        <f>IF(H278=0,0,L278/H278)</f>
        <v>-0.51211886067738577</v>
      </c>
      <c r="O278" s="11"/>
      <c r="P278" s="5">
        <f>-1551961.8</f>
        <v>-1551961.8</v>
      </c>
      <c r="Q278" s="5"/>
      <c r="R278" s="13">
        <f>IF(P$12=0,0,P278/P$12)</f>
        <v>-6.4491610410674166E-2</v>
      </c>
      <c r="S278" s="5"/>
      <c r="T278" s="5">
        <f>--2702968.14</f>
        <v>2702968.14</v>
      </c>
      <c r="U278" s="5"/>
      <c r="V278" s="13">
        <f>IF(T$12=0,0,T278/T$12)</f>
        <v>0.2754676491973303</v>
      </c>
      <c r="W278" s="5"/>
      <c r="X278" s="5">
        <f>+P278-T278</f>
        <v>-4254929.9400000004</v>
      </c>
      <c r="Y278" s="5"/>
      <c r="Z278" s="13">
        <f>IF(T278=0,0,X278/T278)</f>
        <v>-1.5741694757822784</v>
      </c>
    </row>
    <row r="279" spans="1:26" s="62" customFormat="1" ht="15" customHeight="1" x14ac:dyDescent="0.25">
      <c r="A279" s="48"/>
      <c r="B279" s="11" t="s">
        <v>295</v>
      </c>
      <c r="C279" s="11"/>
      <c r="D279" s="5">
        <f>--27330.11</f>
        <v>27330.11</v>
      </c>
      <c r="E279" s="5"/>
      <c r="F279" s="13">
        <f>IF(D$12=0,0,D279/D$12)</f>
        <v>1.2395869333784983E-2</v>
      </c>
      <c r="G279" s="5"/>
      <c r="H279" s="5">
        <f>--11468.39</f>
        <v>11468.39</v>
      </c>
      <c r="I279" s="5"/>
      <c r="J279" s="13">
        <f>IF(H$12=0,0,H279/H$12)</f>
        <v>1.4185416608660538E-2</v>
      </c>
      <c r="K279" s="5"/>
      <c r="L279" s="5">
        <f>+D279-H279</f>
        <v>15861.720000000001</v>
      </c>
      <c r="M279" s="5"/>
      <c r="N279" s="13">
        <f>IF(H279=0,0,L279/H279)</f>
        <v>1.3830816705745097</v>
      </c>
      <c r="O279" s="11"/>
      <c r="P279" s="5">
        <f>--2370117.56</f>
        <v>2370117.56</v>
      </c>
      <c r="Q279" s="5"/>
      <c r="R279" s="13">
        <f>IF(P$12=0,0,P279/P$12)</f>
        <v>9.8489987515812352E-2</v>
      </c>
      <c r="S279" s="5"/>
      <c r="T279" s="5">
        <f>--104227.92</f>
        <v>104227.92</v>
      </c>
      <c r="U279" s="5"/>
      <c r="V279" s="13">
        <f>IF(T$12=0,0,T279/T$12)</f>
        <v>1.0622182214521924E-2</v>
      </c>
      <c r="W279" s="5"/>
      <c r="X279" s="5">
        <f>+P279-T279</f>
        <v>2265889.64</v>
      </c>
      <c r="Y279" s="5"/>
      <c r="Z279" s="13">
        <f>IF(T279=0,0,X279/T279)</f>
        <v>21.739756871287465</v>
      </c>
    </row>
    <row r="280" spans="1:26" ht="15" customHeight="1" x14ac:dyDescent="0.25">
      <c r="A280" s="10"/>
      <c r="B280" s="10"/>
      <c r="C280" s="10"/>
      <c r="D280" s="4"/>
      <c r="E280" s="4"/>
      <c r="F280" s="9"/>
      <c r="G280" s="4"/>
      <c r="H280" s="4"/>
      <c r="I280" s="4"/>
      <c r="J280" s="9"/>
      <c r="K280" s="4"/>
      <c r="L280" s="4"/>
      <c r="M280" s="4"/>
      <c r="N280" s="9"/>
      <c r="P280" s="4"/>
      <c r="Q280" s="4"/>
      <c r="R280" s="9"/>
      <c r="S280" s="4"/>
      <c r="T280" s="4"/>
      <c r="U280" s="4"/>
      <c r="V280" s="9"/>
      <c r="W280" s="4"/>
      <c r="X280" s="4"/>
      <c r="Y280" s="4"/>
      <c r="Z280" s="9"/>
    </row>
    <row r="281" spans="1:26" s="62" customFormat="1" ht="15" customHeight="1" x14ac:dyDescent="0.25">
      <c r="A281" s="11"/>
      <c r="B281" s="27" t="s">
        <v>296</v>
      </c>
      <c r="C281" s="27"/>
      <c r="D281" s="32">
        <f>SUM(D276:D280)</f>
        <v>482805.89</v>
      </c>
      <c r="E281" s="15"/>
      <c r="F281" s="34">
        <f>IF(D$12=0,0,D281/D$12)</f>
        <v>0.21898187479017706</v>
      </c>
      <c r="G281" s="15"/>
      <c r="H281" s="32">
        <f>SUM(H276:H280)</f>
        <v>-206645.83000000007</v>
      </c>
      <c r="I281" s="15"/>
      <c r="J281" s="34">
        <f>IF(H$12=0,0,H281/H$12)</f>
        <v>-0.25560320053577212</v>
      </c>
      <c r="K281" s="16"/>
      <c r="L281" s="32">
        <f>+D281-H281</f>
        <v>689451.72000000009</v>
      </c>
      <c r="M281" s="16"/>
      <c r="N281" s="34">
        <f>IF(H281=0,0,L281/H281)</f>
        <v>-3.3363930934391459</v>
      </c>
      <c r="O281" s="28"/>
      <c r="P281" s="32">
        <f>SUM(P276:P280)</f>
        <v>2305093.0600000052</v>
      </c>
      <c r="Q281" s="15"/>
      <c r="R281" s="34">
        <f>IF(P$12=0,0,P281/P$12)</f>
        <v>9.5787901213721313E-2</v>
      </c>
      <c r="S281" s="15"/>
      <c r="T281" s="32">
        <f>SUM(T276:T280)</f>
        <v>-1755543.1699999995</v>
      </c>
      <c r="U281" s="15"/>
      <c r="V281" s="34">
        <f>IF(T$12=0,0,T281/T$12)</f>
        <v>-0.1789127081994866</v>
      </c>
      <c r="W281" s="16"/>
      <c r="X281" s="32">
        <f>+P281-T281</f>
        <v>4060636.2300000046</v>
      </c>
      <c r="Y281" s="16"/>
      <c r="Z281" s="34">
        <f>IF(T281=0,0,X281/T281)</f>
        <v>-2.3130369559638946</v>
      </c>
    </row>
    <row r="282" spans="1:26" ht="15" customHeight="1" x14ac:dyDescent="0.25">
      <c r="A282" s="10"/>
      <c r="C282" s="10"/>
      <c r="D282" s="18"/>
      <c r="E282" s="18"/>
      <c r="G282" s="18"/>
      <c r="H282" s="18"/>
      <c r="I282" s="18"/>
      <c r="J282" s="41"/>
      <c r="K282" s="18"/>
      <c r="L282" s="18"/>
      <c r="M282" s="18"/>
      <c r="P282" s="18"/>
      <c r="Q282" s="18"/>
      <c r="R282" s="41"/>
      <c r="S282" s="18"/>
      <c r="T282" s="18"/>
      <c r="U282" s="18"/>
      <c r="V282" s="41"/>
      <c r="W282" s="18"/>
      <c r="X282" s="18"/>
    </row>
    <row r="283" spans="1:26" ht="15" customHeight="1" x14ac:dyDescent="0.25">
      <c r="A283" s="10"/>
      <c r="B283" s="50">
        <v>44727.879621377317</v>
      </c>
      <c r="D283" s="18"/>
      <c r="E283" s="18"/>
      <c r="G283" s="18"/>
      <c r="H283" s="18"/>
      <c r="I283" s="18"/>
      <c r="J283" s="41"/>
      <c r="K283" s="18"/>
      <c r="L283" s="18"/>
      <c r="M283" s="18"/>
      <c r="P283" s="18"/>
      <c r="Q283" s="18"/>
      <c r="R283" s="41"/>
      <c r="S283" s="18"/>
      <c r="T283" s="18"/>
      <c r="U283" s="18"/>
      <c r="V283" s="41"/>
      <c r="W283" s="18"/>
      <c r="X283" s="18"/>
    </row>
    <row r="284" spans="1:26" ht="15" customHeight="1" x14ac:dyDescent="0.25">
      <c r="A284" s="10"/>
      <c r="B284" s="53" t="s">
        <v>297</v>
      </c>
      <c r="D284" s="18"/>
      <c r="E284" s="18"/>
      <c r="G284" s="18"/>
      <c r="H284" s="18"/>
      <c r="I284" s="18"/>
      <c r="J284" s="41"/>
      <c r="K284" s="18"/>
      <c r="L284" s="18"/>
      <c r="M284" s="18"/>
      <c r="P284" s="18"/>
      <c r="Q284" s="18"/>
      <c r="R284" s="41"/>
      <c r="S284" s="18"/>
      <c r="T284" s="18"/>
      <c r="U284" s="18"/>
      <c r="V284" s="41"/>
      <c r="W284" s="18"/>
      <c r="X284" s="18"/>
    </row>
    <row r="285" spans="1:26" ht="15" customHeight="1" x14ac:dyDescent="0.25">
      <c r="A285" s="10"/>
      <c r="B285" s="55"/>
      <c r="D285" s="18"/>
      <c r="E285" s="18"/>
      <c r="G285" s="18"/>
      <c r="H285" s="18"/>
      <c r="I285" s="18"/>
      <c r="J285" s="41"/>
      <c r="K285" s="18"/>
      <c r="L285" s="18"/>
      <c r="M285" s="18"/>
      <c r="P285" s="18"/>
      <c r="Q285" s="18"/>
      <c r="R285" s="41"/>
      <c r="S285" s="18"/>
      <c r="T285" s="18"/>
      <c r="U285" s="18"/>
      <c r="V285" s="41"/>
      <c r="W285" s="18"/>
      <c r="X285" s="18"/>
    </row>
    <row r="286" spans="1:26" ht="15" customHeight="1" x14ac:dyDescent="0.25">
      <c r="D286" s="18"/>
      <c r="E286" s="18"/>
      <c r="G286" s="18"/>
      <c r="H286" s="18"/>
      <c r="I286" s="18"/>
      <c r="J286" s="41"/>
      <c r="K286" s="18"/>
      <c r="L286" s="18"/>
      <c r="M286" s="18"/>
      <c r="P286" s="18"/>
      <c r="Q286" s="18"/>
      <c r="R286" s="41"/>
      <c r="S286" s="18"/>
      <c r="T286" s="18"/>
      <c r="U286" s="18"/>
      <c r="V286" s="41"/>
      <c r="W286" s="18"/>
      <c r="X28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3D4EB-75B4-9F36-809E-E7E51CEA0D29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310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430E-95B2-C00B-BF83-D426C6367CCE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311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67E8C-5A67-3C49-F895-EDE45D9482F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311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5A66F-7D95-0F71-4469-260D5D6484CE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312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41ABE-E0F2-7633-47BB-989B1F31A2F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312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0CCCD-115F-4DEA-CAE7-809FF95820A9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313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2E123-77B9-1B1B-A9D2-08AF4DD72456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313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223D-4383-346D-2637-BE879FE7F79A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314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9C7F3-35B6-DB57-4594-7C0298719D82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314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33A37-D0EA-958D-8C5E-953FD51C6CD4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","100"," - ","Corporate")</f>
        <v>Department 100 - Corporate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5"/>
      <c r="L18" s="21">
        <f>+D18-H18</f>
        <v>0</v>
      </c>
      <c r="M18" s="5"/>
      <c r="N18" s="31">
        <f>IF(H18=0,0,L18/H18)</f>
        <v>0</v>
      </c>
      <c r="O18" s="11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5"/>
      <c r="X18" s="21">
        <f>+P18-T18</f>
        <v>0</v>
      </c>
      <c r="Y18" s="5"/>
      <c r="Z18" s="31">
        <f>IF(T18=0,0,X18/T18)</f>
        <v>0</v>
      </c>
    </row>
    <row r="19" spans="1:26" s="64" customFormat="1" ht="15" customHeight="1" x14ac:dyDescent="0.25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290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25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25">
      <c r="A22" s="11"/>
      <c r="B22" s="27" t="s">
        <v>291</v>
      </c>
      <c r="C22" s="27"/>
      <c r="D22" s="22">
        <f>+D16-D18+D20</f>
        <v>0</v>
      </c>
      <c r="E22" s="15"/>
      <c r="F22" s="23">
        <f>IF(D$12=0,0,D22/D$12)</f>
        <v>0</v>
      </c>
      <c r="G22" s="15"/>
      <c r="H22" s="22">
        <f>+H16-H18+H20</f>
        <v>0</v>
      </c>
      <c r="I22" s="15"/>
      <c r="J22" s="23">
        <f>IF(H$12=0,0,H22/H$12)</f>
        <v>0</v>
      </c>
      <c r="K22" s="16"/>
      <c r="L22" s="22">
        <f>+D22-H22</f>
        <v>0</v>
      </c>
      <c r="M22" s="16"/>
      <c r="N22" s="23">
        <f>IF(H22=0,0,L22/H22)</f>
        <v>0</v>
      </c>
      <c r="O22" s="28"/>
      <c r="P22" s="22">
        <f>+P16-P18+P20</f>
        <v>0</v>
      </c>
      <c r="Q22" s="15"/>
      <c r="R22" s="23">
        <f>IF(P$12=0,0,P22/P$12)</f>
        <v>0</v>
      </c>
      <c r="S22" s="15"/>
      <c r="T22" s="22">
        <f>+T16-T18+T20</f>
        <v>0</v>
      </c>
      <c r="U22" s="15"/>
      <c r="V22" s="23">
        <f>IF(T$12=0,0,T22/T$12)</f>
        <v>0</v>
      </c>
      <c r="W22" s="16"/>
      <c r="X22" s="22">
        <f>+P22-T22</f>
        <v>0</v>
      </c>
      <c r="Y22" s="16"/>
      <c r="Z22" s="23">
        <f>IF(T22=0,0,X22/T22)</f>
        <v>0</v>
      </c>
    </row>
    <row r="23" spans="1:26" ht="15" customHeight="1" x14ac:dyDescent="0.25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25">
      <c r="A24" s="48"/>
      <c r="B24" s="11" t="s">
        <v>292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25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25">
      <c r="A26" s="11"/>
      <c r="B26" s="27" t="s">
        <v>293</v>
      </c>
      <c r="C26" s="27"/>
      <c r="D26" s="35">
        <f>+D22-D24</f>
        <v>0</v>
      </c>
      <c r="E26" s="15"/>
      <c r="F26" s="30">
        <f>IF(D$12=0,0,D26/D$12)</f>
        <v>0</v>
      </c>
      <c r="G26" s="15"/>
      <c r="H26" s="35">
        <f>+H22-H24</f>
        <v>0</v>
      </c>
      <c r="I26" s="15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8"/>
      <c r="P26" s="35">
        <f>+P22-P24</f>
        <v>0</v>
      </c>
      <c r="Q26" s="15"/>
      <c r="R26" s="30">
        <f>IF(P$12=0,0,P26/P$12)</f>
        <v>0</v>
      </c>
      <c r="S26" s="15"/>
      <c r="T26" s="35">
        <f>+T22-T24</f>
        <v>0</v>
      </c>
      <c r="U26" s="15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" customHeight="1" x14ac:dyDescent="0.25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25">
      <c r="A28" s="48"/>
      <c r="B28" s="11" t="s">
        <v>294</v>
      </c>
      <c r="C28" s="11"/>
      <c r="D28" s="5">
        <f>--34869.47</f>
        <v>34869.47</v>
      </c>
      <c r="E28" s="5"/>
      <c r="F28" s="13">
        <f>IF(D$12=0,0,D28/D$12)</f>
        <v>0</v>
      </c>
      <c r="G28" s="5"/>
      <c r="H28" s="5">
        <f>--71471.24</f>
        <v>71471.240000000005</v>
      </c>
      <c r="I28" s="5"/>
      <c r="J28" s="13">
        <f>IF(H$12=0,0,H28/H$12)</f>
        <v>0</v>
      </c>
      <c r="K28" s="5"/>
      <c r="L28" s="5">
        <f>+D28-H28</f>
        <v>-36601.770000000004</v>
      </c>
      <c r="M28" s="5"/>
      <c r="N28" s="13">
        <f>IF(H28=0,0,L28/H28)</f>
        <v>-0.51211886067738577</v>
      </c>
      <c r="O28" s="11"/>
      <c r="P28" s="5">
        <f>-1551961.8</f>
        <v>-1551961.8</v>
      </c>
      <c r="Q28" s="5"/>
      <c r="R28" s="13">
        <f>IF(P$12=0,0,P28/P$12)</f>
        <v>0</v>
      </c>
      <c r="S28" s="5"/>
      <c r="T28" s="5">
        <f>--2702968.14</f>
        <v>2702968.14</v>
      </c>
      <c r="U28" s="5"/>
      <c r="V28" s="13">
        <f>IF(T$12=0,0,T28/T$12)</f>
        <v>0</v>
      </c>
      <c r="W28" s="5"/>
      <c r="X28" s="5">
        <f>+P28-T28</f>
        <v>-4254929.9400000004</v>
      </c>
      <c r="Y28" s="5"/>
      <c r="Z28" s="13">
        <f>IF(T28=0,0,X28/T28)</f>
        <v>-1.5741694757822784</v>
      </c>
    </row>
    <row r="29" spans="1:26" s="62" customFormat="1" ht="15" customHeight="1" x14ac:dyDescent="0.25">
      <c r="A29" s="48"/>
      <c r="B29" s="11" t="s">
        <v>295</v>
      </c>
      <c r="C29" s="11"/>
      <c r="D29" s="5">
        <f>--27330.11</f>
        <v>27330.11</v>
      </c>
      <c r="E29" s="5"/>
      <c r="F29" s="13">
        <f>IF(D$12=0,0,D29/D$12)</f>
        <v>0</v>
      </c>
      <c r="G29" s="5"/>
      <c r="H29" s="5">
        <f>--11468.39</f>
        <v>11468.39</v>
      </c>
      <c r="I29" s="5"/>
      <c r="J29" s="13">
        <f>IF(H$12=0,0,H29/H$12)</f>
        <v>0</v>
      </c>
      <c r="K29" s="5"/>
      <c r="L29" s="5">
        <f>+D29-H29</f>
        <v>15861.720000000001</v>
      </c>
      <c r="M29" s="5"/>
      <c r="N29" s="13">
        <f>IF(H29=0,0,L29/H29)</f>
        <v>1.3830816705745097</v>
      </c>
      <c r="O29" s="11"/>
      <c r="P29" s="5">
        <f>--2370117.56</f>
        <v>2370117.56</v>
      </c>
      <c r="Q29" s="5"/>
      <c r="R29" s="13">
        <f>IF(P$12=0,0,P29/P$12)</f>
        <v>0</v>
      </c>
      <c r="S29" s="5"/>
      <c r="T29" s="5">
        <f>--104227.92</f>
        <v>104227.92</v>
      </c>
      <c r="U29" s="5"/>
      <c r="V29" s="13">
        <f>IF(T$12=0,0,T29/T$12)</f>
        <v>0</v>
      </c>
      <c r="W29" s="5"/>
      <c r="X29" s="5">
        <f>+P29-T29</f>
        <v>2265889.64</v>
      </c>
      <c r="Y29" s="5"/>
      <c r="Z29" s="13">
        <f>IF(T29=0,0,X29/T29)</f>
        <v>21.739756871287465</v>
      </c>
    </row>
    <row r="30" spans="1:26" ht="15" customHeight="1" x14ac:dyDescent="0.25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296</v>
      </c>
      <c r="C31" s="27"/>
      <c r="D31" s="32">
        <f>SUM(D26:D30)</f>
        <v>62199.58</v>
      </c>
      <c r="E31" s="15"/>
      <c r="F31" s="34">
        <f>IF(D$12=0,0,D31/D$12)</f>
        <v>0</v>
      </c>
      <c r="G31" s="15"/>
      <c r="H31" s="32">
        <f>SUM(H26:H30)</f>
        <v>82939.63</v>
      </c>
      <c r="I31" s="15"/>
      <c r="J31" s="34">
        <f>IF(H$12=0,0,H31/H$12)</f>
        <v>0</v>
      </c>
      <c r="K31" s="16"/>
      <c r="L31" s="32">
        <f>+D31-H31</f>
        <v>-20740.050000000003</v>
      </c>
      <c r="M31" s="16"/>
      <c r="N31" s="34">
        <f>IF(H31=0,0,L31/H31)</f>
        <v>-0.25006200292911845</v>
      </c>
      <c r="O31" s="28"/>
      <c r="P31" s="32">
        <f>SUM(P26:P30)</f>
        <v>818155.76</v>
      </c>
      <c r="Q31" s="15"/>
      <c r="R31" s="34">
        <f>IF(P$12=0,0,P31/P$12)</f>
        <v>0</v>
      </c>
      <c r="S31" s="15"/>
      <c r="T31" s="32">
        <f>SUM(T26:T30)</f>
        <v>2807196.06</v>
      </c>
      <c r="U31" s="15"/>
      <c r="V31" s="34">
        <f>IF(T$12=0,0,T31/T$12)</f>
        <v>0</v>
      </c>
      <c r="W31" s="16"/>
      <c r="X31" s="32">
        <f>+P31-T31</f>
        <v>-1989040.3</v>
      </c>
      <c r="Y31" s="16"/>
      <c r="Z31" s="34">
        <f>IF(T31=0,0,X31/T31)</f>
        <v>-0.70855054562879372</v>
      </c>
    </row>
    <row r="32" spans="1:26" ht="15" customHeight="1" x14ac:dyDescent="0.25">
      <c r="A32" s="10"/>
      <c r="C32" s="10"/>
      <c r="D32" s="18"/>
      <c r="E32" s="18"/>
      <c r="G32" s="18"/>
      <c r="H32" s="18"/>
      <c r="I32" s="18"/>
      <c r="J32" s="41"/>
      <c r="K32" s="18"/>
      <c r="L32" s="18"/>
      <c r="M32" s="18"/>
      <c r="P32" s="18"/>
      <c r="Q32" s="18"/>
      <c r="R32" s="41"/>
      <c r="S32" s="18"/>
      <c r="T32" s="18"/>
      <c r="U32" s="18"/>
      <c r="V32" s="41"/>
      <c r="W32" s="18"/>
      <c r="X32" s="18"/>
    </row>
    <row r="33" spans="1:24" ht="15" customHeight="1" x14ac:dyDescent="0.25">
      <c r="A33" s="10"/>
      <c r="B33" s="50">
        <v>44727.879654085649</v>
      </c>
      <c r="D33" s="18"/>
      <c r="E33" s="18"/>
      <c r="G33" s="18"/>
      <c r="H33" s="18"/>
      <c r="I33" s="18"/>
      <c r="J33" s="41"/>
      <c r="K33" s="18"/>
      <c r="L33" s="18"/>
      <c r="M33" s="18"/>
      <c r="P33" s="18"/>
      <c r="Q33" s="18"/>
      <c r="R33" s="41"/>
      <c r="S33" s="18"/>
      <c r="T33" s="18"/>
      <c r="U33" s="18"/>
      <c r="V33" s="41"/>
      <c r="W33" s="18"/>
      <c r="X33" s="18"/>
    </row>
    <row r="34" spans="1:24" ht="15" customHeight="1" x14ac:dyDescent="0.25">
      <c r="A34" s="10"/>
      <c r="B34" s="53" t="s">
        <v>297</v>
      </c>
      <c r="D34" s="18"/>
      <c r="E34" s="18"/>
      <c r="G34" s="18"/>
      <c r="H34" s="18"/>
      <c r="I34" s="18"/>
      <c r="J34" s="41"/>
      <c r="K34" s="18"/>
      <c r="L34" s="18"/>
      <c r="M34" s="18"/>
      <c r="P34" s="18"/>
      <c r="Q34" s="18"/>
      <c r="R34" s="41"/>
      <c r="S34" s="18"/>
      <c r="T34" s="18"/>
      <c r="U34" s="18"/>
      <c r="V34" s="41"/>
      <c r="W34" s="18"/>
      <c r="X34" s="18"/>
    </row>
    <row r="35" spans="1:24" ht="15" customHeight="1" x14ac:dyDescent="0.25">
      <c r="A35" s="10"/>
      <c r="B35" s="55"/>
      <c r="D35" s="18"/>
      <c r="E35" s="18"/>
      <c r="G35" s="18"/>
      <c r="H35" s="18"/>
      <c r="I35" s="18"/>
      <c r="J35" s="41"/>
      <c r="K35" s="18"/>
      <c r="L35" s="18"/>
      <c r="M35" s="18"/>
      <c r="P35" s="18"/>
      <c r="Q35" s="18"/>
      <c r="R35" s="41"/>
      <c r="S35" s="18"/>
      <c r="T35" s="18"/>
      <c r="U35" s="18"/>
      <c r="V35" s="41"/>
      <c r="W35" s="18"/>
      <c r="X35" s="18"/>
    </row>
    <row r="36" spans="1:24" ht="15" customHeight="1" x14ac:dyDescent="0.25">
      <c r="D36" s="18"/>
      <c r="E36" s="18"/>
      <c r="G36" s="18"/>
      <c r="H36" s="18"/>
      <c r="I36" s="18"/>
      <c r="J36" s="41"/>
      <c r="K36" s="18"/>
      <c r="L36" s="18"/>
      <c r="M36" s="18"/>
      <c r="P36" s="18"/>
      <c r="Q36" s="18"/>
      <c r="R36" s="41"/>
      <c r="S36" s="18"/>
      <c r="T36" s="18"/>
      <c r="U36" s="18"/>
      <c r="V36" s="41"/>
      <c r="W36" s="18"/>
      <c r="X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D627D-6346-E908-077C-FE6C75A85529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278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A50B2-6133-7CFA-141B-53EE9281339B}">
  <sheetPr>
    <tabColor rgb="FFFFC00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299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229106.31999999998</v>
      </c>
      <c r="E18" s="21"/>
      <c r="F18" s="31">
        <f t="shared" ref="F18:F49" si="0">IF(D$12=0,0,D18/D$12)</f>
        <v>0</v>
      </c>
      <c r="G18" s="21"/>
      <c r="H18" s="21" cm="1">
        <f t="array" ref="H18">SUM(OSRRefH22x_0)</f>
        <v>213156.25999999998</v>
      </c>
      <c r="I18" s="21"/>
      <c r="J18" s="31">
        <f t="shared" ref="J18:J49" si="1">IF(H$12=0,0,H18/H$12)</f>
        <v>0</v>
      </c>
      <c r="K18" s="5"/>
      <c r="L18" s="21">
        <f t="shared" ref="L18:L49" si="2">+D18-H18</f>
        <v>15950.059999999998</v>
      </c>
      <c r="M18" s="5"/>
      <c r="N18" s="31">
        <f t="shared" ref="N18:N49" si="3">IF(H18=0,0,L18/H18)</f>
        <v>7.4828015841523959E-2</v>
      </c>
      <c r="O18" s="11"/>
      <c r="P18" s="21" cm="1">
        <f t="array" ref="P18">SUM(OSRRefP22x_0)</f>
        <v>2705465.9400000004</v>
      </c>
      <c r="Q18" s="21"/>
      <c r="R18" s="31">
        <f t="shared" ref="R18:R49" si="4">IF(P$12=0,0,P18/P$12)</f>
        <v>0</v>
      </c>
      <c r="S18" s="21"/>
      <c r="T18" s="21" cm="1">
        <f t="array" ref="T18">SUM(OSRRefT22x_0)</f>
        <v>2096793.0899999996</v>
      </c>
      <c r="U18" s="21"/>
      <c r="V18" s="31">
        <f t="shared" ref="V18:V49" si="5">IF(T$12=0,0,T18/T$12)</f>
        <v>0</v>
      </c>
      <c r="W18" s="5"/>
      <c r="X18" s="21">
        <f t="shared" ref="X18:X49" si="6">+P18-T18</f>
        <v>608672.85000000079</v>
      </c>
      <c r="Y18" s="5"/>
      <c r="Z18" s="31">
        <f t="shared" ref="Z18:Z49" si="7">IF(T18=0,0,X18/T18)</f>
        <v>0.29028751234581801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79746.170000000013</v>
      </c>
      <c r="E19" s="2"/>
      <c r="F19" s="6">
        <f t="shared" si="0"/>
        <v>0</v>
      </c>
      <c r="G19" s="2"/>
      <c r="H19" s="2">
        <f>SUM(OSRRefH22_0x_0)</f>
        <v>83399.63</v>
      </c>
      <c r="I19" s="2"/>
      <c r="J19" s="6">
        <f t="shared" si="1"/>
        <v>0</v>
      </c>
      <c r="K19" s="2"/>
      <c r="L19" s="2">
        <f t="shared" si="2"/>
        <v>-3653.4599999999919</v>
      </c>
      <c r="M19" s="2"/>
      <c r="N19" s="6">
        <f t="shared" si="3"/>
        <v>-4.3806669166277977E-2</v>
      </c>
      <c r="O19" s="14"/>
      <c r="P19" s="2">
        <f>SUM(OSRRefP22_0x_0)</f>
        <v>953211.30999999982</v>
      </c>
      <c r="Q19" s="2"/>
      <c r="R19" s="6">
        <f t="shared" si="4"/>
        <v>0</v>
      </c>
      <c r="S19" s="2"/>
      <c r="T19" s="2">
        <f>SUM(OSRRefT22_0x_0)</f>
        <v>510171.93999999994</v>
      </c>
      <c r="U19" s="2"/>
      <c r="V19" s="6">
        <f t="shared" si="5"/>
        <v>0</v>
      </c>
      <c r="W19" s="2"/>
      <c r="X19" s="2">
        <f t="shared" si="6"/>
        <v>443039.36999999988</v>
      </c>
      <c r="Y19" s="2"/>
      <c r="Z19" s="6">
        <f t="shared" si="7"/>
        <v>0.8684118730638144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>
        <v>8140.79</v>
      </c>
      <c r="E20" s="3"/>
      <c r="F20" s="8">
        <f t="shared" si="0"/>
        <v>0</v>
      </c>
      <c r="G20" s="3"/>
      <c r="H20" s="7">
        <v>7063.83</v>
      </c>
      <c r="I20" s="3"/>
      <c r="J20" s="8">
        <f t="shared" si="1"/>
        <v>0</v>
      </c>
      <c r="K20" s="3"/>
      <c r="L20" s="7">
        <f t="shared" si="2"/>
        <v>1076.96</v>
      </c>
      <c r="M20" s="3"/>
      <c r="N20" s="8">
        <f t="shared" si="3"/>
        <v>0.1524612002270723</v>
      </c>
      <c r="O20" s="12"/>
      <c r="P20" s="7">
        <v>93559.56</v>
      </c>
      <c r="Q20" s="3"/>
      <c r="R20" s="8">
        <f t="shared" si="4"/>
        <v>0</v>
      </c>
      <c r="S20" s="3"/>
      <c r="T20" s="7">
        <v>86438.52</v>
      </c>
      <c r="U20" s="3"/>
      <c r="V20" s="8">
        <f t="shared" si="5"/>
        <v>0</v>
      </c>
      <c r="W20" s="3"/>
      <c r="X20" s="7">
        <f t="shared" si="6"/>
        <v>7121.0399999999936</v>
      </c>
      <c r="Y20" s="3"/>
      <c r="Z20" s="8">
        <f t="shared" si="7"/>
        <v>8.2382715483791183E-2</v>
      </c>
    </row>
    <row r="21" spans="1:26" s="69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7">
        <v>2349.09</v>
      </c>
      <c r="E21" s="3"/>
      <c r="F21" s="8">
        <f t="shared" si="0"/>
        <v>0</v>
      </c>
      <c r="G21" s="3"/>
      <c r="H21" s="7">
        <v>884.42</v>
      </c>
      <c r="I21" s="3"/>
      <c r="J21" s="8">
        <f t="shared" si="1"/>
        <v>0</v>
      </c>
      <c r="K21" s="3"/>
      <c r="L21" s="7">
        <f t="shared" si="2"/>
        <v>1464.67</v>
      </c>
      <c r="M21" s="3"/>
      <c r="N21" s="8">
        <f t="shared" si="3"/>
        <v>1.6560796906447164</v>
      </c>
      <c r="O21" s="12"/>
      <c r="P21" s="7">
        <v>18535.48</v>
      </c>
      <c r="Q21" s="3"/>
      <c r="R21" s="8">
        <f t="shared" si="4"/>
        <v>0</v>
      </c>
      <c r="S21" s="3"/>
      <c r="T21" s="7">
        <v>7351.55</v>
      </c>
      <c r="U21" s="3"/>
      <c r="V21" s="8">
        <f t="shared" si="5"/>
        <v>0</v>
      </c>
      <c r="W21" s="3"/>
      <c r="X21" s="7">
        <f t="shared" si="6"/>
        <v>11183.93</v>
      </c>
      <c r="Y21" s="3"/>
      <c r="Z21" s="8">
        <f t="shared" si="7"/>
        <v>1.521302310397127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>
        <v>20065.64</v>
      </c>
      <c r="E22" s="3"/>
      <c r="F22" s="8">
        <f t="shared" si="0"/>
        <v>0</v>
      </c>
      <c r="G22" s="3"/>
      <c r="H22" s="7">
        <v>22431.15</v>
      </c>
      <c r="I22" s="3"/>
      <c r="J22" s="8">
        <f t="shared" si="1"/>
        <v>0</v>
      </c>
      <c r="K22" s="3"/>
      <c r="L22" s="7">
        <f t="shared" si="2"/>
        <v>-2365.510000000002</v>
      </c>
      <c r="M22" s="3"/>
      <c r="N22" s="8">
        <f t="shared" si="3"/>
        <v>-0.10545647459002333</v>
      </c>
      <c r="O22" s="12"/>
      <c r="P22" s="7">
        <v>235124.94</v>
      </c>
      <c r="Q22" s="3"/>
      <c r="R22" s="8">
        <f t="shared" si="4"/>
        <v>0</v>
      </c>
      <c r="S22" s="3"/>
      <c r="T22" s="7">
        <v>250123.53</v>
      </c>
      <c r="U22" s="3"/>
      <c r="V22" s="8">
        <f t="shared" si="5"/>
        <v>0</v>
      </c>
      <c r="W22" s="3"/>
      <c r="X22" s="7">
        <f t="shared" si="6"/>
        <v>-14998.589999999997</v>
      </c>
      <c r="Y22" s="3"/>
      <c r="Z22" s="8">
        <f t="shared" si="7"/>
        <v>-5.9964730227499971E-2</v>
      </c>
    </row>
    <row r="23" spans="1:26" s="69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7">
        <v>415.95</v>
      </c>
      <c r="E23" s="3"/>
      <c r="F23" s="8">
        <f t="shared" si="0"/>
        <v>0</v>
      </c>
      <c r="G23" s="3"/>
      <c r="H23" s="7">
        <v>364.88</v>
      </c>
      <c r="I23" s="3"/>
      <c r="J23" s="8">
        <f t="shared" si="1"/>
        <v>0</v>
      </c>
      <c r="K23" s="3"/>
      <c r="L23" s="7">
        <f t="shared" si="2"/>
        <v>51.069999999999993</v>
      </c>
      <c r="M23" s="3"/>
      <c r="N23" s="8">
        <f t="shared" si="3"/>
        <v>0.13996382372286778</v>
      </c>
      <c r="O23" s="12"/>
      <c r="P23" s="7">
        <v>3286.99</v>
      </c>
      <c r="Q23" s="3"/>
      <c r="R23" s="8">
        <f t="shared" si="4"/>
        <v>0</v>
      </c>
      <c r="S23" s="3"/>
      <c r="T23" s="7">
        <v>3144.75</v>
      </c>
      <c r="U23" s="3"/>
      <c r="V23" s="8">
        <f t="shared" si="5"/>
        <v>0</v>
      </c>
      <c r="W23" s="3"/>
      <c r="X23" s="7">
        <f t="shared" si="6"/>
        <v>142.23999999999978</v>
      </c>
      <c r="Y23" s="3"/>
      <c r="Z23" s="8">
        <f t="shared" si="7"/>
        <v>4.523094045631601E-2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>
        <v>7904.22</v>
      </c>
      <c r="E24" s="3"/>
      <c r="F24" s="8">
        <f t="shared" si="0"/>
        <v>0</v>
      </c>
      <c r="G24" s="3"/>
      <c r="H24" s="7">
        <v>7812.41</v>
      </c>
      <c r="I24" s="3"/>
      <c r="J24" s="8">
        <f t="shared" si="1"/>
        <v>0</v>
      </c>
      <c r="K24" s="3"/>
      <c r="L24" s="7">
        <f t="shared" si="2"/>
        <v>91.8100000000004</v>
      </c>
      <c r="M24" s="3"/>
      <c r="N24" s="8">
        <f t="shared" si="3"/>
        <v>1.1751815380913239E-2</v>
      </c>
      <c r="O24" s="12"/>
      <c r="P24" s="7">
        <v>92559.23</v>
      </c>
      <c r="Q24" s="3"/>
      <c r="R24" s="8">
        <f t="shared" si="4"/>
        <v>0</v>
      </c>
      <c r="S24" s="3"/>
      <c r="T24" s="7">
        <v>98000.38</v>
      </c>
      <c r="U24" s="3"/>
      <c r="V24" s="8">
        <f t="shared" si="5"/>
        <v>0</v>
      </c>
      <c r="W24" s="3"/>
      <c r="X24" s="7">
        <f t="shared" si="6"/>
        <v>-5441.1500000000087</v>
      </c>
      <c r="Y24" s="3"/>
      <c r="Z24" s="8">
        <f t="shared" si="7"/>
        <v>-5.5521723487194731E-2</v>
      </c>
    </row>
    <row r="25" spans="1:26" s="69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4846</v>
      </c>
      <c r="I25" s="3"/>
      <c r="J25" s="8">
        <f t="shared" si="1"/>
        <v>0</v>
      </c>
      <c r="K25" s="3"/>
      <c r="L25" s="7">
        <f t="shared" si="2"/>
        <v>-4846</v>
      </c>
      <c r="M25" s="3"/>
      <c r="N25" s="8">
        <f t="shared" si="3"/>
        <v>-1</v>
      </c>
      <c r="O25" s="12"/>
      <c r="P25" s="7">
        <v>4855</v>
      </c>
      <c r="Q25" s="3"/>
      <c r="R25" s="8">
        <f t="shared" si="4"/>
        <v>0</v>
      </c>
      <c r="S25" s="3"/>
      <c r="T25" s="7">
        <v>4846</v>
      </c>
      <c r="U25" s="3"/>
      <c r="V25" s="8">
        <f t="shared" si="5"/>
        <v>0</v>
      </c>
      <c r="W25" s="3"/>
      <c r="X25" s="7">
        <f t="shared" si="6"/>
        <v>9</v>
      </c>
      <c r="Y25" s="3"/>
      <c r="Z25" s="8">
        <f t="shared" si="7"/>
        <v>1.8572018159306646E-3</v>
      </c>
    </row>
    <row r="26" spans="1:26" s="69" customFormat="1" ht="15" hidden="1" customHeight="1" outlineLevel="2" x14ac:dyDescent="0.25">
      <c r="A26" s="25"/>
      <c r="B26" s="12" t="str">
        <f>CONCATENATE("          ","6117"," - ","RETIREMENT STAFF HOURLY")</f>
        <v xml:space="preserve">          6117 - RETIREMENT STAFF HOURLY</v>
      </c>
      <c r="C26" s="12"/>
      <c r="D26" s="7">
        <v>755</v>
      </c>
      <c r="E26" s="3"/>
      <c r="F26" s="8">
        <f t="shared" si="0"/>
        <v>0</v>
      </c>
      <c r="G26" s="3"/>
      <c r="H26" s="7">
        <v>534.51</v>
      </c>
      <c r="I26" s="3"/>
      <c r="J26" s="8">
        <f t="shared" si="1"/>
        <v>0</v>
      </c>
      <c r="K26" s="3"/>
      <c r="L26" s="7">
        <f t="shared" si="2"/>
        <v>220.49</v>
      </c>
      <c r="M26" s="3"/>
      <c r="N26" s="8">
        <f t="shared" si="3"/>
        <v>0.41250865278479359</v>
      </c>
      <c r="O26" s="12"/>
      <c r="P26" s="7">
        <v>17592.05</v>
      </c>
      <c r="Q26" s="3"/>
      <c r="R26" s="8">
        <f t="shared" si="4"/>
        <v>0</v>
      </c>
      <c r="S26" s="3"/>
      <c r="T26" s="7">
        <v>7578.29</v>
      </c>
      <c r="U26" s="3"/>
      <c r="V26" s="8">
        <f t="shared" si="5"/>
        <v>0</v>
      </c>
      <c r="W26" s="3"/>
      <c r="X26" s="7">
        <f t="shared" si="6"/>
        <v>10013.759999999998</v>
      </c>
      <c r="Y26" s="3"/>
      <c r="Z26" s="8">
        <f t="shared" si="7"/>
        <v>1.3213746108950697</v>
      </c>
    </row>
    <row r="27" spans="1:26" s="69" customFormat="1" ht="15" hidden="1" customHeight="1" outlineLevel="2" x14ac:dyDescent="0.25">
      <c r="A27" s="25"/>
      <c r="B27" s="12" t="str">
        <f>CONCATENATE("          ","6118"," - ","VACATION")</f>
        <v xml:space="preserve">          6118 - VACATION</v>
      </c>
      <c r="C27" s="12"/>
      <c r="D27" s="7">
        <v>7531.27</v>
      </c>
      <c r="E27" s="3"/>
      <c r="F27" s="8">
        <f t="shared" si="0"/>
        <v>0</v>
      </c>
      <c r="G27" s="3"/>
      <c r="H27" s="7">
        <v>6667.62</v>
      </c>
      <c r="I27" s="3"/>
      <c r="J27" s="8">
        <f t="shared" si="1"/>
        <v>0</v>
      </c>
      <c r="K27" s="3"/>
      <c r="L27" s="7">
        <f t="shared" si="2"/>
        <v>863.65000000000055</v>
      </c>
      <c r="M27" s="3"/>
      <c r="N27" s="8">
        <f t="shared" si="3"/>
        <v>0.12952897735623814</v>
      </c>
      <c r="O27" s="12"/>
      <c r="P27" s="7">
        <v>92706.41</v>
      </c>
      <c r="Q27" s="3"/>
      <c r="R27" s="8">
        <f t="shared" si="4"/>
        <v>0</v>
      </c>
      <c r="S27" s="3"/>
      <c r="T27" s="7">
        <v>73631.58</v>
      </c>
      <c r="U27" s="3"/>
      <c r="V27" s="8">
        <f t="shared" si="5"/>
        <v>0</v>
      </c>
      <c r="W27" s="3"/>
      <c r="X27" s="7">
        <f t="shared" si="6"/>
        <v>19074.830000000002</v>
      </c>
      <c r="Y27" s="3"/>
      <c r="Z27" s="8">
        <f t="shared" si="7"/>
        <v>0.25905773039231267</v>
      </c>
    </row>
    <row r="28" spans="1:26" s="69" customFormat="1" ht="15" hidden="1" customHeight="1" outlineLevel="2" x14ac:dyDescent="0.25">
      <c r="A28" s="25"/>
      <c r="B28" s="12" t="str">
        <f>CONCATENATE("          ","6119"," - ","SICK LEAVE")</f>
        <v xml:space="preserve">          6119 - SICK LEAVE</v>
      </c>
      <c r="C28" s="12"/>
      <c r="D28" s="7">
        <v>4595.92</v>
      </c>
      <c r="E28" s="3"/>
      <c r="F28" s="8">
        <f t="shared" si="0"/>
        <v>0</v>
      </c>
      <c r="G28" s="3"/>
      <c r="H28" s="7">
        <v>4003.52</v>
      </c>
      <c r="I28" s="3"/>
      <c r="J28" s="8">
        <f t="shared" si="1"/>
        <v>0</v>
      </c>
      <c r="K28" s="3"/>
      <c r="L28" s="7">
        <f t="shared" si="2"/>
        <v>592.40000000000009</v>
      </c>
      <c r="M28" s="3"/>
      <c r="N28" s="8">
        <f t="shared" si="3"/>
        <v>0.14796978658780277</v>
      </c>
      <c r="O28" s="12"/>
      <c r="P28" s="7">
        <v>80495.22</v>
      </c>
      <c r="Q28" s="3"/>
      <c r="R28" s="8">
        <f t="shared" si="4"/>
        <v>0</v>
      </c>
      <c r="S28" s="3"/>
      <c r="T28" s="7">
        <v>48927.839999999997</v>
      </c>
      <c r="U28" s="3"/>
      <c r="V28" s="8">
        <f t="shared" si="5"/>
        <v>0</v>
      </c>
      <c r="W28" s="3"/>
      <c r="X28" s="7">
        <f t="shared" si="6"/>
        <v>31567.380000000005</v>
      </c>
      <c r="Y28" s="3"/>
      <c r="Z28" s="8">
        <f t="shared" si="7"/>
        <v>0.64518237469710515</v>
      </c>
    </row>
    <row r="29" spans="1:26" s="69" customFormat="1" ht="15" hidden="1" customHeight="1" outlineLevel="2" x14ac:dyDescent="0.25">
      <c r="A29" s="25"/>
      <c r="B29" s="12" t="str">
        <f>CONCATENATE("          ","6120"," - ","RETIREES HEALTH INSURANCE")</f>
        <v xml:space="preserve">          6120 - RETIREES HEALTH INSURANCE</v>
      </c>
      <c r="C29" s="12"/>
      <c r="D29" s="7">
        <v>25950.3</v>
      </c>
      <c r="E29" s="3"/>
      <c r="F29" s="8">
        <f t="shared" si="0"/>
        <v>0</v>
      </c>
      <c r="G29" s="3"/>
      <c r="H29" s="7">
        <v>28124.68</v>
      </c>
      <c r="I29" s="3"/>
      <c r="J29" s="8">
        <f t="shared" si="1"/>
        <v>0</v>
      </c>
      <c r="K29" s="3"/>
      <c r="L29" s="7">
        <f t="shared" si="2"/>
        <v>-2174.380000000001</v>
      </c>
      <c r="M29" s="3"/>
      <c r="N29" s="8">
        <f t="shared" si="3"/>
        <v>-7.7312168529561978E-2</v>
      </c>
      <c r="O29" s="12"/>
      <c r="P29" s="7">
        <v>296422.15999999997</v>
      </c>
      <c r="Q29" s="3"/>
      <c r="R29" s="8">
        <f t="shared" si="4"/>
        <v>0</v>
      </c>
      <c r="S29" s="3"/>
      <c r="T29" s="7">
        <v>-76693.88</v>
      </c>
      <c r="U29" s="3"/>
      <c r="V29" s="8">
        <f t="shared" si="5"/>
        <v>0</v>
      </c>
      <c r="W29" s="3"/>
      <c r="X29" s="7">
        <f t="shared" si="6"/>
        <v>373116.04</v>
      </c>
      <c r="Y29" s="3"/>
      <c r="Z29" s="8">
        <f t="shared" si="7"/>
        <v>-4.8650040915911408</v>
      </c>
    </row>
    <row r="30" spans="1:26" s="69" customFormat="1" ht="15" hidden="1" customHeight="1" outlineLevel="2" x14ac:dyDescent="0.25">
      <c r="A30" s="25"/>
      <c r="B30" s="12" t="str">
        <f>CONCATENATE("          ","6156"," - ","EMPLOYEE MEALS")</f>
        <v xml:space="preserve">          6156 - EMPLOYEE MEALS</v>
      </c>
      <c r="C30" s="12"/>
      <c r="D30" s="7">
        <v>2037.99</v>
      </c>
      <c r="E30" s="3"/>
      <c r="F30" s="8">
        <f t="shared" si="0"/>
        <v>0</v>
      </c>
      <c r="G30" s="3"/>
      <c r="H30" s="7">
        <v>666.61</v>
      </c>
      <c r="I30" s="3"/>
      <c r="J30" s="8">
        <f t="shared" si="1"/>
        <v>0</v>
      </c>
      <c r="K30" s="3"/>
      <c r="L30" s="7">
        <f t="shared" si="2"/>
        <v>1371.38</v>
      </c>
      <c r="M30" s="3"/>
      <c r="N30" s="8">
        <f t="shared" si="3"/>
        <v>2.0572448658135944</v>
      </c>
      <c r="O30" s="12"/>
      <c r="P30" s="7">
        <v>18074.27</v>
      </c>
      <c r="Q30" s="3"/>
      <c r="R30" s="8">
        <f t="shared" si="4"/>
        <v>0</v>
      </c>
      <c r="S30" s="3"/>
      <c r="T30" s="7">
        <v>6823.38</v>
      </c>
      <c r="U30" s="3"/>
      <c r="V30" s="8">
        <f t="shared" si="5"/>
        <v>0</v>
      </c>
      <c r="W30" s="3"/>
      <c r="X30" s="7">
        <f t="shared" si="6"/>
        <v>11250.89</v>
      </c>
      <c r="Y30" s="3"/>
      <c r="Z30" s="8">
        <f t="shared" si="7"/>
        <v>1.6488734322286021</v>
      </c>
    </row>
    <row r="31" spans="1:26" s="68" customFormat="1" ht="15" customHeight="1" outlineLevel="1" collapsed="1" x14ac:dyDescent="0.25">
      <c r="A31" s="26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96911.69</v>
      </c>
      <c r="E31" s="2"/>
      <c r="F31" s="6">
        <f t="shared" si="0"/>
        <v>0</v>
      </c>
      <c r="G31" s="2"/>
      <c r="H31" s="2">
        <f>SUM(OSRRefH22_1x_0)</f>
        <v>89430.22</v>
      </c>
      <c r="I31" s="2"/>
      <c r="J31" s="6">
        <f t="shared" si="1"/>
        <v>0</v>
      </c>
      <c r="K31" s="2"/>
      <c r="L31" s="2">
        <f t="shared" si="2"/>
        <v>7481.4700000000012</v>
      </c>
      <c r="M31" s="2"/>
      <c r="N31" s="6">
        <f t="shared" si="3"/>
        <v>8.3657068047020361E-2</v>
      </c>
      <c r="O31" s="14"/>
      <c r="P31" s="2">
        <f>SUM(OSRRefP22_1x_0)</f>
        <v>1144103.43</v>
      </c>
      <c r="Q31" s="2"/>
      <c r="R31" s="6">
        <f t="shared" si="4"/>
        <v>0</v>
      </c>
      <c r="S31" s="2"/>
      <c r="T31" s="2">
        <f>SUM(OSRRefT22_1x_0)</f>
        <v>1023459.4400000001</v>
      </c>
      <c r="U31" s="2"/>
      <c r="V31" s="6">
        <f t="shared" si="5"/>
        <v>0</v>
      </c>
      <c r="W31" s="2"/>
      <c r="X31" s="2">
        <f t="shared" si="6"/>
        <v>120643.98999999987</v>
      </c>
      <c r="Y31" s="2"/>
      <c r="Z31" s="6">
        <f t="shared" si="7"/>
        <v>0.11787862350461085</v>
      </c>
    </row>
    <row r="32" spans="1:26" s="69" customFormat="1" ht="15" hidden="1" customHeight="1" outlineLevel="2" x14ac:dyDescent="0.25">
      <c r="A32" s="25"/>
      <c r="B32" s="12" t="str">
        <f>CONCATENATE("          ","6001"," - ","ADMINISTRATIVE SALARIES")</f>
        <v xml:space="preserve">          6001 - ADMINISTRATIVE SALARIES</v>
      </c>
      <c r="C32" s="12"/>
      <c r="D32" s="7">
        <v>27293.61</v>
      </c>
      <c r="E32" s="3"/>
      <c r="F32" s="8">
        <f t="shared" si="0"/>
        <v>0</v>
      </c>
      <c r="G32" s="3"/>
      <c r="H32" s="7">
        <v>21866.82</v>
      </c>
      <c r="I32" s="3"/>
      <c r="J32" s="8">
        <f t="shared" si="1"/>
        <v>0</v>
      </c>
      <c r="K32" s="3"/>
      <c r="L32" s="7">
        <f t="shared" si="2"/>
        <v>5426.7900000000009</v>
      </c>
      <c r="M32" s="3"/>
      <c r="N32" s="8">
        <f t="shared" si="3"/>
        <v>0.24817463170227774</v>
      </c>
      <c r="O32" s="12"/>
      <c r="P32" s="7">
        <v>311482.44</v>
      </c>
      <c r="Q32" s="3"/>
      <c r="R32" s="8">
        <f t="shared" si="4"/>
        <v>0</v>
      </c>
      <c r="S32" s="3"/>
      <c r="T32" s="7">
        <v>272324.67</v>
      </c>
      <c r="U32" s="3"/>
      <c r="V32" s="8">
        <f t="shared" si="5"/>
        <v>0</v>
      </c>
      <c r="W32" s="3"/>
      <c r="X32" s="7">
        <f t="shared" si="6"/>
        <v>39157.770000000019</v>
      </c>
      <c r="Y32" s="3"/>
      <c r="Z32" s="8">
        <f t="shared" si="7"/>
        <v>0.1437907553509567</v>
      </c>
    </row>
    <row r="33" spans="1:26" s="69" customFormat="1" ht="15" hidden="1" customHeight="1" outlineLevel="2" x14ac:dyDescent="0.25">
      <c r="A33" s="25"/>
      <c r="B33" s="12" t="str">
        <f>CONCATENATE("          ","6002"," - ","STAFF SALARIES")</f>
        <v xml:space="preserve">          6002 - STAFF SALARIES</v>
      </c>
      <c r="C33" s="12"/>
      <c r="D33" s="7">
        <v>44189.2</v>
      </c>
      <c r="E33" s="3"/>
      <c r="F33" s="8">
        <f t="shared" si="0"/>
        <v>0</v>
      </c>
      <c r="G33" s="3"/>
      <c r="H33" s="7">
        <v>47127.4</v>
      </c>
      <c r="I33" s="3"/>
      <c r="J33" s="8">
        <f t="shared" si="1"/>
        <v>0</v>
      </c>
      <c r="K33" s="3"/>
      <c r="L33" s="7">
        <f t="shared" si="2"/>
        <v>-2938.2000000000044</v>
      </c>
      <c r="M33" s="3"/>
      <c r="N33" s="8">
        <f t="shared" si="3"/>
        <v>-6.2345896442409392E-2</v>
      </c>
      <c r="O33" s="12"/>
      <c r="P33" s="7">
        <v>554475</v>
      </c>
      <c r="Q33" s="3"/>
      <c r="R33" s="8">
        <f t="shared" si="4"/>
        <v>0</v>
      </c>
      <c r="S33" s="3"/>
      <c r="T33" s="7">
        <v>535535.34</v>
      </c>
      <c r="U33" s="3"/>
      <c r="V33" s="8">
        <f t="shared" si="5"/>
        <v>0</v>
      </c>
      <c r="W33" s="3"/>
      <c r="X33" s="7">
        <f t="shared" si="6"/>
        <v>18939.660000000033</v>
      </c>
      <c r="Y33" s="3"/>
      <c r="Z33" s="8">
        <f t="shared" si="7"/>
        <v>3.5365845324045346E-2</v>
      </c>
    </row>
    <row r="34" spans="1:26" s="69" customFormat="1" ht="15" hidden="1" customHeight="1" outlineLevel="2" x14ac:dyDescent="0.25">
      <c r="A34" s="25"/>
      <c r="B34" s="12" t="str">
        <f>CONCATENATE("          ","6004"," - ","STAFF HOURLY")</f>
        <v xml:space="preserve">          6004 - STAFF HOURLY</v>
      </c>
      <c r="C34" s="12"/>
      <c r="D34" s="7">
        <v>20314.34</v>
      </c>
      <c r="E34" s="3"/>
      <c r="F34" s="8">
        <f t="shared" si="0"/>
        <v>0</v>
      </c>
      <c r="G34" s="3"/>
      <c r="H34" s="7">
        <v>14271.81</v>
      </c>
      <c r="I34" s="3"/>
      <c r="J34" s="8">
        <f t="shared" si="1"/>
        <v>0</v>
      </c>
      <c r="K34" s="3"/>
      <c r="L34" s="7">
        <f t="shared" si="2"/>
        <v>6042.5300000000007</v>
      </c>
      <c r="M34" s="3"/>
      <c r="N34" s="8">
        <f t="shared" si="3"/>
        <v>0.42338918469346221</v>
      </c>
      <c r="O34" s="12"/>
      <c r="P34" s="7">
        <v>228302.5</v>
      </c>
      <c r="Q34" s="3"/>
      <c r="R34" s="8">
        <f t="shared" si="4"/>
        <v>0</v>
      </c>
      <c r="S34" s="3"/>
      <c r="T34" s="7">
        <v>187472.52</v>
      </c>
      <c r="U34" s="3"/>
      <c r="V34" s="8">
        <f t="shared" si="5"/>
        <v>0</v>
      </c>
      <c r="W34" s="3"/>
      <c r="X34" s="7">
        <f t="shared" si="6"/>
        <v>40829.98000000001</v>
      </c>
      <c r="Y34" s="3"/>
      <c r="Z34" s="8">
        <f t="shared" si="7"/>
        <v>0.21779181290143224</v>
      </c>
    </row>
    <row r="35" spans="1:26" s="69" customFormat="1" ht="15" hidden="1" customHeight="1" outlineLevel="2" x14ac:dyDescent="0.25">
      <c r="A35" s="25"/>
      <c r="B35" s="12" t="str">
        <f>CONCATENATE("          ","6005"," - ","TEMPORARY WAGES-HOURLY")</f>
        <v xml:space="preserve">          6005 - TEMPORARY WAGES-HOURLY</v>
      </c>
      <c r="C35" s="12"/>
      <c r="D35" s="7">
        <v>4938.22</v>
      </c>
      <c r="E35" s="3"/>
      <c r="F35" s="8">
        <f t="shared" si="0"/>
        <v>0</v>
      </c>
      <c r="G35" s="3"/>
      <c r="H35" s="7">
        <v>4870.13</v>
      </c>
      <c r="I35" s="3"/>
      <c r="J35" s="8">
        <f t="shared" si="1"/>
        <v>0</v>
      </c>
      <c r="K35" s="3"/>
      <c r="L35" s="7">
        <f t="shared" si="2"/>
        <v>68.090000000000146</v>
      </c>
      <c r="M35" s="3"/>
      <c r="N35" s="8">
        <f t="shared" si="3"/>
        <v>1.3981146293836129E-2</v>
      </c>
      <c r="O35" s="12"/>
      <c r="P35" s="7">
        <v>33856.11</v>
      </c>
      <c r="Q35" s="3"/>
      <c r="R35" s="8">
        <f t="shared" si="4"/>
        <v>0</v>
      </c>
      <c r="S35" s="3"/>
      <c r="T35" s="7">
        <v>58204.01</v>
      </c>
      <c r="U35" s="3"/>
      <c r="V35" s="8">
        <f t="shared" si="5"/>
        <v>0</v>
      </c>
      <c r="W35" s="3"/>
      <c r="X35" s="7">
        <f t="shared" si="6"/>
        <v>-24347.9</v>
      </c>
      <c r="Y35" s="3"/>
      <c r="Z35" s="8">
        <f t="shared" si="7"/>
        <v>-0.41831997486083866</v>
      </c>
    </row>
    <row r="36" spans="1:26" s="69" customFormat="1" ht="15" hidden="1" customHeight="1" outlineLevel="2" x14ac:dyDescent="0.25">
      <c r="A36" s="25"/>
      <c r="B36" s="12" t="str">
        <f>CONCATENATE("          ","6007"," - ","STUDENT HOURLY")</f>
        <v xml:space="preserve">          6007 - STUDENT HOURLY</v>
      </c>
      <c r="C36" s="12"/>
      <c r="D36" s="7">
        <v>176.32</v>
      </c>
      <c r="E36" s="3"/>
      <c r="F36" s="8">
        <f t="shared" si="0"/>
        <v>0</v>
      </c>
      <c r="G36" s="3"/>
      <c r="H36" s="7"/>
      <c r="I36" s="3"/>
      <c r="J36" s="8">
        <f t="shared" si="1"/>
        <v>0</v>
      </c>
      <c r="K36" s="3"/>
      <c r="L36" s="7">
        <f t="shared" si="2"/>
        <v>176.32</v>
      </c>
      <c r="M36" s="3"/>
      <c r="N36" s="8">
        <f t="shared" si="3"/>
        <v>0</v>
      </c>
      <c r="O36" s="12"/>
      <c r="P36" s="7">
        <v>4512.18</v>
      </c>
      <c r="Q36" s="3"/>
      <c r="R36" s="8">
        <f t="shared" si="4"/>
        <v>0</v>
      </c>
      <c r="S36" s="3"/>
      <c r="T36" s="7">
        <v>-44841.01</v>
      </c>
      <c r="U36" s="3"/>
      <c r="V36" s="8">
        <f t="shared" si="5"/>
        <v>0</v>
      </c>
      <c r="W36" s="3"/>
      <c r="X36" s="7">
        <f t="shared" si="6"/>
        <v>49353.19</v>
      </c>
      <c r="Y36" s="3"/>
      <c r="Z36" s="8">
        <f t="shared" si="7"/>
        <v>-1.1006261901772507</v>
      </c>
    </row>
    <row r="37" spans="1:26" s="69" customFormat="1" ht="15" hidden="1" customHeight="1" outlineLevel="2" x14ac:dyDescent="0.25">
      <c r="A37" s="25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1294.06</v>
      </c>
      <c r="I37" s="3"/>
      <c r="J37" s="8">
        <f t="shared" si="1"/>
        <v>0</v>
      </c>
      <c r="K37" s="3"/>
      <c r="L37" s="7">
        <f t="shared" si="2"/>
        <v>-1294.06</v>
      </c>
      <c r="M37" s="3"/>
      <c r="N37" s="8">
        <f t="shared" si="3"/>
        <v>-1</v>
      </c>
      <c r="O37" s="12"/>
      <c r="P37" s="7">
        <v>11475.2</v>
      </c>
      <c r="Q37" s="3"/>
      <c r="R37" s="8">
        <f t="shared" si="4"/>
        <v>0</v>
      </c>
      <c r="S37" s="3"/>
      <c r="T37" s="7">
        <v>14763.91</v>
      </c>
      <c r="U37" s="3"/>
      <c r="V37" s="8">
        <f t="shared" si="5"/>
        <v>0</v>
      </c>
      <c r="W37" s="3"/>
      <c r="X37" s="7">
        <f t="shared" si="6"/>
        <v>-3288.7099999999991</v>
      </c>
      <c r="Y37" s="3"/>
      <c r="Z37" s="8">
        <f t="shared" si="7"/>
        <v>-0.22275332212130791</v>
      </c>
    </row>
    <row r="38" spans="1:26" s="68" customFormat="1" ht="15" customHeight="1" outlineLevel="1" collapsed="1" x14ac:dyDescent="0.25">
      <c r="A38" s="26"/>
      <c r="B38" s="14" t="str">
        <f>CONCATENATE("     ","Advertising/Promo                                 ")</f>
        <v xml:space="preserve">     Advertising/Promo                                 </v>
      </c>
      <c r="C38" s="14"/>
      <c r="D38" s="2">
        <f>SUM(OSRRefD22_2x_0)</f>
        <v>173.21</v>
      </c>
      <c r="E38" s="2"/>
      <c r="F38" s="6">
        <f t="shared" si="0"/>
        <v>0</v>
      </c>
      <c r="G38" s="2"/>
      <c r="H38" s="2">
        <f>SUM(OSRRefH22_2x_0)</f>
        <v>245.18</v>
      </c>
      <c r="I38" s="2"/>
      <c r="J38" s="6">
        <f t="shared" si="1"/>
        <v>0</v>
      </c>
      <c r="K38" s="2"/>
      <c r="L38" s="2">
        <f t="shared" si="2"/>
        <v>-71.97</v>
      </c>
      <c r="M38" s="2"/>
      <c r="N38" s="6">
        <f t="shared" si="3"/>
        <v>-0.29353944041112651</v>
      </c>
      <c r="O38" s="14"/>
      <c r="P38" s="2">
        <f>SUM(OSRRefP22_2x_0)</f>
        <v>4581.62</v>
      </c>
      <c r="Q38" s="2"/>
      <c r="R38" s="6">
        <f t="shared" si="4"/>
        <v>0</v>
      </c>
      <c r="S38" s="2"/>
      <c r="T38" s="2">
        <f>SUM(OSRRefT22_2x_0)</f>
        <v>1977.17</v>
      </c>
      <c r="U38" s="2"/>
      <c r="V38" s="6">
        <f t="shared" si="5"/>
        <v>0</v>
      </c>
      <c r="W38" s="2"/>
      <c r="X38" s="2">
        <f t="shared" si="6"/>
        <v>2604.4499999999998</v>
      </c>
      <c r="Y38" s="2"/>
      <c r="Z38" s="6">
        <f t="shared" si="7"/>
        <v>1.317261540484632</v>
      </c>
    </row>
    <row r="39" spans="1:26" s="69" customFormat="1" ht="15" hidden="1" customHeight="1" outlineLevel="2" x14ac:dyDescent="0.25">
      <c r="A39" s="25"/>
      <c r="B39" s="12" t="str">
        <f>CONCATENATE("          ","6362"," - ","ADVERTISING EXPENSE")</f>
        <v xml:space="preserve">          6362 - ADVERTISING EXPENSE</v>
      </c>
      <c r="C39" s="12"/>
      <c r="D39" s="7">
        <v>173.21</v>
      </c>
      <c r="E39" s="3"/>
      <c r="F39" s="8">
        <f t="shared" si="0"/>
        <v>0</v>
      </c>
      <c r="G39" s="3"/>
      <c r="H39" s="7">
        <v>245.18</v>
      </c>
      <c r="I39" s="3"/>
      <c r="J39" s="8">
        <f t="shared" si="1"/>
        <v>0</v>
      </c>
      <c r="K39" s="3"/>
      <c r="L39" s="7">
        <f t="shared" si="2"/>
        <v>-71.97</v>
      </c>
      <c r="M39" s="3"/>
      <c r="N39" s="8">
        <f t="shared" si="3"/>
        <v>-0.29353944041112651</v>
      </c>
      <c r="O39" s="12"/>
      <c r="P39" s="7">
        <v>4581.62</v>
      </c>
      <c r="Q39" s="3"/>
      <c r="R39" s="8">
        <f t="shared" si="4"/>
        <v>0</v>
      </c>
      <c r="S39" s="3"/>
      <c r="T39" s="7">
        <v>1977.17</v>
      </c>
      <c r="U39" s="3"/>
      <c r="V39" s="8">
        <f t="shared" si="5"/>
        <v>0</v>
      </c>
      <c r="W39" s="3"/>
      <c r="X39" s="7">
        <f t="shared" si="6"/>
        <v>2604.4499999999998</v>
      </c>
      <c r="Y39" s="3"/>
      <c r="Z39" s="8">
        <f t="shared" si="7"/>
        <v>1.317261540484632</v>
      </c>
    </row>
    <row r="40" spans="1:26" s="68" customFormat="1" ht="15" customHeight="1" outlineLevel="1" collapsed="1" x14ac:dyDescent="0.25">
      <c r="A40" s="26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SUM(OSRRefD22_3x_0)</f>
        <v>279.11</v>
      </c>
      <c r="E40" s="2"/>
      <c r="F40" s="6">
        <f t="shared" si="0"/>
        <v>0</v>
      </c>
      <c r="G40" s="2"/>
      <c r="H40" s="2">
        <f>SUM(OSRRefH22_3x_0)</f>
        <v>7</v>
      </c>
      <c r="I40" s="2"/>
      <c r="J40" s="6">
        <f t="shared" si="1"/>
        <v>0</v>
      </c>
      <c r="K40" s="2"/>
      <c r="L40" s="2">
        <f t="shared" si="2"/>
        <v>272.11</v>
      </c>
      <c r="M40" s="2"/>
      <c r="N40" s="6">
        <f t="shared" si="3"/>
        <v>38.872857142857143</v>
      </c>
      <c r="O40" s="14"/>
      <c r="P40" s="2">
        <f>SUM(OSRRefP22_3x_0)</f>
        <v>13177.22</v>
      </c>
      <c r="Q40" s="2"/>
      <c r="R40" s="6">
        <f t="shared" si="4"/>
        <v>0</v>
      </c>
      <c r="S40" s="2"/>
      <c r="T40" s="2">
        <f>SUM(OSRRefT22_3x_0)</f>
        <v>6996.07</v>
      </c>
      <c r="U40" s="2"/>
      <c r="V40" s="6">
        <f t="shared" si="5"/>
        <v>0</v>
      </c>
      <c r="W40" s="2"/>
      <c r="X40" s="2">
        <f t="shared" si="6"/>
        <v>6181.15</v>
      </c>
      <c r="Y40" s="2"/>
      <c r="Z40" s="6">
        <f t="shared" si="7"/>
        <v>0.88351746051711888</v>
      </c>
    </row>
    <row r="41" spans="1:26" s="69" customFormat="1" ht="15" hidden="1" customHeight="1" outlineLevel="2" x14ac:dyDescent="0.25">
      <c r="A41" s="25"/>
      <c r="B41" s="12" t="str">
        <f>CONCATENATE("          ","6381"," - ","BANK/CREDIT CARD FEES")</f>
        <v xml:space="preserve">          6381 - BANK/CREDIT CARD FEES</v>
      </c>
      <c r="C41" s="12"/>
      <c r="D41" s="7">
        <v>279.11</v>
      </c>
      <c r="E41" s="3"/>
      <c r="F41" s="8">
        <f t="shared" si="0"/>
        <v>0</v>
      </c>
      <c r="G41" s="3"/>
      <c r="H41" s="7">
        <v>7</v>
      </c>
      <c r="I41" s="3"/>
      <c r="J41" s="8">
        <f t="shared" si="1"/>
        <v>0</v>
      </c>
      <c r="K41" s="3"/>
      <c r="L41" s="7">
        <f t="shared" si="2"/>
        <v>272.11</v>
      </c>
      <c r="M41" s="3"/>
      <c r="N41" s="8">
        <f t="shared" si="3"/>
        <v>38.872857142857143</v>
      </c>
      <c r="O41" s="12"/>
      <c r="P41" s="7">
        <v>13177.22</v>
      </c>
      <c r="Q41" s="3"/>
      <c r="R41" s="8">
        <f t="shared" si="4"/>
        <v>0</v>
      </c>
      <c r="S41" s="3"/>
      <c r="T41" s="7">
        <v>6996.07</v>
      </c>
      <c r="U41" s="3"/>
      <c r="V41" s="8">
        <f t="shared" si="5"/>
        <v>0</v>
      </c>
      <c r="W41" s="3"/>
      <c r="X41" s="7">
        <f t="shared" si="6"/>
        <v>6181.15</v>
      </c>
      <c r="Y41" s="3"/>
      <c r="Z41" s="8">
        <f t="shared" si="7"/>
        <v>0.88351746051711888</v>
      </c>
    </row>
    <row r="42" spans="1:26" s="68" customFormat="1" ht="15" customHeight="1" outlineLevel="1" collapsed="1" x14ac:dyDescent="0.25">
      <c r="A42" s="26"/>
      <c r="B42" s="14" t="str">
        <f>CONCATENATE("     ","Board                                             ")</f>
        <v xml:space="preserve">     Board                                             </v>
      </c>
      <c r="C42" s="14"/>
      <c r="D42" s="2">
        <f>SUM(OSRRefD22_4x_0)</f>
        <v>8334.77</v>
      </c>
      <c r="E42" s="2"/>
      <c r="F42" s="6">
        <f t="shared" si="0"/>
        <v>0</v>
      </c>
      <c r="G42" s="2"/>
      <c r="H42" s="2">
        <f>SUM(OSRRefH22_4x_0)</f>
        <v>1042.1099999999999</v>
      </c>
      <c r="I42" s="2"/>
      <c r="J42" s="6">
        <f t="shared" si="1"/>
        <v>0</v>
      </c>
      <c r="K42" s="2"/>
      <c r="L42" s="2">
        <f t="shared" si="2"/>
        <v>7292.6600000000008</v>
      </c>
      <c r="M42" s="2"/>
      <c r="N42" s="6">
        <f t="shared" si="3"/>
        <v>6.9979752617286097</v>
      </c>
      <c r="O42" s="14"/>
      <c r="P42" s="2">
        <f>SUM(OSRRefP22_4x_0)</f>
        <v>26655.41</v>
      </c>
      <c r="Q42" s="2"/>
      <c r="R42" s="6">
        <f t="shared" si="4"/>
        <v>0</v>
      </c>
      <c r="S42" s="2"/>
      <c r="T42" s="2">
        <f>SUM(OSRRefT22_4x_0)</f>
        <v>14198.02</v>
      </c>
      <c r="U42" s="2"/>
      <c r="V42" s="6">
        <f t="shared" si="5"/>
        <v>0</v>
      </c>
      <c r="W42" s="2"/>
      <c r="X42" s="2">
        <f t="shared" si="6"/>
        <v>12457.39</v>
      </c>
      <c r="Y42" s="2"/>
      <c r="Z42" s="6">
        <f t="shared" si="7"/>
        <v>0.87740332806968857</v>
      </c>
    </row>
    <row r="43" spans="1:26" s="69" customFormat="1" ht="15" hidden="1" customHeight="1" outlineLevel="2" x14ac:dyDescent="0.25">
      <c r="A43" s="25"/>
      <c r="B43" s="12" t="str">
        <f>CONCATENATE("          ","6397"," - ","BOARD EXPENSES")</f>
        <v xml:space="preserve">          6397 - BOARD EXPENSES</v>
      </c>
      <c r="C43" s="12"/>
      <c r="D43" s="7">
        <v>8334.77</v>
      </c>
      <c r="E43" s="3"/>
      <c r="F43" s="8">
        <f t="shared" si="0"/>
        <v>0</v>
      </c>
      <c r="G43" s="3"/>
      <c r="H43" s="7">
        <v>1042.1099999999999</v>
      </c>
      <c r="I43" s="3"/>
      <c r="J43" s="8">
        <f t="shared" si="1"/>
        <v>0</v>
      </c>
      <c r="K43" s="3"/>
      <c r="L43" s="7">
        <f t="shared" si="2"/>
        <v>7292.6600000000008</v>
      </c>
      <c r="M43" s="3"/>
      <c r="N43" s="8">
        <f t="shared" si="3"/>
        <v>6.9979752617286097</v>
      </c>
      <c r="O43" s="12"/>
      <c r="P43" s="7">
        <v>26655.41</v>
      </c>
      <c r="Q43" s="3"/>
      <c r="R43" s="8">
        <f t="shared" si="4"/>
        <v>0</v>
      </c>
      <c r="S43" s="3"/>
      <c r="T43" s="7">
        <v>14198.02</v>
      </c>
      <c r="U43" s="3"/>
      <c r="V43" s="8">
        <f t="shared" si="5"/>
        <v>0</v>
      </c>
      <c r="W43" s="3"/>
      <c r="X43" s="7">
        <f t="shared" si="6"/>
        <v>12457.39</v>
      </c>
      <c r="Y43" s="3"/>
      <c r="Z43" s="8">
        <f t="shared" si="7"/>
        <v>0.87740332806968857</v>
      </c>
    </row>
    <row r="44" spans="1:26" s="68" customFormat="1" ht="15" customHeight="1" outlineLevel="1" collapsed="1" x14ac:dyDescent="0.25">
      <c r="A44" s="26"/>
      <c r="B44" s="14" t="str">
        <f>CONCATENATE("     ","Depreciation                                      ")</f>
        <v xml:space="preserve">     Depreciation                                      </v>
      </c>
      <c r="C44" s="14"/>
      <c r="D44" s="2">
        <f>SUM(OSRRefD22_5x_0)</f>
        <v>2455.7600000000002</v>
      </c>
      <c r="E44" s="2"/>
      <c r="F44" s="6">
        <f t="shared" si="0"/>
        <v>0</v>
      </c>
      <c r="G44" s="2"/>
      <c r="H44" s="2">
        <f>SUM(OSRRefH22_5x_0)</f>
        <v>6764.56</v>
      </c>
      <c r="I44" s="2"/>
      <c r="J44" s="6">
        <f t="shared" si="1"/>
        <v>0</v>
      </c>
      <c r="K44" s="2"/>
      <c r="L44" s="2">
        <f t="shared" si="2"/>
        <v>-4308.8</v>
      </c>
      <c r="M44" s="2"/>
      <c r="N44" s="6">
        <f t="shared" si="3"/>
        <v>-0.63696677980533845</v>
      </c>
      <c r="O44" s="14"/>
      <c r="P44" s="2">
        <f>SUM(OSRRefP22_5x_0)</f>
        <v>48356.800000000003</v>
      </c>
      <c r="Q44" s="2"/>
      <c r="R44" s="6">
        <f t="shared" si="4"/>
        <v>0</v>
      </c>
      <c r="S44" s="2"/>
      <c r="T44" s="2">
        <f>SUM(OSRRefT22_5x_0)</f>
        <v>78911.8</v>
      </c>
      <c r="U44" s="2"/>
      <c r="V44" s="6">
        <f t="shared" si="5"/>
        <v>0</v>
      </c>
      <c r="W44" s="2"/>
      <c r="X44" s="2">
        <f t="shared" si="6"/>
        <v>-30555</v>
      </c>
      <c r="Y44" s="2"/>
      <c r="Z44" s="6">
        <f t="shared" si="7"/>
        <v>-0.3872044485108691</v>
      </c>
    </row>
    <row r="45" spans="1:26" s="69" customFormat="1" ht="15" hidden="1" customHeight="1" outlineLevel="2" x14ac:dyDescent="0.25">
      <c r="A45" s="25"/>
      <c r="B45" s="12" t="str">
        <f>CONCATENATE("          ","6322"," - ","EQUIPMENT DEPRECIATION EXPENSE")</f>
        <v xml:space="preserve">          6322 - EQUIPMENT DEPRECIATION EXPENSE</v>
      </c>
      <c r="C45" s="12"/>
      <c r="D45" s="7">
        <v>2455.7600000000002</v>
      </c>
      <c r="E45" s="3"/>
      <c r="F45" s="8">
        <f t="shared" si="0"/>
        <v>0</v>
      </c>
      <c r="G45" s="3"/>
      <c r="H45" s="7">
        <v>6764.56</v>
      </c>
      <c r="I45" s="3"/>
      <c r="J45" s="8">
        <f t="shared" si="1"/>
        <v>0</v>
      </c>
      <c r="K45" s="3"/>
      <c r="L45" s="7">
        <f t="shared" si="2"/>
        <v>-4308.8</v>
      </c>
      <c r="M45" s="3"/>
      <c r="N45" s="8">
        <f t="shared" si="3"/>
        <v>-0.63696677980533845</v>
      </c>
      <c r="O45" s="12"/>
      <c r="P45" s="7">
        <v>48356.800000000003</v>
      </c>
      <c r="Q45" s="3"/>
      <c r="R45" s="8">
        <f t="shared" si="4"/>
        <v>0</v>
      </c>
      <c r="S45" s="3"/>
      <c r="T45" s="7">
        <v>78911.8</v>
      </c>
      <c r="U45" s="3"/>
      <c r="V45" s="8">
        <f t="shared" si="5"/>
        <v>0</v>
      </c>
      <c r="W45" s="3"/>
      <c r="X45" s="7">
        <f t="shared" si="6"/>
        <v>-30555</v>
      </c>
      <c r="Y45" s="3"/>
      <c r="Z45" s="8">
        <f t="shared" si="7"/>
        <v>-0.3872044485108691</v>
      </c>
    </row>
    <row r="46" spans="1:26" s="68" customFormat="1" ht="15" customHeight="1" outlineLevel="1" collapsed="1" x14ac:dyDescent="0.25">
      <c r="A46" s="26"/>
      <c r="B46" s="14" t="str">
        <f>CONCATENATE("     ","Donations                                         ")</f>
        <v xml:space="preserve">     Donations                                         </v>
      </c>
      <c r="C46" s="14"/>
      <c r="D46" s="2">
        <f>SUM(OSRRefD22_6x_0)</f>
        <v>0</v>
      </c>
      <c r="E46" s="2"/>
      <c r="F46" s="6">
        <f t="shared" si="0"/>
        <v>0</v>
      </c>
      <c r="G46" s="2"/>
      <c r="H46" s="2">
        <f>SUM(OSRRefH22_6x_0)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25300</v>
      </c>
      <c r="Q46" s="2"/>
      <c r="R46" s="6">
        <f t="shared" si="4"/>
        <v>0</v>
      </c>
      <c r="S46" s="2"/>
      <c r="T46" s="2">
        <f>SUM(OSRRefT22_6x_0)</f>
        <v>26500</v>
      </c>
      <c r="U46" s="2"/>
      <c r="V46" s="6">
        <f t="shared" si="5"/>
        <v>0</v>
      </c>
      <c r="W46" s="2"/>
      <c r="X46" s="2">
        <f t="shared" si="6"/>
        <v>-1200</v>
      </c>
      <c r="Y46" s="2"/>
      <c r="Z46" s="6">
        <f t="shared" si="7"/>
        <v>-4.5283018867924525E-2</v>
      </c>
    </row>
    <row r="47" spans="1:26" s="69" customFormat="1" ht="15" hidden="1" customHeight="1" outlineLevel="2" x14ac:dyDescent="0.25">
      <c r="A47" s="25"/>
      <c r="B47" s="12" t="str">
        <f>CONCATENATE("          ","6399"," - ","DONATION-ON CAMPUS")</f>
        <v xml:space="preserve">          6399 - DONATION-ON CAMPUS</v>
      </c>
      <c r="C47" s="12"/>
      <c r="D47" s="7"/>
      <c r="E47" s="3"/>
      <c r="F47" s="8">
        <f t="shared" si="0"/>
        <v>0</v>
      </c>
      <c r="G47" s="3"/>
      <c r="H47" s="7"/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>
        <v>25300</v>
      </c>
      <c r="Q47" s="3"/>
      <c r="R47" s="8">
        <f t="shared" si="4"/>
        <v>0</v>
      </c>
      <c r="S47" s="3"/>
      <c r="T47" s="7">
        <v>26500</v>
      </c>
      <c r="U47" s="3"/>
      <c r="V47" s="8">
        <f t="shared" si="5"/>
        <v>0</v>
      </c>
      <c r="W47" s="3"/>
      <c r="X47" s="7">
        <f t="shared" si="6"/>
        <v>-1200</v>
      </c>
      <c r="Y47" s="3"/>
      <c r="Z47" s="8">
        <f t="shared" si="7"/>
        <v>-4.5283018867924525E-2</v>
      </c>
    </row>
    <row r="48" spans="1:26" s="68" customFormat="1" ht="15" customHeight="1" outlineLevel="1" collapsed="1" x14ac:dyDescent="0.25">
      <c r="A48" s="26"/>
      <c r="B48" s="14" t="str">
        <f>CONCATENATE("     ","Employees' Appreciation                           ")</f>
        <v xml:space="preserve">     Employees' Appreciation                           </v>
      </c>
      <c r="C48" s="14"/>
      <c r="D48" s="2">
        <f>SUM(OSRRefD22_7x_0)</f>
        <v>136.71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136.71</v>
      </c>
      <c r="M48" s="2"/>
      <c r="N48" s="6">
        <f t="shared" si="3"/>
        <v>0</v>
      </c>
      <c r="O48" s="14"/>
      <c r="P48" s="2">
        <f>SUM(OSRRefP22_7x_0)</f>
        <v>895.18</v>
      </c>
      <c r="Q48" s="2"/>
      <c r="R48" s="6">
        <f t="shared" si="4"/>
        <v>0</v>
      </c>
      <c r="S48" s="2"/>
      <c r="T48" s="2">
        <f>SUM(OSRRefT22_7x_0)</f>
        <v>81.56</v>
      </c>
      <c r="U48" s="2"/>
      <c r="V48" s="6">
        <f t="shared" si="5"/>
        <v>0</v>
      </c>
      <c r="W48" s="2"/>
      <c r="X48" s="2">
        <f t="shared" si="6"/>
        <v>813.61999999999989</v>
      </c>
      <c r="Y48" s="2"/>
      <c r="Z48" s="6">
        <f t="shared" si="7"/>
        <v>9.9757233938204983</v>
      </c>
    </row>
    <row r="49" spans="1:26" s="69" customFormat="1" ht="15" hidden="1" customHeight="1" outlineLevel="2" x14ac:dyDescent="0.25">
      <c r="A49" s="25"/>
      <c r="B49" s="12" t="str">
        <f>CONCATENATE("          ","6277"," - ","EMPLOYEE APPRECIATION")</f>
        <v xml:space="preserve">          6277 - EMPLOYEE APPRECIATION</v>
      </c>
      <c r="C49" s="12"/>
      <c r="D49" s="7">
        <v>136.71</v>
      </c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136.71</v>
      </c>
      <c r="M49" s="3"/>
      <c r="N49" s="8">
        <f t="shared" si="3"/>
        <v>0</v>
      </c>
      <c r="O49" s="12"/>
      <c r="P49" s="7">
        <v>895.18</v>
      </c>
      <c r="Q49" s="3"/>
      <c r="R49" s="8">
        <f t="shared" si="4"/>
        <v>0</v>
      </c>
      <c r="S49" s="3"/>
      <c r="T49" s="7">
        <v>81.56</v>
      </c>
      <c r="U49" s="3"/>
      <c r="V49" s="8">
        <f t="shared" si="5"/>
        <v>0</v>
      </c>
      <c r="W49" s="3"/>
      <c r="X49" s="7">
        <f t="shared" si="6"/>
        <v>813.61999999999989</v>
      </c>
      <c r="Y49" s="3"/>
      <c r="Z49" s="8">
        <f t="shared" si="7"/>
        <v>9.9757233938204983</v>
      </c>
    </row>
    <row r="50" spans="1:26" s="68" customFormat="1" ht="15" customHeight="1" outlineLevel="1" collapsed="1" x14ac:dyDescent="0.25">
      <c r="A50" s="26"/>
      <c r="B50" s="14" t="str">
        <f>CONCATENATE("     ","Equipment Rental                                  ")</f>
        <v xml:space="preserve">     Equipment Rental                                  </v>
      </c>
      <c r="C50" s="14"/>
      <c r="D50" s="2">
        <f>SUM(OSRRefD22_8x_0)</f>
        <v>208.97</v>
      </c>
      <c r="E50" s="2"/>
      <c r="F50" s="6">
        <f t="shared" ref="F50:F86" si="8">IF(D$12=0,0,D50/D$12)</f>
        <v>0</v>
      </c>
      <c r="G50" s="2"/>
      <c r="H50" s="2">
        <f>SUM(OSRRefH22_8x_0)</f>
        <v>208.97</v>
      </c>
      <c r="I50" s="2"/>
      <c r="J50" s="6">
        <f t="shared" ref="J50:J86" si="9">IF(H$12=0,0,H50/H$12)</f>
        <v>0</v>
      </c>
      <c r="K50" s="2"/>
      <c r="L50" s="2">
        <f t="shared" ref="L50:L86" si="10">+D50-H50</f>
        <v>0</v>
      </c>
      <c r="M50" s="2"/>
      <c r="N50" s="6">
        <f t="shared" ref="N50:N86" si="11">IF(H50=0,0,L50/H50)</f>
        <v>0</v>
      </c>
      <c r="O50" s="14"/>
      <c r="P50" s="2">
        <f>SUM(OSRRefP22_8x_0)</f>
        <v>2298.67</v>
      </c>
      <c r="Q50" s="2"/>
      <c r="R50" s="6">
        <f t="shared" ref="R50:R86" si="12">IF(P$12=0,0,P50/P$12)</f>
        <v>0</v>
      </c>
      <c r="S50" s="2"/>
      <c r="T50" s="2">
        <f>SUM(OSRRefT22_8x_0)</f>
        <v>2389.9299999999998</v>
      </c>
      <c r="U50" s="2"/>
      <c r="V50" s="6">
        <f t="shared" ref="V50:V86" si="13">IF(T$12=0,0,T50/T$12)</f>
        <v>0</v>
      </c>
      <c r="W50" s="2"/>
      <c r="X50" s="2">
        <f t="shared" ref="X50:X86" si="14">+P50-T50</f>
        <v>-91.259999999999764</v>
      </c>
      <c r="Y50" s="2"/>
      <c r="Z50" s="6">
        <f t="shared" ref="Z50:Z86" si="15">IF(T50=0,0,X50/T50)</f>
        <v>-3.8185218813940061E-2</v>
      </c>
    </row>
    <row r="51" spans="1:26" s="69" customFormat="1" ht="15" hidden="1" customHeight="1" outlineLevel="2" x14ac:dyDescent="0.25">
      <c r="A51" s="25"/>
      <c r="B51" s="12" t="str">
        <f>CONCATENATE("          ","6351"," - ","EQUIPMENT RENTAL")</f>
        <v xml:space="preserve">          6351 - EQUIPMENT RENTAL</v>
      </c>
      <c r="C51" s="12"/>
      <c r="D51" s="7">
        <v>208.97</v>
      </c>
      <c r="E51" s="3"/>
      <c r="F51" s="8">
        <f t="shared" si="8"/>
        <v>0</v>
      </c>
      <c r="G51" s="3"/>
      <c r="H51" s="7">
        <v>208.97</v>
      </c>
      <c r="I51" s="3"/>
      <c r="J51" s="8">
        <f t="shared" si="9"/>
        <v>0</v>
      </c>
      <c r="K51" s="3"/>
      <c r="L51" s="7">
        <f t="shared" si="10"/>
        <v>0</v>
      </c>
      <c r="M51" s="3"/>
      <c r="N51" s="8">
        <f t="shared" si="11"/>
        <v>0</v>
      </c>
      <c r="O51" s="12"/>
      <c r="P51" s="7">
        <v>2298.67</v>
      </c>
      <c r="Q51" s="3"/>
      <c r="R51" s="8">
        <f t="shared" si="12"/>
        <v>0</v>
      </c>
      <c r="S51" s="3"/>
      <c r="T51" s="7">
        <v>2389.9299999999998</v>
      </c>
      <c r="U51" s="3"/>
      <c r="V51" s="8">
        <f t="shared" si="13"/>
        <v>0</v>
      </c>
      <c r="W51" s="3"/>
      <c r="X51" s="7">
        <f t="shared" si="14"/>
        <v>-91.259999999999764</v>
      </c>
      <c r="Y51" s="3"/>
      <c r="Z51" s="8">
        <f t="shared" si="15"/>
        <v>-3.8185218813940061E-2</v>
      </c>
    </row>
    <row r="52" spans="1:26" s="68" customFormat="1" ht="15" customHeight="1" outlineLevel="1" collapsed="1" x14ac:dyDescent="0.25">
      <c r="A52" s="26"/>
      <c r="B52" s="14" t="str">
        <f>CONCATENATE("     ","Freight out/Postage                               ")</f>
        <v xml:space="preserve">     Freight out/Postage                               </v>
      </c>
      <c r="C52" s="14"/>
      <c r="D52" s="2">
        <f>SUM(OSRRefD22_9x_0)</f>
        <v>118.73</v>
      </c>
      <c r="E52" s="2"/>
      <c r="F52" s="6">
        <f t="shared" si="8"/>
        <v>0</v>
      </c>
      <c r="G52" s="2"/>
      <c r="H52" s="2">
        <f>SUM(OSRRefH22_9x_0)</f>
        <v>90.85</v>
      </c>
      <c r="I52" s="2"/>
      <c r="J52" s="6">
        <f t="shared" si="9"/>
        <v>0</v>
      </c>
      <c r="K52" s="2"/>
      <c r="L52" s="2">
        <f t="shared" si="10"/>
        <v>27.88000000000001</v>
      </c>
      <c r="M52" s="2"/>
      <c r="N52" s="6">
        <f t="shared" si="11"/>
        <v>0.30687947165657692</v>
      </c>
      <c r="O52" s="14"/>
      <c r="P52" s="2">
        <f>SUM(OSRRefP22_9x_0)</f>
        <v>1746.24</v>
      </c>
      <c r="Q52" s="2"/>
      <c r="R52" s="6">
        <f t="shared" si="12"/>
        <v>0</v>
      </c>
      <c r="S52" s="2"/>
      <c r="T52" s="2">
        <f>SUM(OSRRefT22_9x_0)</f>
        <v>1179.7</v>
      </c>
      <c r="U52" s="2"/>
      <c r="V52" s="6">
        <f t="shared" si="13"/>
        <v>0</v>
      </c>
      <c r="W52" s="2"/>
      <c r="X52" s="2">
        <f t="shared" si="14"/>
        <v>566.54</v>
      </c>
      <c r="Y52" s="2"/>
      <c r="Z52" s="6">
        <f t="shared" si="15"/>
        <v>0.48024073917097565</v>
      </c>
    </row>
    <row r="53" spans="1:26" s="69" customFormat="1" ht="15" hidden="1" customHeight="1" outlineLevel="2" x14ac:dyDescent="0.25">
      <c r="A53" s="25"/>
      <c r="B53" s="12" t="str">
        <f>CONCATENATE("          ","6305"," - ","FREIGHT OUT")</f>
        <v xml:space="preserve">          6305 - FREIGHT OUT</v>
      </c>
      <c r="C53" s="12"/>
      <c r="D53" s="7"/>
      <c r="E53" s="3"/>
      <c r="F53" s="8">
        <f t="shared" si="8"/>
        <v>0</v>
      </c>
      <c r="G53" s="3"/>
      <c r="H53" s="7"/>
      <c r="I53" s="3"/>
      <c r="J53" s="8">
        <f t="shared" si="9"/>
        <v>0</v>
      </c>
      <c r="K53" s="3"/>
      <c r="L53" s="7">
        <f t="shared" si="10"/>
        <v>0</v>
      </c>
      <c r="M53" s="3"/>
      <c r="N53" s="8">
        <f t="shared" si="11"/>
        <v>0</v>
      </c>
      <c r="O53" s="12"/>
      <c r="P53" s="7"/>
      <c r="Q53" s="3"/>
      <c r="R53" s="8">
        <f t="shared" si="12"/>
        <v>0</v>
      </c>
      <c r="S53" s="3"/>
      <c r="T53" s="7">
        <v>5.41</v>
      </c>
      <c r="U53" s="3"/>
      <c r="V53" s="8">
        <f t="shared" si="13"/>
        <v>0</v>
      </c>
      <c r="W53" s="3"/>
      <c r="X53" s="7">
        <f t="shared" si="14"/>
        <v>-5.41</v>
      </c>
      <c r="Y53" s="3"/>
      <c r="Z53" s="8">
        <f t="shared" si="15"/>
        <v>-1</v>
      </c>
    </row>
    <row r="54" spans="1:26" s="69" customFormat="1" ht="15" hidden="1" customHeight="1" outlineLevel="2" x14ac:dyDescent="0.25">
      <c r="A54" s="25"/>
      <c r="B54" s="12" t="str">
        <f>CONCATENATE("          ","6307"," - ","POSTAGE")</f>
        <v xml:space="preserve">          6307 - POSTAGE</v>
      </c>
      <c r="C54" s="12"/>
      <c r="D54" s="7">
        <v>118.73</v>
      </c>
      <c r="E54" s="3"/>
      <c r="F54" s="8">
        <f t="shared" si="8"/>
        <v>0</v>
      </c>
      <c r="G54" s="3"/>
      <c r="H54" s="7">
        <v>90.85</v>
      </c>
      <c r="I54" s="3"/>
      <c r="J54" s="8">
        <f t="shared" si="9"/>
        <v>0</v>
      </c>
      <c r="K54" s="3"/>
      <c r="L54" s="7">
        <f t="shared" si="10"/>
        <v>27.88000000000001</v>
      </c>
      <c r="M54" s="3"/>
      <c r="N54" s="8">
        <f t="shared" si="11"/>
        <v>0.30687947165657692</v>
      </c>
      <c r="O54" s="12"/>
      <c r="P54" s="7">
        <v>1746.24</v>
      </c>
      <c r="Q54" s="3"/>
      <c r="R54" s="8">
        <f t="shared" si="12"/>
        <v>0</v>
      </c>
      <c r="S54" s="3"/>
      <c r="T54" s="7">
        <v>1174.29</v>
      </c>
      <c r="U54" s="3"/>
      <c r="V54" s="8">
        <f t="shared" si="13"/>
        <v>0</v>
      </c>
      <c r="W54" s="3"/>
      <c r="X54" s="7">
        <f t="shared" si="14"/>
        <v>571.95000000000005</v>
      </c>
      <c r="Y54" s="3"/>
      <c r="Z54" s="8">
        <f t="shared" si="15"/>
        <v>0.48706026620340809</v>
      </c>
    </row>
    <row r="55" spans="1:26" s="68" customFormat="1" ht="15" customHeight="1" outlineLevel="1" collapsed="1" x14ac:dyDescent="0.25">
      <c r="A55" s="26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SUM(OSRRefD22_10x_0)</f>
        <v>51.36</v>
      </c>
      <c r="E55" s="2"/>
      <c r="F55" s="6">
        <f t="shared" si="8"/>
        <v>0</v>
      </c>
      <c r="G55" s="2"/>
      <c r="H55" s="2">
        <f>SUM(OSRRefH22_10x_0)</f>
        <v>337</v>
      </c>
      <c r="I55" s="2"/>
      <c r="J55" s="6">
        <f t="shared" si="9"/>
        <v>0</v>
      </c>
      <c r="K55" s="2"/>
      <c r="L55" s="2">
        <f t="shared" si="10"/>
        <v>-285.64</v>
      </c>
      <c r="M55" s="2"/>
      <c r="N55" s="6">
        <f t="shared" si="11"/>
        <v>-0.8475964391691394</v>
      </c>
      <c r="O55" s="14"/>
      <c r="P55" s="2">
        <f>SUM(OSRRefP22_10x_0)</f>
        <v>1333.39</v>
      </c>
      <c r="Q55" s="2"/>
      <c r="R55" s="6">
        <f t="shared" si="12"/>
        <v>0</v>
      </c>
      <c r="S55" s="2"/>
      <c r="T55" s="2">
        <f>SUM(OSRRefT22_10x_0)</f>
        <v>379.34</v>
      </c>
      <c r="U55" s="2"/>
      <c r="V55" s="6">
        <f t="shared" si="13"/>
        <v>0</v>
      </c>
      <c r="W55" s="2"/>
      <c r="X55" s="2">
        <f t="shared" si="14"/>
        <v>954.05000000000018</v>
      </c>
      <c r="Y55" s="2"/>
      <c r="Z55" s="6">
        <f t="shared" si="15"/>
        <v>2.5150260979596148</v>
      </c>
    </row>
    <row r="56" spans="1:26" s="69" customFormat="1" ht="15" hidden="1" customHeight="1" outlineLevel="2" x14ac:dyDescent="0.25">
      <c r="A56" s="25"/>
      <c r="B56" s="12" t="str">
        <f>CONCATENATE("          ","6279"," - ","GENERAL EXPENSE")</f>
        <v xml:space="preserve">          6279 - GENERAL EXPENSE</v>
      </c>
      <c r="C56" s="12"/>
      <c r="D56" s="7">
        <v>51.36</v>
      </c>
      <c r="E56" s="3"/>
      <c r="F56" s="8">
        <f t="shared" si="8"/>
        <v>0</v>
      </c>
      <c r="G56" s="3"/>
      <c r="H56" s="7">
        <v>337</v>
      </c>
      <c r="I56" s="3"/>
      <c r="J56" s="8">
        <f t="shared" si="9"/>
        <v>0</v>
      </c>
      <c r="K56" s="3"/>
      <c r="L56" s="7">
        <f t="shared" si="10"/>
        <v>-285.64</v>
      </c>
      <c r="M56" s="3"/>
      <c r="N56" s="8">
        <f t="shared" si="11"/>
        <v>-0.8475964391691394</v>
      </c>
      <c r="O56" s="12"/>
      <c r="P56" s="7">
        <v>1333.39</v>
      </c>
      <c r="Q56" s="3"/>
      <c r="R56" s="8">
        <f t="shared" si="12"/>
        <v>0</v>
      </c>
      <c r="S56" s="3"/>
      <c r="T56" s="7">
        <v>379.34</v>
      </c>
      <c r="U56" s="3"/>
      <c r="V56" s="8">
        <f t="shared" si="13"/>
        <v>0</v>
      </c>
      <c r="W56" s="3"/>
      <c r="X56" s="7">
        <f t="shared" si="14"/>
        <v>954.05000000000018</v>
      </c>
      <c r="Y56" s="3"/>
      <c r="Z56" s="8">
        <f t="shared" si="15"/>
        <v>2.5150260979596148</v>
      </c>
    </row>
    <row r="57" spans="1:26" s="68" customFormat="1" ht="15" customHeight="1" outlineLevel="1" collapsed="1" x14ac:dyDescent="0.25">
      <c r="A57" s="26"/>
      <c r="B57" s="14" t="str">
        <f>CONCATENATE("     ","Insurance                                         ")</f>
        <v xml:space="preserve">     Insurance                                         </v>
      </c>
      <c r="C57" s="14"/>
      <c r="D57" s="2">
        <f>SUM(OSRRefD22_11x_0)</f>
        <v>535.05999999999995</v>
      </c>
      <c r="E57" s="2"/>
      <c r="F57" s="6">
        <f t="shared" si="8"/>
        <v>0</v>
      </c>
      <c r="G57" s="2"/>
      <c r="H57" s="2">
        <f>SUM(OSRRefH22_11x_0)</f>
        <v>393.67</v>
      </c>
      <c r="I57" s="2"/>
      <c r="J57" s="6">
        <f t="shared" si="9"/>
        <v>0</v>
      </c>
      <c r="K57" s="2"/>
      <c r="L57" s="2">
        <f t="shared" si="10"/>
        <v>141.38999999999993</v>
      </c>
      <c r="M57" s="2"/>
      <c r="N57" s="6">
        <f t="shared" si="11"/>
        <v>0.35915868620926139</v>
      </c>
      <c r="O57" s="14"/>
      <c r="P57" s="2">
        <f>SUM(OSRRefP22_11x_0)</f>
        <v>5885.66</v>
      </c>
      <c r="Q57" s="2"/>
      <c r="R57" s="6">
        <f t="shared" si="12"/>
        <v>0</v>
      </c>
      <c r="S57" s="2"/>
      <c r="T57" s="2">
        <f>SUM(OSRRefT22_11x_0)</f>
        <v>4330.37</v>
      </c>
      <c r="U57" s="2"/>
      <c r="V57" s="6">
        <f t="shared" si="13"/>
        <v>0</v>
      </c>
      <c r="W57" s="2"/>
      <c r="X57" s="2">
        <f t="shared" si="14"/>
        <v>1555.29</v>
      </c>
      <c r="Y57" s="2"/>
      <c r="Z57" s="6">
        <f t="shared" si="15"/>
        <v>0.35915868620926156</v>
      </c>
    </row>
    <row r="58" spans="1:26" s="69" customFormat="1" ht="15" hidden="1" customHeight="1" outlineLevel="2" x14ac:dyDescent="0.25">
      <c r="A58" s="25"/>
      <c r="B58" s="12" t="str">
        <f>CONCATENATE("          ","6314"," - ","LIABILITY INSURANCE")</f>
        <v xml:space="preserve">          6314 - LIABILITY INSURANCE</v>
      </c>
      <c r="C58" s="12"/>
      <c r="D58" s="7">
        <v>535.05999999999995</v>
      </c>
      <c r="E58" s="3"/>
      <c r="F58" s="8">
        <f t="shared" si="8"/>
        <v>0</v>
      </c>
      <c r="G58" s="3"/>
      <c r="H58" s="7">
        <v>393.67</v>
      </c>
      <c r="I58" s="3"/>
      <c r="J58" s="8">
        <f t="shared" si="9"/>
        <v>0</v>
      </c>
      <c r="K58" s="3"/>
      <c r="L58" s="7">
        <f t="shared" si="10"/>
        <v>141.38999999999993</v>
      </c>
      <c r="M58" s="3"/>
      <c r="N58" s="8">
        <f t="shared" si="11"/>
        <v>0.35915868620926139</v>
      </c>
      <c r="O58" s="12"/>
      <c r="P58" s="7">
        <v>5885.66</v>
      </c>
      <c r="Q58" s="3"/>
      <c r="R58" s="8">
        <f t="shared" si="12"/>
        <v>0</v>
      </c>
      <c r="S58" s="3"/>
      <c r="T58" s="7">
        <v>4330.37</v>
      </c>
      <c r="U58" s="3"/>
      <c r="V58" s="8">
        <f t="shared" si="13"/>
        <v>0</v>
      </c>
      <c r="W58" s="3"/>
      <c r="X58" s="7">
        <f t="shared" si="14"/>
        <v>1555.29</v>
      </c>
      <c r="Y58" s="3"/>
      <c r="Z58" s="8">
        <f t="shared" si="15"/>
        <v>0.35915868620926156</v>
      </c>
    </row>
    <row r="59" spans="1:26" s="68" customFormat="1" ht="15" customHeight="1" outlineLevel="1" collapsed="1" x14ac:dyDescent="0.25">
      <c r="A59" s="26"/>
      <c r="B59" s="14" t="str">
        <f>CONCATENATE("     ","Professional Services                             ")</f>
        <v xml:space="preserve">     Professional Services                             </v>
      </c>
      <c r="C59" s="14"/>
      <c r="D59" s="2">
        <f>SUM(OSRRefD22_12x_0)</f>
        <v>8406.75</v>
      </c>
      <c r="E59" s="2"/>
      <c r="F59" s="6">
        <f t="shared" si="8"/>
        <v>0</v>
      </c>
      <c r="G59" s="2"/>
      <c r="H59" s="2">
        <f>SUM(OSRRefH22_12x_0)</f>
        <v>0</v>
      </c>
      <c r="I59" s="2"/>
      <c r="J59" s="6">
        <f t="shared" si="9"/>
        <v>0</v>
      </c>
      <c r="K59" s="2"/>
      <c r="L59" s="2">
        <f t="shared" si="10"/>
        <v>8406.75</v>
      </c>
      <c r="M59" s="2"/>
      <c r="N59" s="6">
        <f t="shared" si="11"/>
        <v>0</v>
      </c>
      <c r="O59" s="14"/>
      <c r="P59" s="2">
        <f>SUM(OSRRefP22_12x_0)</f>
        <v>118345.64</v>
      </c>
      <c r="Q59" s="2"/>
      <c r="R59" s="6">
        <f t="shared" si="12"/>
        <v>0</v>
      </c>
      <c r="S59" s="2"/>
      <c r="T59" s="2">
        <f>SUM(OSRRefT22_12x_0)</f>
        <v>107422.12000000001</v>
      </c>
      <c r="U59" s="2"/>
      <c r="V59" s="6">
        <f t="shared" si="13"/>
        <v>0</v>
      </c>
      <c r="W59" s="2"/>
      <c r="X59" s="2">
        <f t="shared" si="14"/>
        <v>10923.51999999999</v>
      </c>
      <c r="Y59" s="2"/>
      <c r="Z59" s="6">
        <f t="shared" si="15"/>
        <v>0.10168780880511377</v>
      </c>
    </row>
    <row r="60" spans="1:26" s="69" customFormat="1" ht="15" hidden="1" customHeight="1" outlineLevel="2" x14ac:dyDescent="0.25">
      <c r="A60" s="25"/>
      <c r="B60" s="12" t="str">
        <f>CONCATENATE("          ","6331"," - ","INDIRECT COSTS-AUXILIARY ORGAN")</f>
        <v xml:space="preserve">          6331 - INDIRECT COSTS-AUXILIARY ORGAN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89851</v>
      </c>
      <c r="Q60" s="3"/>
      <c r="R60" s="8">
        <f t="shared" si="12"/>
        <v>0</v>
      </c>
      <c r="S60" s="3"/>
      <c r="T60" s="7">
        <v>92418</v>
      </c>
      <c r="U60" s="3"/>
      <c r="V60" s="8">
        <f t="shared" si="13"/>
        <v>0</v>
      </c>
      <c r="W60" s="3"/>
      <c r="X60" s="7">
        <f t="shared" si="14"/>
        <v>-2567</v>
      </c>
      <c r="Y60" s="3"/>
      <c r="Z60" s="8">
        <f t="shared" si="15"/>
        <v>-2.7775974377285809E-2</v>
      </c>
    </row>
    <row r="61" spans="1:26" s="69" customFormat="1" ht="15" hidden="1" customHeight="1" outlineLevel="2" x14ac:dyDescent="0.25">
      <c r="A61" s="25"/>
      <c r="B61" s="12" t="str">
        <f>CONCATENATE("          ","6334"," - ","LEGAL COUNCIL EXPENSE")</f>
        <v xml:space="preserve">          6334 - LEGAL COUNCIL EXPENSE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3455</v>
      </c>
      <c r="Q61" s="3"/>
      <c r="R61" s="8">
        <f t="shared" si="12"/>
        <v>0</v>
      </c>
      <c r="S61" s="3"/>
      <c r="T61" s="7">
        <v>6979.24</v>
      </c>
      <c r="U61" s="3"/>
      <c r="V61" s="8">
        <f t="shared" si="13"/>
        <v>0</v>
      </c>
      <c r="W61" s="3"/>
      <c r="X61" s="7">
        <f t="shared" si="14"/>
        <v>-3524.24</v>
      </c>
      <c r="Y61" s="3"/>
      <c r="Z61" s="8">
        <f t="shared" si="15"/>
        <v>-0.5049604254904545</v>
      </c>
    </row>
    <row r="62" spans="1:26" s="69" customFormat="1" ht="15" hidden="1" customHeight="1" outlineLevel="2" x14ac:dyDescent="0.25">
      <c r="A62" s="25"/>
      <c r="B62" s="12" t="str">
        <f>CONCATENATE("          ","6336"," - ","PROFESSIONAL SERVICES")</f>
        <v xml:space="preserve">          6336 - PROFESSIONAL SERVICES</v>
      </c>
      <c r="C62" s="12"/>
      <c r="D62" s="7">
        <v>8406.75</v>
      </c>
      <c r="E62" s="3"/>
      <c r="F62" s="8">
        <f t="shared" si="8"/>
        <v>0</v>
      </c>
      <c r="G62" s="3"/>
      <c r="H62" s="7"/>
      <c r="I62" s="3"/>
      <c r="J62" s="8">
        <f t="shared" si="9"/>
        <v>0</v>
      </c>
      <c r="K62" s="3"/>
      <c r="L62" s="7">
        <f t="shared" si="10"/>
        <v>8406.75</v>
      </c>
      <c r="M62" s="3"/>
      <c r="N62" s="8">
        <f t="shared" si="11"/>
        <v>0</v>
      </c>
      <c r="O62" s="12"/>
      <c r="P62" s="7">
        <v>25039.64</v>
      </c>
      <c r="Q62" s="3"/>
      <c r="R62" s="8">
        <f t="shared" si="12"/>
        <v>0</v>
      </c>
      <c r="S62" s="3"/>
      <c r="T62" s="7">
        <v>8024.88</v>
      </c>
      <c r="U62" s="3"/>
      <c r="V62" s="8">
        <f t="shared" si="13"/>
        <v>0</v>
      </c>
      <c r="W62" s="3"/>
      <c r="X62" s="7">
        <f t="shared" si="14"/>
        <v>17014.759999999998</v>
      </c>
      <c r="Y62" s="3"/>
      <c r="Z62" s="8">
        <f t="shared" si="15"/>
        <v>2.120251019329884</v>
      </c>
    </row>
    <row r="63" spans="1:26" s="68" customFormat="1" ht="15" customHeight="1" outlineLevel="1" collapsed="1" x14ac:dyDescent="0.25">
      <c r="A63" s="26"/>
      <c r="B63" s="14" t="str">
        <f>CONCATENATE("     ","Repair and Maintenance                            ")</f>
        <v xml:space="preserve">     Repair and Maintenance                            </v>
      </c>
      <c r="C63" s="14"/>
      <c r="D63" s="2">
        <f>SUM(OSRRefD22_13x_0)</f>
        <v>27449.97</v>
      </c>
      <c r="E63" s="2"/>
      <c r="F63" s="6">
        <f t="shared" si="8"/>
        <v>0</v>
      </c>
      <c r="G63" s="2"/>
      <c r="H63" s="2">
        <f>SUM(OSRRefH22_13x_0)</f>
        <v>20988.28</v>
      </c>
      <c r="I63" s="2"/>
      <c r="J63" s="6">
        <f t="shared" si="9"/>
        <v>0</v>
      </c>
      <c r="K63" s="2"/>
      <c r="L63" s="2">
        <f t="shared" si="10"/>
        <v>6461.6900000000023</v>
      </c>
      <c r="M63" s="2"/>
      <c r="N63" s="6">
        <f t="shared" si="11"/>
        <v>0.30787134534130489</v>
      </c>
      <c r="O63" s="14"/>
      <c r="P63" s="2">
        <f>SUM(OSRRefP22_13x_0)</f>
        <v>268163.81</v>
      </c>
      <c r="Q63" s="2"/>
      <c r="R63" s="6">
        <f t="shared" si="12"/>
        <v>0</v>
      </c>
      <c r="S63" s="2"/>
      <c r="T63" s="2">
        <f>SUM(OSRRefT22_13x_0)</f>
        <v>265313.91999999998</v>
      </c>
      <c r="U63" s="2"/>
      <c r="V63" s="6">
        <f t="shared" si="13"/>
        <v>0</v>
      </c>
      <c r="W63" s="2"/>
      <c r="X63" s="2">
        <f t="shared" si="14"/>
        <v>2849.890000000014</v>
      </c>
      <c r="Y63" s="2"/>
      <c r="Z63" s="6">
        <f t="shared" si="15"/>
        <v>1.0741577373701365E-2</v>
      </c>
    </row>
    <row r="64" spans="1:26" s="69" customFormat="1" ht="15" hidden="1" customHeight="1" outlineLevel="2" x14ac:dyDescent="0.25">
      <c r="A64" s="25"/>
      <c r="B64" s="12" t="str">
        <f>CONCATENATE("          ","6371"," - ","COMPUTER SOFTWARE MAINTENANCE")</f>
        <v xml:space="preserve">          6371 - COMPUTER SOFTWARE MAINTENANCE</v>
      </c>
      <c r="C64" s="12"/>
      <c r="D64" s="7">
        <v>13805.4</v>
      </c>
      <c r="E64" s="3"/>
      <c r="F64" s="8">
        <f t="shared" si="8"/>
        <v>0</v>
      </c>
      <c r="G64" s="3"/>
      <c r="H64" s="7">
        <v>5652.02</v>
      </c>
      <c r="I64" s="3"/>
      <c r="J64" s="8">
        <f t="shared" si="9"/>
        <v>0</v>
      </c>
      <c r="K64" s="3"/>
      <c r="L64" s="7">
        <f t="shared" si="10"/>
        <v>8153.3799999999992</v>
      </c>
      <c r="M64" s="3"/>
      <c r="N64" s="8">
        <f t="shared" si="11"/>
        <v>1.4425603589513127</v>
      </c>
      <c r="O64" s="12"/>
      <c r="P64" s="7">
        <v>119267.9</v>
      </c>
      <c r="Q64" s="3"/>
      <c r="R64" s="8">
        <f t="shared" si="12"/>
        <v>0</v>
      </c>
      <c r="S64" s="3"/>
      <c r="T64" s="7">
        <v>92818.74</v>
      </c>
      <c r="U64" s="3"/>
      <c r="V64" s="8">
        <f t="shared" si="13"/>
        <v>0</v>
      </c>
      <c r="W64" s="3"/>
      <c r="X64" s="7">
        <f t="shared" si="14"/>
        <v>26449.159999999989</v>
      </c>
      <c r="Y64" s="3"/>
      <c r="Z64" s="8">
        <f t="shared" si="15"/>
        <v>0.28495495629438611</v>
      </c>
    </row>
    <row r="65" spans="1:26" s="69" customFormat="1" ht="15" hidden="1" customHeight="1" outlineLevel="2" x14ac:dyDescent="0.25">
      <c r="A65" s="25"/>
      <c r="B65" s="12" t="str">
        <f>CONCATENATE("          ","6372"," - ","COMPUTER HARDWARE MAINTENANCE")</f>
        <v xml:space="preserve">          6372 - COMPUTER HARDWARE MAINTENANCE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4760.47</v>
      </c>
      <c r="Q65" s="3"/>
      <c r="R65" s="8">
        <f t="shared" si="12"/>
        <v>0</v>
      </c>
      <c r="S65" s="3"/>
      <c r="T65" s="7"/>
      <c r="U65" s="3"/>
      <c r="V65" s="8">
        <f t="shared" si="13"/>
        <v>0</v>
      </c>
      <c r="W65" s="3"/>
      <c r="X65" s="7">
        <f t="shared" si="14"/>
        <v>4760.47</v>
      </c>
      <c r="Y65" s="3"/>
      <c r="Z65" s="8">
        <f t="shared" si="15"/>
        <v>0</v>
      </c>
    </row>
    <row r="66" spans="1:26" s="69" customFormat="1" ht="15" hidden="1" customHeight="1" outlineLevel="2" x14ac:dyDescent="0.25">
      <c r="A66" s="25"/>
      <c r="B66" s="12" t="str">
        <f>CONCATENATE("          ","6373"," - ","MAINTENANCE CONTRACTS")</f>
        <v xml:space="preserve">          6373 - MAINTENANCE CONTRACTS</v>
      </c>
      <c r="C66" s="12"/>
      <c r="D66" s="7">
        <v>13554.57</v>
      </c>
      <c r="E66" s="3"/>
      <c r="F66" s="8">
        <f t="shared" si="8"/>
        <v>0</v>
      </c>
      <c r="G66" s="3"/>
      <c r="H66" s="7">
        <v>15336.26</v>
      </c>
      <c r="I66" s="3"/>
      <c r="J66" s="8">
        <f t="shared" si="9"/>
        <v>0</v>
      </c>
      <c r="K66" s="3"/>
      <c r="L66" s="7">
        <f t="shared" si="10"/>
        <v>-1781.6900000000005</v>
      </c>
      <c r="M66" s="3"/>
      <c r="N66" s="8">
        <f t="shared" si="11"/>
        <v>-0.11617499964137283</v>
      </c>
      <c r="O66" s="12"/>
      <c r="P66" s="7">
        <v>142190.75</v>
      </c>
      <c r="Q66" s="3"/>
      <c r="R66" s="8">
        <f t="shared" si="12"/>
        <v>0</v>
      </c>
      <c r="S66" s="3"/>
      <c r="T66" s="7">
        <v>170147.75</v>
      </c>
      <c r="U66" s="3"/>
      <c r="V66" s="8">
        <f t="shared" si="13"/>
        <v>0</v>
      </c>
      <c r="W66" s="3"/>
      <c r="X66" s="7">
        <f t="shared" si="14"/>
        <v>-27957</v>
      </c>
      <c r="Y66" s="3"/>
      <c r="Z66" s="8">
        <f t="shared" si="15"/>
        <v>-0.16431013633738911</v>
      </c>
    </row>
    <row r="67" spans="1:26" s="69" customFormat="1" ht="15" hidden="1" customHeight="1" outlineLevel="2" x14ac:dyDescent="0.25">
      <c r="A67" s="25"/>
      <c r="B67" s="12" t="str">
        <f>CONCATENATE("          ","6375"," - ","OUTSIDE REPAIRS &amp; MAINTENANCE")</f>
        <v xml:space="preserve">          6375 - OUTSIDE REPAIRS &amp; MAINTENANCE</v>
      </c>
      <c r="C67" s="12"/>
      <c r="D67" s="7">
        <v>90</v>
      </c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90</v>
      </c>
      <c r="M67" s="3"/>
      <c r="N67" s="8">
        <f t="shared" si="11"/>
        <v>0</v>
      </c>
      <c r="O67" s="12"/>
      <c r="P67" s="7">
        <v>1944.69</v>
      </c>
      <c r="Q67" s="3"/>
      <c r="R67" s="8">
        <f t="shared" si="12"/>
        <v>0</v>
      </c>
      <c r="S67" s="3"/>
      <c r="T67" s="7">
        <v>2347.4299999999998</v>
      </c>
      <c r="U67" s="3"/>
      <c r="V67" s="8">
        <f t="shared" si="13"/>
        <v>0</v>
      </c>
      <c r="W67" s="3"/>
      <c r="X67" s="7">
        <f t="shared" si="14"/>
        <v>-402.73999999999978</v>
      </c>
      <c r="Y67" s="3"/>
      <c r="Z67" s="8">
        <f t="shared" si="15"/>
        <v>-0.17156635128630027</v>
      </c>
    </row>
    <row r="68" spans="1:26" s="68" customFormat="1" ht="15" customHeight="1" outlineLevel="1" collapsed="1" x14ac:dyDescent="0.25">
      <c r="A68" s="26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SUM(OSRRefD22_14x_0)</f>
        <v>961.14</v>
      </c>
      <c r="E68" s="2"/>
      <c r="F68" s="6">
        <f t="shared" si="8"/>
        <v>0</v>
      </c>
      <c r="G68" s="2"/>
      <c r="H68" s="2">
        <f>SUM(OSRRefH22_14x_0)</f>
        <v>621.34</v>
      </c>
      <c r="I68" s="2"/>
      <c r="J68" s="6">
        <f t="shared" si="9"/>
        <v>0</v>
      </c>
      <c r="K68" s="2"/>
      <c r="L68" s="2">
        <f t="shared" si="10"/>
        <v>339.79999999999995</v>
      </c>
      <c r="M68" s="2"/>
      <c r="N68" s="6">
        <f t="shared" si="11"/>
        <v>0.54688254417871041</v>
      </c>
      <c r="O68" s="14"/>
      <c r="P68" s="2">
        <f>SUM(OSRRefP22_14x_0)</f>
        <v>9065.82</v>
      </c>
      <c r="Q68" s="2"/>
      <c r="R68" s="6">
        <f t="shared" si="12"/>
        <v>0</v>
      </c>
      <c r="S68" s="2"/>
      <c r="T68" s="2">
        <f>SUM(OSRRefT22_14x_0)</f>
        <v>6201.68</v>
      </c>
      <c r="U68" s="2"/>
      <c r="V68" s="6">
        <f t="shared" si="13"/>
        <v>0</v>
      </c>
      <c r="W68" s="2"/>
      <c r="X68" s="2">
        <f t="shared" si="14"/>
        <v>2864.1399999999994</v>
      </c>
      <c r="Y68" s="2"/>
      <c r="Z68" s="6">
        <f t="shared" si="15"/>
        <v>0.46183292269191561</v>
      </c>
    </row>
    <row r="69" spans="1:26" s="69" customFormat="1" ht="15" hidden="1" customHeight="1" outlineLevel="2" x14ac:dyDescent="0.25">
      <c r="A69" s="25"/>
      <c r="B69" s="12" t="str">
        <f>CONCATENATE("          ","6281"," - ","STORAGE FEE")</f>
        <v xml:space="preserve">          6281 - STORAGE FEE</v>
      </c>
      <c r="C69" s="12"/>
      <c r="D69" s="7">
        <v>961.14</v>
      </c>
      <c r="E69" s="3"/>
      <c r="F69" s="8">
        <f t="shared" si="8"/>
        <v>0</v>
      </c>
      <c r="G69" s="3"/>
      <c r="H69" s="7">
        <v>621.34</v>
      </c>
      <c r="I69" s="3"/>
      <c r="J69" s="8">
        <f t="shared" si="9"/>
        <v>0</v>
      </c>
      <c r="K69" s="3"/>
      <c r="L69" s="7">
        <f t="shared" si="10"/>
        <v>339.79999999999995</v>
      </c>
      <c r="M69" s="3"/>
      <c r="N69" s="8">
        <f t="shared" si="11"/>
        <v>0.54688254417871041</v>
      </c>
      <c r="O69" s="12"/>
      <c r="P69" s="7">
        <v>9065.82</v>
      </c>
      <c r="Q69" s="3"/>
      <c r="R69" s="8">
        <f t="shared" si="12"/>
        <v>0</v>
      </c>
      <c r="S69" s="3"/>
      <c r="T69" s="7">
        <v>6201.68</v>
      </c>
      <c r="U69" s="3"/>
      <c r="V69" s="8">
        <f t="shared" si="13"/>
        <v>0</v>
      </c>
      <c r="W69" s="3"/>
      <c r="X69" s="7">
        <f t="shared" si="14"/>
        <v>2864.1399999999994</v>
      </c>
      <c r="Y69" s="3"/>
      <c r="Z69" s="8">
        <f t="shared" si="15"/>
        <v>0.46183292269191561</v>
      </c>
    </row>
    <row r="70" spans="1:26" s="68" customFormat="1" ht="15" customHeight="1" outlineLevel="1" collapsed="1" x14ac:dyDescent="0.25">
      <c r="A70" s="26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SUM(OSRRefD22_15x_0)</f>
        <v>0</v>
      </c>
      <c r="E70" s="2"/>
      <c r="F70" s="6">
        <f t="shared" si="8"/>
        <v>0</v>
      </c>
      <c r="G70" s="2"/>
      <c r="H70" s="2">
        <f>SUM(OSRRefH22_15x_0)</f>
        <v>2400</v>
      </c>
      <c r="I70" s="2"/>
      <c r="J70" s="6">
        <f t="shared" si="9"/>
        <v>0</v>
      </c>
      <c r="K70" s="2"/>
      <c r="L70" s="2">
        <f t="shared" si="10"/>
        <v>-2400</v>
      </c>
      <c r="M70" s="2"/>
      <c r="N70" s="6">
        <f t="shared" si="11"/>
        <v>-1</v>
      </c>
      <c r="O70" s="14"/>
      <c r="P70" s="2">
        <f>SUM(OSRRefP22_15x_0)</f>
        <v>8352.9</v>
      </c>
      <c r="Q70" s="2"/>
      <c r="R70" s="6">
        <f t="shared" si="12"/>
        <v>0</v>
      </c>
      <c r="S70" s="2"/>
      <c r="T70" s="2">
        <f>SUM(OSRRefT22_15x_0)</f>
        <v>10122.99</v>
      </c>
      <c r="U70" s="2"/>
      <c r="V70" s="6">
        <f t="shared" si="13"/>
        <v>0</v>
      </c>
      <c r="W70" s="2"/>
      <c r="X70" s="2">
        <f t="shared" si="14"/>
        <v>-1770.0900000000001</v>
      </c>
      <c r="Y70" s="2"/>
      <c r="Z70" s="6">
        <f t="shared" si="15"/>
        <v>-0.17485841633746552</v>
      </c>
    </row>
    <row r="71" spans="1:26" s="69" customFormat="1" ht="15" hidden="1" customHeight="1" outlineLevel="2" x14ac:dyDescent="0.25">
      <c r="A71" s="25"/>
      <c r="B71" s="12" t="str">
        <f>CONCATENATE("          ","6258"," - ","MEMBERSHIP DUES")</f>
        <v xml:space="preserve">          6258 - MEMBERSHIP DUES</v>
      </c>
      <c r="C71" s="12"/>
      <c r="D71" s="7"/>
      <c r="E71" s="3"/>
      <c r="F71" s="8">
        <f t="shared" si="8"/>
        <v>0</v>
      </c>
      <c r="G71" s="3"/>
      <c r="H71" s="7">
        <v>2400</v>
      </c>
      <c r="I71" s="3"/>
      <c r="J71" s="8">
        <f t="shared" si="9"/>
        <v>0</v>
      </c>
      <c r="K71" s="3"/>
      <c r="L71" s="7">
        <f t="shared" si="10"/>
        <v>-2400</v>
      </c>
      <c r="M71" s="3"/>
      <c r="N71" s="8">
        <f t="shared" si="11"/>
        <v>-1</v>
      </c>
      <c r="O71" s="12"/>
      <c r="P71" s="7">
        <v>7074</v>
      </c>
      <c r="Q71" s="3"/>
      <c r="R71" s="8">
        <f t="shared" si="12"/>
        <v>0</v>
      </c>
      <c r="S71" s="3"/>
      <c r="T71" s="7">
        <v>10122.99</v>
      </c>
      <c r="U71" s="3"/>
      <c r="V71" s="8">
        <f t="shared" si="13"/>
        <v>0</v>
      </c>
      <c r="W71" s="3"/>
      <c r="X71" s="7">
        <f t="shared" si="14"/>
        <v>-3048.99</v>
      </c>
      <c r="Y71" s="3"/>
      <c r="Z71" s="8">
        <f t="shared" si="15"/>
        <v>-0.30119460752208588</v>
      </c>
    </row>
    <row r="72" spans="1:26" s="69" customFormat="1" ht="15" hidden="1" customHeight="1" outlineLevel="2" x14ac:dyDescent="0.25">
      <c r="A72" s="25"/>
      <c r="B72" s="12" t="str">
        <f>CONCATENATE("          ","6275"," - ","SUBSCRIPTIONS")</f>
        <v xml:space="preserve">          6275 - SUBSCRIPTIONS</v>
      </c>
      <c r="C72" s="12"/>
      <c r="D72" s="7"/>
      <c r="E72" s="3"/>
      <c r="F72" s="8">
        <f t="shared" si="8"/>
        <v>0</v>
      </c>
      <c r="G72" s="3"/>
      <c r="H72" s="7"/>
      <c r="I72" s="3"/>
      <c r="J72" s="8">
        <f t="shared" si="9"/>
        <v>0</v>
      </c>
      <c r="K72" s="3"/>
      <c r="L72" s="7">
        <f t="shared" si="10"/>
        <v>0</v>
      </c>
      <c r="M72" s="3"/>
      <c r="N72" s="8">
        <f t="shared" si="11"/>
        <v>0</v>
      </c>
      <c r="O72" s="12"/>
      <c r="P72" s="7">
        <v>1278.9000000000001</v>
      </c>
      <c r="Q72" s="3"/>
      <c r="R72" s="8">
        <f t="shared" si="12"/>
        <v>0</v>
      </c>
      <c r="S72" s="3"/>
      <c r="T72" s="7"/>
      <c r="U72" s="3"/>
      <c r="V72" s="8">
        <f t="shared" si="13"/>
        <v>0</v>
      </c>
      <c r="W72" s="3"/>
      <c r="X72" s="7">
        <f t="shared" si="14"/>
        <v>1278.9000000000001</v>
      </c>
      <c r="Y72" s="3"/>
      <c r="Z72" s="8">
        <f t="shared" si="15"/>
        <v>0</v>
      </c>
    </row>
    <row r="73" spans="1:26" s="68" customFormat="1" ht="15" customHeight="1" outlineLevel="1" collapsed="1" x14ac:dyDescent="0.25">
      <c r="A73" s="26"/>
      <c r="B73" s="14" t="str">
        <f>CONCATENATE("     ","Supplies                                          ")</f>
        <v xml:space="preserve">     Supplies                                          </v>
      </c>
      <c r="C73" s="14"/>
      <c r="D73" s="2">
        <f>SUM(OSRRefD22_16x_0)</f>
        <v>771.82</v>
      </c>
      <c r="E73" s="2"/>
      <c r="F73" s="6">
        <f t="shared" si="8"/>
        <v>0</v>
      </c>
      <c r="G73" s="2"/>
      <c r="H73" s="2">
        <f>SUM(OSRRefH22_16x_0)</f>
        <v>5333.96</v>
      </c>
      <c r="I73" s="2"/>
      <c r="J73" s="6">
        <f t="shared" si="9"/>
        <v>0</v>
      </c>
      <c r="K73" s="2"/>
      <c r="L73" s="2">
        <f t="shared" si="10"/>
        <v>-4562.1400000000003</v>
      </c>
      <c r="M73" s="2"/>
      <c r="N73" s="6">
        <f t="shared" si="11"/>
        <v>-0.85530075216162105</v>
      </c>
      <c r="O73" s="14"/>
      <c r="P73" s="2">
        <f>SUM(OSRRefP22_16x_0)</f>
        <v>45884.619999999995</v>
      </c>
      <c r="Q73" s="2"/>
      <c r="R73" s="6">
        <f t="shared" si="12"/>
        <v>0</v>
      </c>
      <c r="S73" s="2"/>
      <c r="T73" s="2">
        <f>SUM(OSRRefT22_16x_0)</f>
        <v>8940.2599999999984</v>
      </c>
      <c r="U73" s="2"/>
      <c r="V73" s="6">
        <f t="shared" si="13"/>
        <v>0</v>
      </c>
      <c r="W73" s="2"/>
      <c r="X73" s="2">
        <f t="shared" si="14"/>
        <v>36944.36</v>
      </c>
      <c r="Y73" s="2"/>
      <c r="Z73" s="6">
        <f t="shared" si="15"/>
        <v>4.1323585667530933</v>
      </c>
    </row>
    <row r="74" spans="1:26" s="69" customFormat="1" ht="15" hidden="1" customHeight="1" outlineLevel="2" x14ac:dyDescent="0.25">
      <c r="A74" s="25"/>
      <c r="B74" s="12" t="str">
        <f>CONCATENATE("          ","6234"," - ","EXPENDABLE SUPPLIES &amp; EQUIPMEN")</f>
        <v xml:space="preserve">          6234 - EXPENDABLE SUPPLIES &amp; EQUIPMEN</v>
      </c>
      <c r="C74" s="12"/>
      <c r="D74" s="7">
        <v>171.99</v>
      </c>
      <c r="E74" s="3"/>
      <c r="F74" s="8">
        <f t="shared" si="8"/>
        <v>0</v>
      </c>
      <c r="G74" s="3"/>
      <c r="H74" s="7"/>
      <c r="I74" s="3"/>
      <c r="J74" s="8">
        <f t="shared" si="9"/>
        <v>0</v>
      </c>
      <c r="K74" s="3"/>
      <c r="L74" s="7">
        <f t="shared" si="10"/>
        <v>171.99</v>
      </c>
      <c r="M74" s="3"/>
      <c r="N74" s="8">
        <f t="shared" si="11"/>
        <v>0</v>
      </c>
      <c r="O74" s="12"/>
      <c r="P74" s="7">
        <v>2895.51</v>
      </c>
      <c r="Q74" s="3"/>
      <c r="R74" s="8">
        <f t="shared" si="12"/>
        <v>0</v>
      </c>
      <c r="S74" s="3"/>
      <c r="T74" s="7"/>
      <c r="U74" s="3"/>
      <c r="V74" s="8">
        <f t="shared" si="13"/>
        <v>0</v>
      </c>
      <c r="W74" s="3"/>
      <c r="X74" s="7">
        <f t="shared" si="14"/>
        <v>2895.51</v>
      </c>
      <c r="Y74" s="3"/>
      <c r="Z74" s="8">
        <f t="shared" si="15"/>
        <v>0</v>
      </c>
    </row>
    <row r="75" spans="1:26" s="69" customFormat="1" ht="15" hidden="1" customHeight="1" outlineLevel="2" x14ac:dyDescent="0.25">
      <c r="A75" s="25"/>
      <c r="B75" s="12" t="str">
        <f>CONCATENATE("          ","6235"," - ","COVID-19 EXPENSES")</f>
        <v xml:space="preserve">          6235 - COVID-19 EXPENSES</v>
      </c>
      <c r="C75" s="12"/>
      <c r="D75" s="7"/>
      <c r="E75" s="3"/>
      <c r="F75" s="8">
        <f t="shared" si="8"/>
        <v>0</v>
      </c>
      <c r="G75" s="3"/>
      <c r="H75" s="7"/>
      <c r="I75" s="3"/>
      <c r="J75" s="8">
        <f t="shared" si="9"/>
        <v>0</v>
      </c>
      <c r="K75" s="3"/>
      <c r="L75" s="7">
        <f t="shared" si="10"/>
        <v>0</v>
      </c>
      <c r="M75" s="3"/>
      <c r="N75" s="8">
        <f t="shared" si="11"/>
        <v>0</v>
      </c>
      <c r="O75" s="12"/>
      <c r="P75" s="7">
        <v>2636.13</v>
      </c>
      <c r="Q75" s="3"/>
      <c r="R75" s="8">
        <f t="shared" si="12"/>
        <v>0</v>
      </c>
      <c r="S75" s="3"/>
      <c r="T75" s="7">
        <v>810.3</v>
      </c>
      <c r="U75" s="3"/>
      <c r="V75" s="8">
        <f t="shared" si="13"/>
        <v>0</v>
      </c>
      <c r="W75" s="3"/>
      <c r="X75" s="7">
        <f t="shared" si="14"/>
        <v>1825.8300000000002</v>
      </c>
      <c r="Y75" s="3"/>
      <c r="Z75" s="8">
        <f t="shared" si="15"/>
        <v>2.2532765642354686</v>
      </c>
    </row>
    <row r="76" spans="1:26" s="69" customFormat="1" ht="15" hidden="1" customHeight="1" outlineLevel="2" x14ac:dyDescent="0.25">
      <c r="A76" s="25"/>
      <c r="B76" s="12" t="str">
        <f>CONCATENATE("          ","6241"," - ","OFFICE EXPENSE")</f>
        <v xml:space="preserve">          6241 - OFFICE EXPENSE</v>
      </c>
      <c r="C76" s="12"/>
      <c r="D76" s="7">
        <v>507.47</v>
      </c>
      <c r="E76" s="3"/>
      <c r="F76" s="8">
        <f t="shared" si="8"/>
        <v>0</v>
      </c>
      <c r="G76" s="3"/>
      <c r="H76" s="7">
        <v>5333.96</v>
      </c>
      <c r="I76" s="3"/>
      <c r="J76" s="8">
        <f t="shared" si="9"/>
        <v>0</v>
      </c>
      <c r="K76" s="3"/>
      <c r="L76" s="7">
        <f t="shared" si="10"/>
        <v>-4826.49</v>
      </c>
      <c r="M76" s="3"/>
      <c r="N76" s="8">
        <f t="shared" si="11"/>
        <v>-0.90486055388491848</v>
      </c>
      <c r="O76" s="12"/>
      <c r="P76" s="7">
        <v>27253.19</v>
      </c>
      <c r="Q76" s="3"/>
      <c r="R76" s="8">
        <f t="shared" si="12"/>
        <v>0</v>
      </c>
      <c r="S76" s="3"/>
      <c r="T76" s="7">
        <v>7907.25</v>
      </c>
      <c r="U76" s="3"/>
      <c r="V76" s="8">
        <f t="shared" si="13"/>
        <v>0</v>
      </c>
      <c r="W76" s="3"/>
      <c r="X76" s="7">
        <f t="shared" si="14"/>
        <v>19345.939999999999</v>
      </c>
      <c r="Y76" s="3"/>
      <c r="Z76" s="8">
        <f t="shared" si="15"/>
        <v>2.4466078598754306</v>
      </c>
    </row>
    <row r="77" spans="1:26" s="69" customFormat="1" ht="15" hidden="1" customHeight="1" outlineLevel="2" x14ac:dyDescent="0.25">
      <c r="A77" s="25"/>
      <c r="B77" s="12" t="str">
        <f>CONCATENATE("          ","6244"," - ","SAFETY SUPPLY EXPENSE")</f>
        <v xml:space="preserve">          6244 - SAFETY SUPPLY EXPENSE</v>
      </c>
      <c r="C77" s="12"/>
      <c r="D77" s="7">
        <v>92.36</v>
      </c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92.36</v>
      </c>
      <c r="M77" s="3"/>
      <c r="N77" s="8">
        <f t="shared" si="11"/>
        <v>0</v>
      </c>
      <c r="O77" s="12"/>
      <c r="P77" s="7">
        <v>1253.6300000000001</v>
      </c>
      <c r="Q77" s="3"/>
      <c r="R77" s="8">
        <f t="shared" si="12"/>
        <v>0</v>
      </c>
      <c r="S77" s="3"/>
      <c r="T77" s="7">
        <v>222.71</v>
      </c>
      <c r="U77" s="3"/>
      <c r="V77" s="8">
        <f t="shared" si="13"/>
        <v>0</v>
      </c>
      <c r="W77" s="3"/>
      <c r="X77" s="7">
        <f t="shared" si="14"/>
        <v>1030.92</v>
      </c>
      <c r="Y77" s="3"/>
      <c r="Z77" s="8">
        <f t="shared" si="15"/>
        <v>4.6289793902384266</v>
      </c>
    </row>
    <row r="78" spans="1:26" s="69" customFormat="1" ht="15" hidden="1" customHeight="1" outlineLevel="2" x14ac:dyDescent="0.25">
      <c r="A78" s="25"/>
      <c r="B78" s="12" t="str">
        <f>CONCATENATE("          ","6248"," - ","UNIFORMS")</f>
        <v xml:space="preserve">          6248 - UNIFORMS</v>
      </c>
      <c r="C78" s="12"/>
      <c r="D78" s="7"/>
      <c r="E78" s="3"/>
      <c r="F78" s="8">
        <f t="shared" si="8"/>
        <v>0</v>
      </c>
      <c r="G78" s="3"/>
      <c r="H78" s="7"/>
      <c r="I78" s="3"/>
      <c r="J78" s="8">
        <f t="shared" si="9"/>
        <v>0</v>
      </c>
      <c r="K78" s="3"/>
      <c r="L78" s="7">
        <f t="shared" si="10"/>
        <v>0</v>
      </c>
      <c r="M78" s="3"/>
      <c r="N78" s="8">
        <f t="shared" si="11"/>
        <v>0</v>
      </c>
      <c r="O78" s="12"/>
      <c r="P78" s="7">
        <v>11846.16</v>
      </c>
      <c r="Q78" s="3"/>
      <c r="R78" s="8">
        <f t="shared" si="12"/>
        <v>0</v>
      </c>
      <c r="S78" s="3"/>
      <c r="T78" s="7"/>
      <c r="U78" s="3"/>
      <c r="V78" s="8">
        <f t="shared" si="13"/>
        <v>0</v>
      </c>
      <c r="W78" s="3"/>
      <c r="X78" s="7">
        <f t="shared" si="14"/>
        <v>11846.16</v>
      </c>
      <c r="Y78" s="3"/>
      <c r="Z78" s="8">
        <f t="shared" si="15"/>
        <v>0</v>
      </c>
    </row>
    <row r="79" spans="1:26" s="68" customFormat="1" ht="15" customHeight="1" outlineLevel="1" collapsed="1" x14ac:dyDescent="0.25">
      <c r="A79" s="26"/>
      <c r="B79" s="14" t="str">
        <f>CONCATENATE("     ","Telephone/Data Lines                              ")</f>
        <v xml:space="preserve">     Telephone/Data Lines                              </v>
      </c>
      <c r="C79" s="14"/>
      <c r="D79" s="2">
        <f>SUM(OSRRefD22_17x_0)</f>
        <v>2325.11</v>
      </c>
      <c r="E79" s="2"/>
      <c r="F79" s="6">
        <f t="shared" si="8"/>
        <v>0</v>
      </c>
      <c r="G79" s="2"/>
      <c r="H79" s="2">
        <f>SUM(OSRRefH22_17x_0)</f>
        <v>1893.49</v>
      </c>
      <c r="I79" s="2"/>
      <c r="J79" s="6">
        <f t="shared" si="9"/>
        <v>0</v>
      </c>
      <c r="K79" s="2"/>
      <c r="L79" s="2">
        <f t="shared" si="10"/>
        <v>431.62000000000012</v>
      </c>
      <c r="M79" s="2"/>
      <c r="N79" s="6">
        <f t="shared" si="11"/>
        <v>0.22794944784498472</v>
      </c>
      <c r="O79" s="14"/>
      <c r="P79" s="2">
        <f>SUM(OSRRefP22_17x_0)</f>
        <v>26269.83</v>
      </c>
      <c r="Q79" s="2"/>
      <c r="R79" s="6">
        <f t="shared" si="12"/>
        <v>0</v>
      </c>
      <c r="S79" s="2"/>
      <c r="T79" s="2">
        <f>SUM(OSRRefT22_17x_0)</f>
        <v>22182.560000000001</v>
      </c>
      <c r="U79" s="2"/>
      <c r="V79" s="6">
        <f t="shared" si="13"/>
        <v>0</v>
      </c>
      <c r="W79" s="2"/>
      <c r="X79" s="2">
        <f t="shared" si="14"/>
        <v>4087.2700000000004</v>
      </c>
      <c r="Y79" s="2"/>
      <c r="Z79" s="6">
        <f t="shared" si="15"/>
        <v>0.18425601012687445</v>
      </c>
    </row>
    <row r="80" spans="1:26" s="69" customFormat="1" ht="15" hidden="1" customHeight="1" outlineLevel="2" x14ac:dyDescent="0.25">
      <c r="A80" s="25"/>
      <c r="B80" s="12" t="str">
        <f>CONCATENATE("          ","6303"," - ","DATA PHONE LINES")</f>
        <v xml:space="preserve">          6303 - DATA PHONE LINES</v>
      </c>
      <c r="C80" s="12"/>
      <c r="D80" s="7">
        <v>176.98</v>
      </c>
      <c r="E80" s="3"/>
      <c r="F80" s="8">
        <f t="shared" si="8"/>
        <v>0</v>
      </c>
      <c r="G80" s="3"/>
      <c r="H80" s="7">
        <v>81.99</v>
      </c>
      <c r="I80" s="3"/>
      <c r="J80" s="8">
        <f t="shared" si="9"/>
        <v>0</v>
      </c>
      <c r="K80" s="3"/>
      <c r="L80" s="7">
        <f t="shared" si="10"/>
        <v>94.99</v>
      </c>
      <c r="M80" s="3"/>
      <c r="N80" s="8">
        <f t="shared" si="11"/>
        <v>1.1585559214538359</v>
      </c>
      <c r="O80" s="12"/>
      <c r="P80" s="7">
        <v>1867.77</v>
      </c>
      <c r="Q80" s="3"/>
      <c r="R80" s="8">
        <f t="shared" si="12"/>
        <v>0</v>
      </c>
      <c r="S80" s="3"/>
      <c r="T80" s="7">
        <v>1485.81</v>
      </c>
      <c r="U80" s="3"/>
      <c r="V80" s="8">
        <f t="shared" si="13"/>
        <v>0</v>
      </c>
      <c r="W80" s="3"/>
      <c r="X80" s="7">
        <f t="shared" si="14"/>
        <v>381.96000000000004</v>
      </c>
      <c r="Y80" s="3"/>
      <c r="Z80" s="8">
        <f t="shared" si="15"/>
        <v>0.25707190017566178</v>
      </c>
    </row>
    <row r="81" spans="1:26" s="69" customFormat="1" ht="15" hidden="1" customHeight="1" outlineLevel="2" x14ac:dyDescent="0.25">
      <c r="A81" s="25"/>
      <c r="B81" s="12" t="str">
        <f>CONCATENATE("          ","6309"," - ","TELEPHONE")</f>
        <v xml:space="preserve">          6309 - TELEPHONE</v>
      </c>
      <c r="C81" s="12"/>
      <c r="D81" s="7">
        <v>2148.13</v>
      </c>
      <c r="E81" s="3"/>
      <c r="F81" s="8">
        <f t="shared" si="8"/>
        <v>0</v>
      </c>
      <c r="G81" s="3"/>
      <c r="H81" s="7">
        <v>1811.5</v>
      </c>
      <c r="I81" s="3"/>
      <c r="J81" s="8">
        <f t="shared" si="9"/>
        <v>0</v>
      </c>
      <c r="K81" s="3"/>
      <c r="L81" s="7">
        <f t="shared" si="10"/>
        <v>336.63000000000011</v>
      </c>
      <c r="M81" s="3"/>
      <c r="N81" s="8">
        <f t="shared" si="11"/>
        <v>0.18582942313000281</v>
      </c>
      <c r="O81" s="12"/>
      <c r="P81" s="7">
        <v>24402.06</v>
      </c>
      <c r="Q81" s="3"/>
      <c r="R81" s="8">
        <f t="shared" si="12"/>
        <v>0</v>
      </c>
      <c r="S81" s="3"/>
      <c r="T81" s="7">
        <v>20696.75</v>
      </c>
      <c r="U81" s="3"/>
      <c r="V81" s="8">
        <f t="shared" si="13"/>
        <v>0</v>
      </c>
      <c r="W81" s="3"/>
      <c r="X81" s="7">
        <f t="shared" si="14"/>
        <v>3705.3100000000013</v>
      </c>
      <c r="Y81" s="3"/>
      <c r="Z81" s="8">
        <f t="shared" si="15"/>
        <v>0.17902859144551686</v>
      </c>
    </row>
    <row r="82" spans="1:26" s="68" customFormat="1" ht="15" customHeight="1" outlineLevel="1" collapsed="1" x14ac:dyDescent="0.25">
      <c r="A82" s="26"/>
      <c r="B82" s="14" t="str">
        <f>CONCATENATE("     ","Training                                          ")</f>
        <v xml:space="preserve">     Training                                          </v>
      </c>
      <c r="C82" s="14"/>
      <c r="D82" s="2">
        <f>SUM(OSRRefD22_18x_0)</f>
        <v>239.99</v>
      </c>
      <c r="E82" s="2"/>
      <c r="F82" s="6">
        <f t="shared" si="8"/>
        <v>0</v>
      </c>
      <c r="G82" s="2"/>
      <c r="H82" s="2">
        <f>SUM(OSRRefH22_18x_0)</f>
        <v>0</v>
      </c>
      <c r="I82" s="2"/>
      <c r="J82" s="6">
        <f t="shared" si="9"/>
        <v>0</v>
      </c>
      <c r="K82" s="2"/>
      <c r="L82" s="2">
        <f t="shared" si="10"/>
        <v>239.99</v>
      </c>
      <c r="M82" s="2"/>
      <c r="N82" s="6">
        <f t="shared" si="11"/>
        <v>0</v>
      </c>
      <c r="O82" s="14"/>
      <c r="P82" s="2">
        <f>SUM(OSRRefP22_18x_0)</f>
        <v>1807.99</v>
      </c>
      <c r="Q82" s="2"/>
      <c r="R82" s="6">
        <f t="shared" si="12"/>
        <v>0</v>
      </c>
      <c r="S82" s="2"/>
      <c r="T82" s="2">
        <f>SUM(OSRRefT22_18x_0)</f>
        <v>5225.5</v>
      </c>
      <c r="U82" s="2"/>
      <c r="V82" s="6">
        <f t="shared" si="13"/>
        <v>0</v>
      </c>
      <c r="W82" s="2"/>
      <c r="X82" s="2">
        <f t="shared" si="14"/>
        <v>-3417.51</v>
      </c>
      <c r="Y82" s="2"/>
      <c r="Z82" s="6">
        <f t="shared" si="15"/>
        <v>-0.65400631518514973</v>
      </c>
    </row>
    <row r="83" spans="1:26" s="69" customFormat="1" ht="15" hidden="1" customHeight="1" outlineLevel="2" x14ac:dyDescent="0.25">
      <c r="A83" s="25"/>
      <c r="B83" s="12" t="str">
        <f>CONCATENATE("          ","6376"," - ","TRAINING")</f>
        <v xml:space="preserve">          6376 - TRAINING</v>
      </c>
      <c r="C83" s="12"/>
      <c r="D83" s="7">
        <v>239.99</v>
      </c>
      <c r="E83" s="3"/>
      <c r="F83" s="8">
        <f t="shared" si="8"/>
        <v>0</v>
      </c>
      <c r="G83" s="3"/>
      <c r="H83" s="7"/>
      <c r="I83" s="3"/>
      <c r="J83" s="8">
        <f t="shared" si="9"/>
        <v>0</v>
      </c>
      <c r="K83" s="3"/>
      <c r="L83" s="7">
        <f t="shared" si="10"/>
        <v>239.99</v>
      </c>
      <c r="M83" s="3"/>
      <c r="N83" s="8">
        <f t="shared" si="11"/>
        <v>0</v>
      </c>
      <c r="O83" s="12"/>
      <c r="P83" s="7">
        <v>1807.99</v>
      </c>
      <c r="Q83" s="3"/>
      <c r="R83" s="8">
        <f t="shared" si="12"/>
        <v>0</v>
      </c>
      <c r="S83" s="3"/>
      <c r="T83" s="7">
        <v>5225.5</v>
      </c>
      <c r="U83" s="3"/>
      <c r="V83" s="8">
        <f t="shared" si="13"/>
        <v>0</v>
      </c>
      <c r="W83" s="3"/>
      <c r="X83" s="7">
        <f t="shared" si="14"/>
        <v>-3417.51</v>
      </c>
      <c r="Y83" s="3"/>
      <c r="Z83" s="8">
        <f t="shared" si="15"/>
        <v>-0.65400631518514973</v>
      </c>
    </row>
    <row r="84" spans="1:26" s="68" customFormat="1" ht="15" customHeight="1" outlineLevel="1" collapsed="1" x14ac:dyDescent="0.25">
      <c r="A84" s="26"/>
      <c r="B84" s="14" t="str">
        <f>CONCATENATE("     ","Travel                                            ")</f>
        <v xml:space="preserve">     Travel                                            </v>
      </c>
      <c r="C84" s="14"/>
      <c r="D84" s="2">
        <f>SUM(OSRRefD22_19x_0)</f>
        <v>0</v>
      </c>
      <c r="E84" s="2"/>
      <c r="F84" s="6">
        <f t="shared" si="8"/>
        <v>0</v>
      </c>
      <c r="G84" s="2"/>
      <c r="H84" s="2">
        <f>SUM(OSRRefH22_19x_0)</f>
        <v>0</v>
      </c>
      <c r="I84" s="2"/>
      <c r="J84" s="6">
        <f t="shared" si="9"/>
        <v>0</v>
      </c>
      <c r="K84" s="2"/>
      <c r="L84" s="2">
        <f t="shared" si="10"/>
        <v>0</v>
      </c>
      <c r="M84" s="2"/>
      <c r="N84" s="6">
        <f t="shared" si="11"/>
        <v>0</v>
      </c>
      <c r="O84" s="14"/>
      <c r="P84" s="2">
        <f>SUM(OSRRefP22_19x_0)</f>
        <v>30.4</v>
      </c>
      <c r="Q84" s="2"/>
      <c r="R84" s="6">
        <f t="shared" si="12"/>
        <v>0</v>
      </c>
      <c r="S84" s="2"/>
      <c r="T84" s="2">
        <f>SUM(OSRRefT22_19x_0)</f>
        <v>808.72</v>
      </c>
      <c r="U84" s="2"/>
      <c r="V84" s="6">
        <f t="shared" si="13"/>
        <v>0</v>
      </c>
      <c r="W84" s="2"/>
      <c r="X84" s="2">
        <f t="shared" si="14"/>
        <v>-778.32</v>
      </c>
      <c r="Y84" s="2"/>
      <c r="Z84" s="6">
        <f t="shared" si="15"/>
        <v>-0.96240973390048479</v>
      </c>
    </row>
    <row r="85" spans="1:26" s="69" customFormat="1" ht="15" hidden="1" customHeight="1" outlineLevel="2" x14ac:dyDescent="0.25">
      <c r="A85" s="25"/>
      <c r="B85" s="12" t="str">
        <f>CONCATENATE("          ","6292"," - ","TRAVEL/CONFERENCE")</f>
        <v xml:space="preserve">          6292 - TRAVEL/CONFERENCE</v>
      </c>
      <c r="C85" s="12"/>
      <c r="D85" s="7"/>
      <c r="E85" s="3"/>
      <c r="F85" s="8">
        <f t="shared" si="8"/>
        <v>0</v>
      </c>
      <c r="G85" s="3"/>
      <c r="H85" s="7"/>
      <c r="I85" s="3"/>
      <c r="J85" s="8">
        <f t="shared" si="9"/>
        <v>0</v>
      </c>
      <c r="K85" s="3"/>
      <c r="L85" s="7">
        <f t="shared" si="10"/>
        <v>0</v>
      </c>
      <c r="M85" s="3"/>
      <c r="N85" s="8">
        <f t="shared" si="11"/>
        <v>0</v>
      </c>
      <c r="O85" s="12"/>
      <c r="P85" s="7">
        <v>0</v>
      </c>
      <c r="Q85" s="3"/>
      <c r="R85" s="8">
        <f t="shared" si="12"/>
        <v>0</v>
      </c>
      <c r="S85" s="3"/>
      <c r="T85" s="7">
        <v>720</v>
      </c>
      <c r="U85" s="3"/>
      <c r="V85" s="8">
        <f t="shared" si="13"/>
        <v>0</v>
      </c>
      <c r="W85" s="3"/>
      <c r="X85" s="7">
        <f t="shared" si="14"/>
        <v>-720</v>
      </c>
      <c r="Y85" s="3"/>
      <c r="Z85" s="8">
        <f t="shared" si="15"/>
        <v>-1</v>
      </c>
    </row>
    <row r="86" spans="1:26" s="69" customFormat="1" ht="15" hidden="1" customHeight="1" outlineLevel="2" x14ac:dyDescent="0.25">
      <c r="A86" s="25"/>
      <c r="B86" s="12" t="str">
        <f>CONCATENATE("          ","6294"," - ","TRAVEL OPERATIONAL")</f>
        <v xml:space="preserve">          6294 - TRAVEL OPERATIONAL</v>
      </c>
      <c r="C86" s="12"/>
      <c r="D86" s="7"/>
      <c r="E86" s="3"/>
      <c r="F86" s="8">
        <f t="shared" si="8"/>
        <v>0</v>
      </c>
      <c r="G86" s="3"/>
      <c r="H86" s="7"/>
      <c r="I86" s="3"/>
      <c r="J86" s="8">
        <f t="shared" si="9"/>
        <v>0</v>
      </c>
      <c r="K86" s="3"/>
      <c r="L86" s="7">
        <f t="shared" si="10"/>
        <v>0</v>
      </c>
      <c r="M86" s="3"/>
      <c r="N86" s="8">
        <f t="shared" si="11"/>
        <v>0</v>
      </c>
      <c r="O86" s="12"/>
      <c r="P86" s="7">
        <v>30.4</v>
      </c>
      <c r="Q86" s="3"/>
      <c r="R86" s="8">
        <f t="shared" si="12"/>
        <v>0</v>
      </c>
      <c r="S86" s="3"/>
      <c r="T86" s="7">
        <v>88.72</v>
      </c>
      <c r="U86" s="3"/>
      <c r="V86" s="8">
        <f t="shared" si="13"/>
        <v>0</v>
      </c>
      <c r="W86" s="3"/>
      <c r="X86" s="7">
        <f t="shared" si="14"/>
        <v>-58.32</v>
      </c>
      <c r="Y86" s="3"/>
      <c r="Z86" s="8">
        <f t="shared" si="15"/>
        <v>-0.65734896302975654</v>
      </c>
    </row>
    <row r="87" spans="1:26" s="64" customFormat="1" ht="15" customHeight="1" x14ac:dyDescent="0.25">
      <c r="A87" s="36"/>
      <c r="B87" s="36"/>
      <c r="C87" s="36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2" customFormat="1" ht="15" customHeight="1" x14ac:dyDescent="0.25">
      <c r="A88" s="11"/>
      <c r="B88" s="28" t="s">
        <v>290</v>
      </c>
      <c r="C88" s="11"/>
      <c r="D88" s="5">
        <f>SUM(0)</f>
        <v>0</v>
      </c>
      <c r="E88" s="5"/>
      <c r="F88" s="13">
        <f>IF(D$12=0,0,D88/D$12)</f>
        <v>0</v>
      </c>
      <c r="G88" s="5"/>
      <c r="H88" s="5">
        <f>SUM(0)</f>
        <v>0</v>
      </c>
      <c r="I88" s="5"/>
      <c r="J88" s="13">
        <f>IF(H$12=0,0,H88/H$12)</f>
        <v>0</v>
      </c>
      <c r="K88" s="5"/>
      <c r="L88" s="5">
        <f>+D88-H88</f>
        <v>0</v>
      </c>
      <c r="M88" s="5"/>
      <c r="N88" s="13">
        <f>IF(H88=0,0,L88/H88)</f>
        <v>0</v>
      </c>
      <c r="O88" s="11"/>
      <c r="P88" s="5">
        <f>SUM(0)</f>
        <v>0</v>
      </c>
      <c r="Q88" s="5"/>
      <c r="R88" s="13">
        <f>IF(P$12=0,0,P88/P$12)</f>
        <v>0</v>
      </c>
      <c r="S88" s="5"/>
      <c r="T88" s="5">
        <f>SUM(0)</f>
        <v>0</v>
      </c>
      <c r="U88" s="5"/>
      <c r="V88" s="13">
        <f>IF(T$12=0,0,T88/T$12)</f>
        <v>0</v>
      </c>
      <c r="W88" s="5"/>
      <c r="X88" s="5">
        <f>+P88-T88</f>
        <v>0</v>
      </c>
      <c r="Y88" s="5"/>
      <c r="Z88" s="13">
        <f>IF(T88=0,0,X88/T88)</f>
        <v>0</v>
      </c>
    </row>
    <row r="89" spans="1:26" ht="15" customHeight="1" x14ac:dyDescent="0.25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25">
      <c r="A90" s="11"/>
      <c r="B90" s="27" t="s">
        <v>291</v>
      </c>
      <c r="C90" s="27"/>
      <c r="D90" s="22">
        <f>+D16-D18+D88</f>
        <v>-229106.31999999998</v>
      </c>
      <c r="E90" s="15"/>
      <c r="F90" s="23">
        <f>IF(D$12=0,0,D90/D$12)</f>
        <v>0</v>
      </c>
      <c r="G90" s="15"/>
      <c r="H90" s="22">
        <f>+H16-H18+H88</f>
        <v>-213156.25999999998</v>
      </c>
      <c r="I90" s="15"/>
      <c r="J90" s="23">
        <f>IF(H$12=0,0,H90/H$12)</f>
        <v>0</v>
      </c>
      <c r="K90" s="16"/>
      <c r="L90" s="22">
        <f>+D90-H90</f>
        <v>-15950.059999999998</v>
      </c>
      <c r="M90" s="16"/>
      <c r="N90" s="23">
        <f>IF(H90=0,0,L90/H90)</f>
        <v>7.4828015841523959E-2</v>
      </c>
      <c r="O90" s="28"/>
      <c r="P90" s="22">
        <f>+P16-P18+P88</f>
        <v>-2705465.9400000004</v>
      </c>
      <c r="Q90" s="15"/>
      <c r="R90" s="23">
        <f>IF(P$12=0,0,P90/P$12)</f>
        <v>0</v>
      </c>
      <c r="S90" s="15"/>
      <c r="T90" s="22">
        <f>+T16-T18+T88</f>
        <v>-2096793.0899999996</v>
      </c>
      <c r="U90" s="15"/>
      <c r="V90" s="23">
        <f>IF(T$12=0,0,T90/T$12)</f>
        <v>0</v>
      </c>
      <c r="W90" s="16"/>
      <c r="X90" s="22">
        <f>+P90-T90</f>
        <v>-608672.85000000079</v>
      </c>
      <c r="Y90" s="16"/>
      <c r="Z90" s="23">
        <f>IF(T90=0,0,X90/T90)</f>
        <v>0.29028751234581801</v>
      </c>
    </row>
    <row r="91" spans="1:26" ht="15" customHeight="1" x14ac:dyDescent="0.25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25">
      <c r="A92" s="48"/>
      <c r="B92" s="11" t="s">
        <v>292</v>
      </c>
      <c r="C92" s="11"/>
      <c r="D92" s="5"/>
      <c r="E92" s="5"/>
      <c r="F92" s="13">
        <f>IF(D$12=0,0,D92/D$12)</f>
        <v>0</v>
      </c>
      <c r="G92" s="5"/>
      <c r="H92" s="5"/>
      <c r="I92" s="5"/>
      <c r="J92" s="13">
        <f>IF(H$12=0,0,H92/H$12)</f>
        <v>0</v>
      </c>
      <c r="K92" s="5"/>
      <c r="L92" s="5">
        <f>+D92-H92</f>
        <v>0</v>
      </c>
      <c r="M92" s="5"/>
      <c r="N92" s="13">
        <f>IF(H92=0,0,L92/H92)</f>
        <v>0</v>
      </c>
      <c r="O92" s="11"/>
      <c r="P92" s="5"/>
      <c r="Q92" s="5"/>
      <c r="R92" s="13">
        <f>IF(P$12=0,0,P92/P$12)</f>
        <v>0</v>
      </c>
      <c r="S92" s="5"/>
      <c r="T92" s="5"/>
      <c r="U92" s="5"/>
      <c r="V92" s="13">
        <f>IF(T$12=0,0,T92/T$12)</f>
        <v>0</v>
      </c>
      <c r="W92" s="5"/>
      <c r="X92" s="5">
        <f>+P92-T92</f>
        <v>0</v>
      </c>
      <c r="Y92" s="5"/>
      <c r="Z92" s="13">
        <f>IF(T92=0,0,X92/T92)</f>
        <v>0</v>
      </c>
    </row>
    <row r="93" spans="1:26" ht="15" customHeight="1" x14ac:dyDescent="0.25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2" customFormat="1" ht="15" customHeight="1" x14ac:dyDescent="0.25">
      <c r="A94" s="11"/>
      <c r="B94" s="27" t="s">
        <v>293</v>
      </c>
      <c r="C94" s="27"/>
      <c r="D94" s="35">
        <f>+D90-D92</f>
        <v>-229106.31999999998</v>
      </c>
      <c r="E94" s="15"/>
      <c r="F94" s="30">
        <f>IF(D$12=0,0,D94/D$12)</f>
        <v>0</v>
      </c>
      <c r="G94" s="15"/>
      <c r="H94" s="35">
        <f>+H90-H92</f>
        <v>-213156.25999999998</v>
      </c>
      <c r="I94" s="15"/>
      <c r="J94" s="30">
        <f>IF(H$12=0,0,H94/H$12)</f>
        <v>0</v>
      </c>
      <c r="K94" s="16"/>
      <c r="L94" s="35">
        <f>D94-H94</f>
        <v>-15950.059999999998</v>
      </c>
      <c r="M94" s="16"/>
      <c r="N94" s="30">
        <f>IF(H94=0,0,L94/H94)</f>
        <v>7.4828015841523959E-2</v>
      </c>
      <c r="O94" s="28"/>
      <c r="P94" s="35">
        <f>+P90-P92</f>
        <v>-2705465.9400000004</v>
      </c>
      <c r="Q94" s="15"/>
      <c r="R94" s="30">
        <f>IF(P$12=0,0,P94/P$12)</f>
        <v>0</v>
      </c>
      <c r="S94" s="15"/>
      <c r="T94" s="35">
        <f>+T90-T92</f>
        <v>-2096793.0899999996</v>
      </c>
      <c r="U94" s="15"/>
      <c r="V94" s="30">
        <f>IF(T$12=0,0,T94/T$12)</f>
        <v>0</v>
      </c>
      <c r="W94" s="16"/>
      <c r="X94" s="35">
        <f>P94-T94</f>
        <v>-608672.85000000079</v>
      </c>
      <c r="Y94" s="16"/>
      <c r="Z94" s="30">
        <f>IF(T94=0,0,X94/T94)</f>
        <v>0.29028751234581801</v>
      </c>
    </row>
    <row r="95" spans="1:26" ht="15" customHeight="1" x14ac:dyDescent="0.25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25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25">
      <c r="A97" s="11"/>
      <c r="B97" s="27" t="s">
        <v>296</v>
      </c>
      <c r="C97" s="27"/>
      <c r="D97" s="32">
        <f>SUM(D94:D96)</f>
        <v>-229106.31999999998</v>
      </c>
      <c r="E97" s="15"/>
      <c r="F97" s="34">
        <f>IF(D$12=0,0,D97/D$12)</f>
        <v>0</v>
      </c>
      <c r="G97" s="15"/>
      <c r="H97" s="32">
        <f>SUM(H94:H96)</f>
        <v>-213156.25999999998</v>
      </c>
      <c r="I97" s="15"/>
      <c r="J97" s="34">
        <f>IF(H$12=0,0,H97/H$12)</f>
        <v>0</v>
      </c>
      <c r="K97" s="16"/>
      <c r="L97" s="32">
        <f>+D97-H97</f>
        <v>-15950.059999999998</v>
      </c>
      <c r="M97" s="16"/>
      <c r="N97" s="34">
        <f>IF(H97=0,0,L97/H97)</f>
        <v>7.4828015841523959E-2</v>
      </c>
      <c r="O97" s="28"/>
      <c r="P97" s="32">
        <f>SUM(P94:P96)</f>
        <v>-2705465.9400000004</v>
      </c>
      <c r="Q97" s="15"/>
      <c r="R97" s="34">
        <f>IF(P$12=0,0,P97/P$12)</f>
        <v>0</v>
      </c>
      <c r="S97" s="15"/>
      <c r="T97" s="32">
        <f>SUM(T94:T96)</f>
        <v>-2096793.0899999996</v>
      </c>
      <c r="U97" s="15"/>
      <c r="V97" s="34">
        <f>IF(T$12=0,0,T97/T$12)</f>
        <v>0</v>
      </c>
      <c r="W97" s="16"/>
      <c r="X97" s="32">
        <f>+P97-T97</f>
        <v>-608672.85000000079</v>
      </c>
      <c r="Y97" s="16"/>
      <c r="Z97" s="34">
        <f>IF(T97=0,0,X97/T97)</f>
        <v>0.29028751234581801</v>
      </c>
    </row>
    <row r="98" spans="1:26" ht="15" customHeight="1" x14ac:dyDescent="0.25">
      <c r="A98" s="10"/>
      <c r="C98" s="10"/>
      <c r="D98" s="18"/>
      <c r="E98" s="18"/>
      <c r="G98" s="18"/>
      <c r="H98" s="18"/>
      <c r="I98" s="18"/>
      <c r="J98" s="41"/>
      <c r="K98" s="18"/>
      <c r="L98" s="18"/>
      <c r="M98" s="18"/>
      <c r="P98" s="18"/>
      <c r="Q98" s="18"/>
      <c r="R98" s="41"/>
      <c r="S98" s="18"/>
      <c r="T98" s="18"/>
      <c r="U98" s="18"/>
      <c r="V98" s="41"/>
      <c r="W98" s="18"/>
      <c r="X98" s="18"/>
    </row>
    <row r="99" spans="1:26" ht="15" customHeight="1" x14ac:dyDescent="0.25">
      <c r="A99" s="10"/>
      <c r="B99" s="50">
        <v>44727.87963116898</v>
      </c>
      <c r="D99" s="18"/>
      <c r="E99" s="18"/>
      <c r="G99" s="18"/>
      <c r="H99" s="18"/>
      <c r="I99" s="18"/>
      <c r="J99" s="41"/>
      <c r="K99" s="18"/>
      <c r="L99" s="18"/>
      <c r="M99" s="18"/>
      <c r="P99" s="18"/>
      <c r="Q99" s="18"/>
      <c r="R99" s="41"/>
      <c r="S99" s="18"/>
      <c r="T99" s="18"/>
      <c r="U99" s="18"/>
      <c r="V99" s="41"/>
      <c r="W99" s="18"/>
      <c r="X99" s="18"/>
    </row>
    <row r="100" spans="1:26" ht="15" customHeight="1" x14ac:dyDescent="0.25">
      <c r="A100" s="10"/>
      <c r="B100" s="53" t="s">
        <v>297</v>
      </c>
      <c r="D100" s="18"/>
      <c r="E100" s="18"/>
      <c r="G100" s="18"/>
      <c r="H100" s="18"/>
      <c r="I100" s="18"/>
      <c r="J100" s="41"/>
      <c r="K100" s="18"/>
      <c r="L100" s="18"/>
      <c r="M100" s="18"/>
      <c r="P100" s="18"/>
      <c r="Q100" s="18"/>
      <c r="R100" s="41"/>
      <c r="S100" s="18"/>
      <c r="T100" s="18"/>
      <c r="U100" s="18"/>
      <c r="V100" s="41"/>
      <c r="W100" s="18"/>
      <c r="X100" s="18"/>
    </row>
    <row r="101" spans="1:26" ht="15" customHeight="1" x14ac:dyDescent="0.25">
      <c r="A101" s="10"/>
      <c r="B101" s="55"/>
      <c r="D101" s="18"/>
      <c r="E101" s="18"/>
      <c r="G101" s="18"/>
      <c r="H101" s="18"/>
      <c r="I101" s="18"/>
      <c r="J101" s="41"/>
      <c r="K101" s="18"/>
      <c r="L101" s="18"/>
      <c r="M101" s="18"/>
      <c r="P101" s="18"/>
      <c r="Q101" s="18"/>
      <c r="R101" s="41"/>
      <c r="S101" s="18"/>
      <c r="T101" s="18"/>
      <c r="U101" s="18"/>
      <c r="V101" s="41"/>
      <c r="W101" s="18"/>
      <c r="X101" s="18"/>
    </row>
    <row r="102" spans="1:26" ht="15" customHeight="1" x14ac:dyDescent="0.25">
      <c r="D102" s="18"/>
      <c r="E102" s="18"/>
      <c r="G102" s="18"/>
      <c r="H102" s="18"/>
      <c r="I102" s="18"/>
      <c r="J102" s="41"/>
      <c r="K102" s="18"/>
      <c r="L102" s="18"/>
      <c r="M102" s="18"/>
      <c r="P102" s="18"/>
      <c r="Q102" s="18"/>
      <c r="R102" s="41"/>
      <c r="S102" s="18"/>
      <c r="T102" s="18"/>
      <c r="U102" s="18"/>
      <c r="V102" s="41"/>
      <c r="W102" s="18"/>
      <c r="X10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6C6CD-E037-21AC-5FEC-70AB59D37AAE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","200"," - ","Corporate Expense")</f>
        <v>Department 200 - Corporate Expense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34564.18</v>
      </c>
      <c r="E18" s="21"/>
      <c r="F18" s="31">
        <f t="shared" ref="F18:F26" si="0">IF(D$12=0,0,D18/D$12)</f>
        <v>0</v>
      </c>
      <c r="G18" s="21"/>
      <c r="H18" s="21" cm="1">
        <f t="array" ref="H18">SUM(OSRRefH22x_0)</f>
        <v>29173.79</v>
      </c>
      <c r="I18" s="21"/>
      <c r="J18" s="31">
        <f t="shared" ref="J18:J26" si="1">IF(H$12=0,0,H18/H$12)</f>
        <v>0</v>
      </c>
      <c r="K18" s="5"/>
      <c r="L18" s="21">
        <f t="shared" ref="L18:L26" si="2">+D18-H18</f>
        <v>5390.3899999999994</v>
      </c>
      <c r="M18" s="5"/>
      <c r="N18" s="31">
        <f t="shared" ref="N18:N26" si="3">IF(H18=0,0,L18/H18)</f>
        <v>0.18476824574386802</v>
      </c>
      <c r="O18" s="11"/>
      <c r="P18" s="21" cm="1">
        <f t="array" ref="P18">SUM(OSRRefP22x_0)</f>
        <v>377755.78999999992</v>
      </c>
      <c r="Q18" s="21"/>
      <c r="R18" s="31">
        <f t="shared" ref="R18:R26" si="4">IF(P$12=0,0,P18/P$12)</f>
        <v>0</v>
      </c>
      <c r="S18" s="21"/>
      <c r="T18" s="21" cm="1">
        <f t="array" ref="T18">SUM(OSRRefT22x_0)</f>
        <v>-8931.7899999999936</v>
      </c>
      <c r="U18" s="21"/>
      <c r="V18" s="31">
        <f t="shared" ref="V18:V26" si="5">IF(T$12=0,0,T18/T$12)</f>
        <v>0</v>
      </c>
      <c r="W18" s="5"/>
      <c r="X18" s="21">
        <f t="shared" ref="X18:X26" si="6">+P18-T18</f>
        <v>386687.5799999999</v>
      </c>
      <c r="Y18" s="5"/>
      <c r="Z18" s="31">
        <f t="shared" ref="Z18:Z26" si="7">IF(T18=0,0,X18/T18)</f>
        <v>-43.293402554247265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25950.3</v>
      </c>
      <c r="E19" s="2"/>
      <c r="F19" s="6">
        <f t="shared" si="0"/>
        <v>0</v>
      </c>
      <c r="G19" s="2"/>
      <c r="H19" s="2">
        <f>SUM(OSRRefH22_0x_0)</f>
        <v>28124.68</v>
      </c>
      <c r="I19" s="2"/>
      <c r="J19" s="6">
        <f t="shared" si="1"/>
        <v>0</v>
      </c>
      <c r="K19" s="2"/>
      <c r="L19" s="2">
        <f t="shared" si="2"/>
        <v>-2174.380000000001</v>
      </c>
      <c r="M19" s="2"/>
      <c r="N19" s="6">
        <f t="shared" si="3"/>
        <v>-7.7312168529561978E-2</v>
      </c>
      <c r="O19" s="14"/>
      <c r="P19" s="2">
        <f>SUM(OSRRefP22_0x_0)</f>
        <v>296422.15999999997</v>
      </c>
      <c r="Q19" s="2"/>
      <c r="R19" s="6">
        <f t="shared" si="4"/>
        <v>0</v>
      </c>
      <c r="S19" s="2"/>
      <c r="T19" s="2">
        <f>SUM(OSRRefT22_0x_0)</f>
        <v>-76693.88</v>
      </c>
      <c r="U19" s="2"/>
      <c r="V19" s="6">
        <f t="shared" si="5"/>
        <v>0</v>
      </c>
      <c r="W19" s="2"/>
      <c r="X19" s="2">
        <f t="shared" si="6"/>
        <v>373116.04</v>
      </c>
      <c r="Y19" s="2"/>
      <c r="Z19" s="6">
        <f t="shared" si="7"/>
        <v>-4.8650040915911408</v>
      </c>
    </row>
    <row r="20" spans="1:26" s="69" customFormat="1" ht="15" hidden="1" customHeight="1" outlineLevel="2" x14ac:dyDescent="0.25">
      <c r="A20" s="25"/>
      <c r="B20" s="12" t="str">
        <f>CONCATENATE("          ","6120"," - ","RETIREES HEALTH INSURANCE")</f>
        <v xml:space="preserve">          6120 - RETIREES HEALTH INSURANCE</v>
      </c>
      <c r="C20" s="12"/>
      <c r="D20" s="7">
        <v>25950.3</v>
      </c>
      <c r="E20" s="3"/>
      <c r="F20" s="8">
        <f t="shared" si="0"/>
        <v>0</v>
      </c>
      <c r="G20" s="3"/>
      <c r="H20" s="7">
        <v>28124.68</v>
      </c>
      <c r="I20" s="3"/>
      <c r="J20" s="8">
        <f t="shared" si="1"/>
        <v>0</v>
      </c>
      <c r="K20" s="3"/>
      <c r="L20" s="7">
        <f t="shared" si="2"/>
        <v>-2174.380000000001</v>
      </c>
      <c r="M20" s="3"/>
      <c r="N20" s="8">
        <f t="shared" si="3"/>
        <v>-7.7312168529561978E-2</v>
      </c>
      <c r="O20" s="12"/>
      <c r="P20" s="7">
        <v>296422.15999999997</v>
      </c>
      <c r="Q20" s="3"/>
      <c r="R20" s="8">
        <f t="shared" si="4"/>
        <v>0</v>
      </c>
      <c r="S20" s="3"/>
      <c r="T20" s="7">
        <v>-76693.88</v>
      </c>
      <c r="U20" s="3"/>
      <c r="V20" s="8">
        <f t="shared" si="5"/>
        <v>0</v>
      </c>
      <c r="W20" s="3"/>
      <c r="X20" s="7">
        <f t="shared" si="6"/>
        <v>373116.04</v>
      </c>
      <c r="Y20" s="3"/>
      <c r="Z20" s="8">
        <f t="shared" si="7"/>
        <v>-4.8650040915911408</v>
      </c>
    </row>
    <row r="21" spans="1:26" s="68" customFormat="1" ht="15" customHeight="1" outlineLevel="1" collapsed="1" x14ac:dyDescent="0.25">
      <c r="A21" s="26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SUM(OSRRefD22_1x_0)</f>
        <v>279.11</v>
      </c>
      <c r="E21" s="2"/>
      <c r="F21" s="6">
        <f t="shared" si="0"/>
        <v>0</v>
      </c>
      <c r="G21" s="2"/>
      <c r="H21" s="2">
        <f>SUM(OSRRefH22_1x_0)</f>
        <v>7</v>
      </c>
      <c r="I21" s="2"/>
      <c r="J21" s="6">
        <f t="shared" si="1"/>
        <v>0</v>
      </c>
      <c r="K21" s="2"/>
      <c r="L21" s="2">
        <f t="shared" si="2"/>
        <v>272.11</v>
      </c>
      <c r="M21" s="2"/>
      <c r="N21" s="6">
        <f t="shared" si="3"/>
        <v>38.872857142857143</v>
      </c>
      <c r="O21" s="14"/>
      <c r="P21" s="2">
        <f>SUM(OSRRefP22_1x_0)</f>
        <v>13177.22</v>
      </c>
      <c r="Q21" s="2"/>
      <c r="R21" s="6">
        <f t="shared" si="4"/>
        <v>0</v>
      </c>
      <c r="S21" s="2"/>
      <c r="T21" s="2">
        <f>SUM(OSRRefT22_1x_0)</f>
        <v>6996.07</v>
      </c>
      <c r="U21" s="2"/>
      <c r="V21" s="6">
        <f t="shared" si="5"/>
        <v>0</v>
      </c>
      <c r="W21" s="2"/>
      <c r="X21" s="2">
        <f t="shared" si="6"/>
        <v>6181.15</v>
      </c>
      <c r="Y21" s="2"/>
      <c r="Z21" s="6">
        <f t="shared" si="7"/>
        <v>0.88351746051711888</v>
      </c>
    </row>
    <row r="22" spans="1:26" s="69" customFormat="1" ht="15" hidden="1" customHeight="1" outlineLevel="2" x14ac:dyDescent="0.25">
      <c r="A22" s="25"/>
      <c r="B22" s="12" t="str">
        <f>CONCATENATE("          ","6381"," - ","BANK/CREDIT CARD FEES")</f>
        <v xml:space="preserve">          6381 - BANK/CREDIT CARD FEES</v>
      </c>
      <c r="C22" s="12"/>
      <c r="D22" s="7">
        <v>279.11</v>
      </c>
      <c r="E22" s="3"/>
      <c r="F22" s="8">
        <f t="shared" si="0"/>
        <v>0</v>
      </c>
      <c r="G22" s="3"/>
      <c r="H22" s="7">
        <v>7</v>
      </c>
      <c r="I22" s="3"/>
      <c r="J22" s="8">
        <f t="shared" si="1"/>
        <v>0</v>
      </c>
      <c r="K22" s="3"/>
      <c r="L22" s="7">
        <f t="shared" si="2"/>
        <v>272.11</v>
      </c>
      <c r="M22" s="3"/>
      <c r="N22" s="8">
        <f t="shared" si="3"/>
        <v>38.872857142857143</v>
      </c>
      <c r="O22" s="12"/>
      <c r="P22" s="7">
        <v>13177.22</v>
      </c>
      <c r="Q22" s="3"/>
      <c r="R22" s="8">
        <f t="shared" si="4"/>
        <v>0</v>
      </c>
      <c r="S22" s="3"/>
      <c r="T22" s="7">
        <v>6996.07</v>
      </c>
      <c r="U22" s="3"/>
      <c r="V22" s="8">
        <f t="shared" si="5"/>
        <v>0</v>
      </c>
      <c r="W22" s="3"/>
      <c r="X22" s="7">
        <f t="shared" si="6"/>
        <v>6181.15</v>
      </c>
      <c r="Y22" s="3"/>
      <c r="Z22" s="8">
        <f t="shared" si="7"/>
        <v>0.88351746051711888</v>
      </c>
    </row>
    <row r="23" spans="1:26" s="68" customFormat="1" ht="15" customHeight="1" outlineLevel="1" collapsed="1" x14ac:dyDescent="0.25">
      <c r="A23" s="26"/>
      <c r="B23" s="14" t="str">
        <f>CONCATENATE("     ","Board                                             ")</f>
        <v xml:space="preserve">     Board                                             </v>
      </c>
      <c r="C23" s="14"/>
      <c r="D23" s="2">
        <f>SUM(OSRRefD22_2x_0)</f>
        <v>8334.77</v>
      </c>
      <c r="E23" s="2"/>
      <c r="F23" s="6">
        <f t="shared" si="0"/>
        <v>0</v>
      </c>
      <c r="G23" s="2"/>
      <c r="H23" s="2">
        <f>SUM(OSRRefH22_2x_0)</f>
        <v>1042.1099999999999</v>
      </c>
      <c r="I23" s="2"/>
      <c r="J23" s="6">
        <f t="shared" si="1"/>
        <v>0</v>
      </c>
      <c r="K23" s="2"/>
      <c r="L23" s="2">
        <f t="shared" si="2"/>
        <v>7292.6600000000008</v>
      </c>
      <c r="M23" s="2"/>
      <c r="N23" s="6">
        <f t="shared" si="3"/>
        <v>6.9979752617286097</v>
      </c>
      <c r="O23" s="14"/>
      <c r="P23" s="2">
        <f>SUM(OSRRefP22_2x_0)</f>
        <v>26655.41</v>
      </c>
      <c r="Q23" s="2"/>
      <c r="R23" s="6">
        <f t="shared" si="4"/>
        <v>0</v>
      </c>
      <c r="S23" s="2"/>
      <c r="T23" s="2">
        <f>SUM(OSRRefT22_2x_0)</f>
        <v>14198.02</v>
      </c>
      <c r="U23" s="2"/>
      <c r="V23" s="6">
        <f t="shared" si="5"/>
        <v>0</v>
      </c>
      <c r="W23" s="2"/>
      <c r="X23" s="2">
        <f t="shared" si="6"/>
        <v>12457.39</v>
      </c>
      <c r="Y23" s="2"/>
      <c r="Z23" s="6">
        <f t="shared" si="7"/>
        <v>0.87740332806968857</v>
      </c>
    </row>
    <row r="24" spans="1:26" s="69" customFormat="1" ht="15" hidden="1" customHeight="1" outlineLevel="2" x14ac:dyDescent="0.25">
      <c r="A24" s="25"/>
      <c r="B24" s="12" t="str">
        <f>CONCATENATE("          ","6397"," - ","BOARD EXPENSES")</f>
        <v xml:space="preserve">          6397 - BOARD EXPENSES</v>
      </c>
      <c r="C24" s="12"/>
      <c r="D24" s="7">
        <v>8334.77</v>
      </c>
      <c r="E24" s="3"/>
      <c r="F24" s="8">
        <f t="shared" si="0"/>
        <v>0</v>
      </c>
      <c r="G24" s="3"/>
      <c r="H24" s="7">
        <v>1042.1099999999999</v>
      </c>
      <c r="I24" s="3"/>
      <c r="J24" s="8">
        <f t="shared" si="1"/>
        <v>0</v>
      </c>
      <c r="K24" s="3"/>
      <c r="L24" s="7">
        <f t="shared" si="2"/>
        <v>7292.6600000000008</v>
      </c>
      <c r="M24" s="3"/>
      <c r="N24" s="8">
        <f t="shared" si="3"/>
        <v>6.9979752617286097</v>
      </c>
      <c r="O24" s="12"/>
      <c r="P24" s="7">
        <v>26655.41</v>
      </c>
      <c r="Q24" s="3"/>
      <c r="R24" s="8">
        <f t="shared" si="4"/>
        <v>0</v>
      </c>
      <c r="S24" s="3"/>
      <c r="T24" s="7">
        <v>14198.02</v>
      </c>
      <c r="U24" s="3"/>
      <c r="V24" s="8">
        <f t="shared" si="5"/>
        <v>0</v>
      </c>
      <c r="W24" s="3"/>
      <c r="X24" s="7">
        <f t="shared" si="6"/>
        <v>12457.39</v>
      </c>
      <c r="Y24" s="3"/>
      <c r="Z24" s="8">
        <f t="shared" si="7"/>
        <v>0.87740332806968857</v>
      </c>
    </row>
    <row r="25" spans="1:26" s="68" customFormat="1" ht="15" customHeight="1" outlineLevel="1" collapsed="1" x14ac:dyDescent="0.25">
      <c r="A25" s="26"/>
      <c r="B25" s="14" t="str">
        <f>CONCATENATE("     ","Professional Services                             ")</f>
        <v xml:space="preserve">     Professional Services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41501</v>
      </c>
      <c r="Q25" s="2"/>
      <c r="R25" s="6">
        <f t="shared" si="4"/>
        <v>0</v>
      </c>
      <c r="S25" s="2"/>
      <c r="T25" s="2">
        <f>SUM(OSRRefT22_3x_0)</f>
        <v>46568</v>
      </c>
      <c r="U25" s="2"/>
      <c r="V25" s="6">
        <f t="shared" si="5"/>
        <v>0</v>
      </c>
      <c r="W25" s="2"/>
      <c r="X25" s="2">
        <f t="shared" si="6"/>
        <v>-5067</v>
      </c>
      <c r="Y25" s="2"/>
      <c r="Z25" s="6">
        <f t="shared" si="7"/>
        <v>-0.1088086239477753</v>
      </c>
    </row>
    <row r="26" spans="1:26" s="69" customFormat="1" ht="15" hidden="1" customHeight="1" outlineLevel="2" x14ac:dyDescent="0.25">
      <c r="A26" s="25"/>
      <c r="B26" s="12" t="str">
        <f>CONCATENATE("          ","6331"," - ","INDIRECT COSTS-AUXILIARY ORGAN")</f>
        <v xml:space="preserve">          6331 - INDIRECT COSTS-AUXILIARY ORGAN</v>
      </c>
      <c r="C26" s="12"/>
      <c r="D26" s="7"/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>
        <v>41501</v>
      </c>
      <c r="Q26" s="3"/>
      <c r="R26" s="8">
        <f t="shared" si="4"/>
        <v>0</v>
      </c>
      <c r="S26" s="3"/>
      <c r="T26" s="7">
        <v>46568</v>
      </c>
      <c r="U26" s="3"/>
      <c r="V26" s="8">
        <f t="shared" si="5"/>
        <v>0</v>
      </c>
      <c r="W26" s="3"/>
      <c r="X26" s="7">
        <f t="shared" si="6"/>
        <v>-5067</v>
      </c>
      <c r="Y26" s="3"/>
      <c r="Z26" s="8">
        <f t="shared" si="7"/>
        <v>-0.1088086239477753</v>
      </c>
    </row>
    <row r="27" spans="1:26" s="64" customFormat="1" ht="15" customHeight="1" x14ac:dyDescent="0.25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25">
      <c r="A28" s="11"/>
      <c r="B28" s="28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25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25">
      <c r="A30" s="11"/>
      <c r="B30" s="27" t="s">
        <v>291</v>
      </c>
      <c r="C30" s="27"/>
      <c r="D30" s="22">
        <f>+D16-D18+D28</f>
        <v>-34564.18</v>
      </c>
      <c r="E30" s="15"/>
      <c r="F30" s="23">
        <f>IF(D$12=0,0,D30/D$12)</f>
        <v>0</v>
      </c>
      <c r="G30" s="15"/>
      <c r="H30" s="22">
        <f>+H16-H18+H28</f>
        <v>-29173.79</v>
      </c>
      <c r="I30" s="15"/>
      <c r="J30" s="23">
        <f>IF(H$12=0,0,H30/H$12)</f>
        <v>0</v>
      </c>
      <c r="K30" s="16"/>
      <c r="L30" s="22">
        <f>+D30-H30</f>
        <v>-5390.3899999999994</v>
      </c>
      <c r="M30" s="16"/>
      <c r="N30" s="23">
        <f>IF(H30=0,0,L30/H30)</f>
        <v>0.18476824574386802</v>
      </c>
      <c r="O30" s="28"/>
      <c r="P30" s="22">
        <f>+P16-P18+P28</f>
        <v>-377755.78999999992</v>
      </c>
      <c r="Q30" s="15"/>
      <c r="R30" s="23">
        <f>IF(P$12=0,0,P30/P$12)</f>
        <v>0</v>
      </c>
      <c r="S30" s="15"/>
      <c r="T30" s="22">
        <f>+T16-T18+T28</f>
        <v>8931.7899999999936</v>
      </c>
      <c r="U30" s="15"/>
      <c r="V30" s="23">
        <f>IF(T$12=0,0,T30/T$12)</f>
        <v>0</v>
      </c>
      <c r="W30" s="16"/>
      <c r="X30" s="22">
        <f>+P30-T30</f>
        <v>-386687.5799999999</v>
      </c>
      <c r="Y30" s="16"/>
      <c r="Z30" s="23">
        <f>IF(T30=0,0,X30/T30)</f>
        <v>-43.293402554247265</v>
      </c>
    </row>
    <row r="31" spans="1:26" ht="15" customHeight="1" x14ac:dyDescent="0.25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25">
      <c r="A32" s="48"/>
      <c r="B32" s="11" t="s">
        <v>292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25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25">
      <c r="A34" s="11"/>
      <c r="B34" s="27" t="s">
        <v>293</v>
      </c>
      <c r="C34" s="27"/>
      <c r="D34" s="35">
        <f>+D30-D32</f>
        <v>-34564.18</v>
      </c>
      <c r="E34" s="15"/>
      <c r="F34" s="30">
        <f>IF(D$12=0,0,D34/D$12)</f>
        <v>0</v>
      </c>
      <c r="G34" s="15"/>
      <c r="H34" s="35">
        <f>+H30-H32</f>
        <v>-29173.79</v>
      </c>
      <c r="I34" s="15"/>
      <c r="J34" s="30">
        <f>IF(H$12=0,0,H34/H$12)</f>
        <v>0</v>
      </c>
      <c r="K34" s="16"/>
      <c r="L34" s="35">
        <f>D34-H34</f>
        <v>-5390.3899999999994</v>
      </c>
      <c r="M34" s="16"/>
      <c r="N34" s="30">
        <f>IF(H34=0,0,L34/H34)</f>
        <v>0.18476824574386802</v>
      </c>
      <c r="O34" s="28"/>
      <c r="P34" s="35">
        <f>+P30-P32</f>
        <v>-377755.78999999992</v>
      </c>
      <c r="Q34" s="15"/>
      <c r="R34" s="30">
        <f>IF(P$12=0,0,P34/P$12)</f>
        <v>0</v>
      </c>
      <c r="S34" s="15"/>
      <c r="T34" s="35">
        <f>+T30-T32</f>
        <v>8931.7899999999936</v>
      </c>
      <c r="U34" s="15"/>
      <c r="V34" s="30">
        <f>IF(T$12=0,0,T34/T$12)</f>
        <v>0</v>
      </c>
      <c r="W34" s="16"/>
      <c r="X34" s="35">
        <f>P34-T34</f>
        <v>-386687.5799999999</v>
      </c>
      <c r="Y34" s="16"/>
      <c r="Z34" s="30">
        <f>IF(T34=0,0,X34/T34)</f>
        <v>-43.293402554247265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25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25">
      <c r="A37" s="11"/>
      <c r="B37" s="27" t="s">
        <v>296</v>
      </c>
      <c r="C37" s="27"/>
      <c r="D37" s="32">
        <f>SUM(D34:D36)</f>
        <v>-34564.18</v>
      </c>
      <c r="E37" s="15"/>
      <c r="F37" s="34">
        <f>IF(D$12=0,0,D37/D$12)</f>
        <v>0</v>
      </c>
      <c r="G37" s="15"/>
      <c r="H37" s="32">
        <f>SUM(H34:H36)</f>
        <v>-29173.79</v>
      </c>
      <c r="I37" s="15"/>
      <c r="J37" s="34">
        <f>IF(H$12=0,0,H37/H$12)</f>
        <v>0</v>
      </c>
      <c r="K37" s="16"/>
      <c r="L37" s="32">
        <f>+D37-H37</f>
        <v>-5390.3899999999994</v>
      </c>
      <c r="M37" s="16"/>
      <c r="N37" s="34">
        <f>IF(H37=0,0,L37/H37)</f>
        <v>0.18476824574386802</v>
      </c>
      <c r="O37" s="28"/>
      <c r="P37" s="32">
        <f>SUM(P34:P36)</f>
        <v>-377755.78999999992</v>
      </c>
      <c r="Q37" s="15"/>
      <c r="R37" s="34">
        <f>IF(P$12=0,0,P37/P$12)</f>
        <v>0</v>
      </c>
      <c r="S37" s="15"/>
      <c r="T37" s="32">
        <f>SUM(T34:T36)</f>
        <v>8931.7899999999936</v>
      </c>
      <c r="U37" s="15"/>
      <c r="V37" s="34">
        <f>IF(T$12=0,0,T37/T$12)</f>
        <v>0</v>
      </c>
      <c r="W37" s="16"/>
      <c r="X37" s="32">
        <f>+P37-T37</f>
        <v>-386687.5799999999</v>
      </c>
      <c r="Y37" s="16"/>
      <c r="Z37" s="34">
        <f>IF(T37=0,0,X37/T37)</f>
        <v>-43.293402554247265</v>
      </c>
    </row>
    <row r="38" spans="1:26" ht="15" customHeight="1" x14ac:dyDescent="0.25">
      <c r="A38" s="10"/>
      <c r="C38" s="10"/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0">
        <v>44727.879654085649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3" t="s">
        <v>297</v>
      </c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A41" s="10"/>
      <c r="B41" s="55"/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25"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0C15F-7D28-F9D4-1545-5691D63FF891}">
  <sheetPr>
    <tabColor rgb="FF92D050"/>
    <outlinePr summaryBelow="0" summaryRight="0"/>
  </sheetPr>
  <dimension ref="A2:Z7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","201"," - ","General Manager")</f>
        <v>Department 201 - General Manager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36125.549999999996</v>
      </c>
      <c r="E18" s="21"/>
      <c r="F18" s="31">
        <f t="shared" ref="F18:F63" si="0">IF(D$12=0,0,D18/D$12)</f>
        <v>0</v>
      </c>
      <c r="G18" s="21"/>
      <c r="H18" s="21" cm="1">
        <f t="array" ref="H18">SUM(OSRRefH22x_0)</f>
        <v>34019.14</v>
      </c>
      <c r="I18" s="21"/>
      <c r="J18" s="31">
        <f t="shared" ref="J18:J63" si="1">IF(H$12=0,0,H18/H$12)</f>
        <v>0</v>
      </c>
      <c r="K18" s="5"/>
      <c r="L18" s="21">
        <f t="shared" ref="L18:L63" si="2">+D18-H18</f>
        <v>2106.4099999999962</v>
      </c>
      <c r="M18" s="5"/>
      <c r="N18" s="31">
        <f t="shared" ref="N18:N63" si="3">IF(H18=0,0,L18/H18)</f>
        <v>6.1918378889060578E-2</v>
      </c>
      <c r="O18" s="11"/>
      <c r="P18" s="21" cm="1">
        <f t="array" ref="P18">SUM(OSRRefP22x_0)</f>
        <v>523849.50999999995</v>
      </c>
      <c r="Q18" s="21"/>
      <c r="R18" s="31">
        <f t="shared" ref="R18:R63" si="4">IF(P$12=0,0,P18/P$12)</f>
        <v>0</v>
      </c>
      <c r="S18" s="21"/>
      <c r="T18" s="21" cm="1">
        <f t="array" ref="T18">SUM(OSRRefT22x_0)</f>
        <v>413506.18</v>
      </c>
      <c r="U18" s="21"/>
      <c r="V18" s="31">
        <f t="shared" ref="V18:V63" si="5">IF(T$12=0,0,T18/T$12)</f>
        <v>0</v>
      </c>
      <c r="W18" s="5"/>
      <c r="X18" s="21">
        <f t="shared" ref="X18:X63" si="6">+P18-T18</f>
        <v>110343.32999999996</v>
      </c>
      <c r="Y18" s="5"/>
      <c r="Z18" s="31">
        <f t="shared" ref="Z18:Z63" si="7">IF(T18=0,0,X18/T18)</f>
        <v>0.2668480795135878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11532.369999999999</v>
      </c>
      <c r="E19" s="2"/>
      <c r="F19" s="6">
        <f t="shared" si="0"/>
        <v>0</v>
      </c>
      <c r="G19" s="2"/>
      <c r="H19" s="2">
        <f>SUM(OSRRefH22_0x_0)</f>
        <v>10168.459999999999</v>
      </c>
      <c r="I19" s="2"/>
      <c r="J19" s="6">
        <f t="shared" si="1"/>
        <v>0</v>
      </c>
      <c r="K19" s="2"/>
      <c r="L19" s="2">
        <f t="shared" si="2"/>
        <v>1363.9099999999999</v>
      </c>
      <c r="M19" s="2"/>
      <c r="N19" s="6">
        <f t="shared" si="3"/>
        <v>0.13413142206391135</v>
      </c>
      <c r="O19" s="14"/>
      <c r="P19" s="2">
        <f>SUM(OSRRefP22_0x_0)</f>
        <v>155114.95000000001</v>
      </c>
      <c r="Q19" s="2"/>
      <c r="R19" s="6">
        <f t="shared" si="4"/>
        <v>0</v>
      </c>
      <c r="S19" s="2"/>
      <c r="T19" s="2">
        <f>SUM(OSRRefT22_0x_0)</f>
        <v>118587.72</v>
      </c>
      <c r="U19" s="2"/>
      <c r="V19" s="6">
        <f t="shared" si="5"/>
        <v>0</v>
      </c>
      <c r="W19" s="2"/>
      <c r="X19" s="2">
        <f t="shared" si="6"/>
        <v>36527.23000000001</v>
      </c>
      <c r="Y19" s="2"/>
      <c r="Z19" s="6">
        <f t="shared" si="7"/>
        <v>0.30801865488264729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>
        <v>1717.46</v>
      </c>
      <c r="E20" s="3"/>
      <c r="F20" s="8">
        <f t="shared" si="0"/>
        <v>0</v>
      </c>
      <c r="G20" s="3"/>
      <c r="H20" s="7">
        <v>1454.4</v>
      </c>
      <c r="I20" s="3"/>
      <c r="J20" s="8">
        <f t="shared" si="1"/>
        <v>0</v>
      </c>
      <c r="K20" s="3"/>
      <c r="L20" s="7">
        <f t="shared" si="2"/>
        <v>263.05999999999995</v>
      </c>
      <c r="M20" s="3"/>
      <c r="N20" s="8">
        <f t="shared" si="3"/>
        <v>0.18087183718371833</v>
      </c>
      <c r="O20" s="12"/>
      <c r="P20" s="7">
        <v>19784.060000000001</v>
      </c>
      <c r="Q20" s="3"/>
      <c r="R20" s="8">
        <f t="shared" si="4"/>
        <v>0</v>
      </c>
      <c r="S20" s="3"/>
      <c r="T20" s="7">
        <v>14835.78</v>
      </c>
      <c r="U20" s="3"/>
      <c r="V20" s="8">
        <f t="shared" si="5"/>
        <v>0</v>
      </c>
      <c r="W20" s="3"/>
      <c r="X20" s="7">
        <f t="shared" si="6"/>
        <v>4948.2800000000007</v>
      </c>
      <c r="Y20" s="3"/>
      <c r="Z20" s="8">
        <f t="shared" si="7"/>
        <v>0.33353689526266905</v>
      </c>
    </row>
    <row r="21" spans="1:26" s="69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7">
        <v>434.9</v>
      </c>
      <c r="E21" s="3"/>
      <c r="F21" s="8">
        <f t="shared" si="0"/>
        <v>0</v>
      </c>
      <c r="G21" s="3"/>
      <c r="H21" s="7">
        <v>94.23</v>
      </c>
      <c r="I21" s="3"/>
      <c r="J21" s="8">
        <f t="shared" si="1"/>
        <v>0</v>
      </c>
      <c r="K21" s="3"/>
      <c r="L21" s="7">
        <f t="shared" si="2"/>
        <v>340.66999999999996</v>
      </c>
      <c r="M21" s="3"/>
      <c r="N21" s="8">
        <f t="shared" si="3"/>
        <v>3.6153029820651592</v>
      </c>
      <c r="O21" s="12"/>
      <c r="P21" s="7">
        <v>3753.59</v>
      </c>
      <c r="Q21" s="3"/>
      <c r="R21" s="8">
        <f t="shared" si="4"/>
        <v>0</v>
      </c>
      <c r="S21" s="3"/>
      <c r="T21" s="7">
        <v>851.04</v>
      </c>
      <c r="U21" s="3"/>
      <c r="V21" s="8">
        <f t="shared" si="5"/>
        <v>0</v>
      </c>
      <c r="W21" s="3"/>
      <c r="X21" s="7">
        <f t="shared" si="6"/>
        <v>2902.55</v>
      </c>
      <c r="Y21" s="3"/>
      <c r="Z21" s="8">
        <f t="shared" si="7"/>
        <v>3.4105917465689042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>
        <v>3588.59</v>
      </c>
      <c r="E22" s="3"/>
      <c r="F22" s="8">
        <f t="shared" si="0"/>
        <v>0</v>
      </c>
      <c r="G22" s="3"/>
      <c r="H22" s="7">
        <v>3917.15</v>
      </c>
      <c r="I22" s="3"/>
      <c r="J22" s="8">
        <f t="shared" si="1"/>
        <v>0</v>
      </c>
      <c r="K22" s="3"/>
      <c r="L22" s="7">
        <f t="shared" si="2"/>
        <v>-328.55999999999995</v>
      </c>
      <c r="M22" s="3"/>
      <c r="N22" s="8">
        <f t="shared" si="3"/>
        <v>-8.3877308757642655E-2</v>
      </c>
      <c r="O22" s="12"/>
      <c r="P22" s="7">
        <v>41599.29</v>
      </c>
      <c r="Q22" s="3"/>
      <c r="R22" s="8">
        <f t="shared" si="4"/>
        <v>0</v>
      </c>
      <c r="S22" s="3"/>
      <c r="T22" s="7">
        <v>43799.67</v>
      </c>
      <c r="U22" s="3"/>
      <c r="V22" s="8">
        <f t="shared" si="5"/>
        <v>0</v>
      </c>
      <c r="W22" s="3"/>
      <c r="X22" s="7">
        <f t="shared" si="6"/>
        <v>-2200.3799999999974</v>
      </c>
      <c r="Y22" s="3"/>
      <c r="Z22" s="8">
        <f t="shared" si="7"/>
        <v>-5.0237364802063519E-2</v>
      </c>
    </row>
    <row r="23" spans="1:26" s="69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7">
        <v>87.65</v>
      </c>
      <c r="E23" s="3"/>
      <c r="F23" s="8">
        <f t="shared" si="0"/>
        <v>0</v>
      </c>
      <c r="G23" s="3"/>
      <c r="H23" s="7">
        <v>74.239999999999995</v>
      </c>
      <c r="I23" s="3"/>
      <c r="J23" s="8">
        <f t="shared" si="1"/>
        <v>0</v>
      </c>
      <c r="K23" s="3"/>
      <c r="L23" s="7">
        <f t="shared" si="2"/>
        <v>13.410000000000011</v>
      </c>
      <c r="M23" s="3"/>
      <c r="N23" s="8">
        <f t="shared" si="3"/>
        <v>0.18063038793103464</v>
      </c>
      <c r="O23" s="12"/>
      <c r="P23" s="7">
        <v>756.53</v>
      </c>
      <c r="Q23" s="3"/>
      <c r="R23" s="8">
        <f t="shared" si="4"/>
        <v>0</v>
      </c>
      <c r="S23" s="3"/>
      <c r="T23" s="7">
        <v>670.52</v>
      </c>
      <c r="U23" s="3"/>
      <c r="V23" s="8">
        <f t="shared" si="5"/>
        <v>0</v>
      </c>
      <c r="W23" s="3"/>
      <c r="X23" s="7">
        <f t="shared" si="6"/>
        <v>86.009999999999991</v>
      </c>
      <c r="Y23" s="3"/>
      <c r="Z23" s="8">
        <f t="shared" si="7"/>
        <v>0.12827357871502712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>
        <v>2407.25</v>
      </c>
      <c r="E24" s="3"/>
      <c r="F24" s="8">
        <f t="shared" si="0"/>
        <v>0</v>
      </c>
      <c r="G24" s="3"/>
      <c r="H24" s="7">
        <v>2049.0300000000002</v>
      </c>
      <c r="I24" s="3"/>
      <c r="J24" s="8">
        <f t="shared" si="1"/>
        <v>0</v>
      </c>
      <c r="K24" s="3"/>
      <c r="L24" s="7">
        <f t="shared" si="2"/>
        <v>358.2199999999998</v>
      </c>
      <c r="M24" s="3"/>
      <c r="N24" s="8">
        <f t="shared" si="3"/>
        <v>0.17482418510221898</v>
      </c>
      <c r="O24" s="12"/>
      <c r="P24" s="7">
        <v>26298.5</v>
      </c>
      <c r="Q24" s="3"/>
      <c r="R24" s="8">
        <f t="shared" si="4"/>
        <v>0</v>
      </c>
      <c r="S24" s="3"/>
      <c r="T24" s="7">
        <v>27763.68</v>
      </c>
      <c r="U24" s="3"/>
      <c r="V24" s="8">
        <f t="shared" si="5"/>
        <v>0</v>
      </c>
      <c r="W24" s="3"/>
      <c r="X24" s="7">
        <f t="shared" si="6"/>
        <v>-1465.1800000000003</v>
      </c>
      <c r="Y24" s="3"/>
      <c r="Z24" s="8">
        <f t="shared" si="7"/>
        <v>-5.277326348668477E-2</v>
      </c>
    </row>
    <row r="25" spans="1:26" s="69" customFormat="1" ht="15" hidden="1" customHeight="1" outlineLevel="2" x14ac:dyDescent="0.25">
      <c r="A25" s="25"/>
      <c r="B25" s="12" t="str">
        <f>CONCATENATE("          ","6118"," - ","VACATION")</f>
        <v xml:space="preserve">          6118 - VACATION</v>
      </c>
      <c r="C25" s="12"/>
      <c r="D25" s="7">
        <v>1984.64</v>
      </c>
      <c r="E25" s="3"/>
      <c r="F25" s="8">
        <f t="shared" si="0"/>
        <v>0</v>
      </c>
      <c r="G25" s="3"/>
      <c r="H25" s="7">
        <v>1658.98</v>
      </c>
      <c r="I25" s="3"/>
      <c r="J25" s="8">
        <f t="shared" si="1"/>
        <v>0</v>
      </c>
      <c r="K25" s="3"/>
      <c r="L25" s="7">
        <f t="shared" si="2"/>
        <v>325.66000000000008</v>
      </c>
      <c r="M25" s="3"/>
      <c r="N25" s="8">
        <f t="shared" si="3"/>
        <v>0.19630134178832781</v>
      </c>
      <c r="O25" s="12"/>
      <c r="P25" s="7">
        <v>28631.17</v>
      </c>
      <c r="Q25" s="3"/>
      <c r="R25" s="8">
        <f t="shared" si="4"/>
        <v>0</v>
      </c>
      <c r="S25" s="3"/>
      <c r="T25" s="7">
        <v>19907.759999999998</v>
      </c>
      <c r="U25" s="3"/>
      <c r="V25" s="8">
        <f t="shared" si="5"/>
        <v>0</v>
      </c>
      <c r="W25" s="3"/>
      <c r="X25" s="7">
        <f t="shared" si="6"/>
        <v>8723.41</v>
      </c>
      <c r="Y25" s="3"/>
      <c r="Z25" s="8">
        <f t="shared" si="7"/>
        <v>0.43819143891628193</v>
      </c>
    </row>
    <row r="26" spans="1:26" s="69" customFormat="1" ht="15" hidden="1" customHeight="1" outlineLevel="2" x14ac:dyDescent="0.25">
      <c r="A26" s="25"/>
      <c r="B26" s="12" t="str">
        <f>CONCATENATE("          ","6119"," - ","SICK LEAVE")</f>
        <v xml:space="preserve">          6119 - SICK LEAVE</v>
      </c>
      <c r="C26" s="12"/>
      <c r="D26" s="7">
        <v>1020.54</v>
      </c>
      <c r="E26" s="3"/>
      <c r="F26" s="8">
        <f t="shared" si="0"/>
        <v>0</v>
      </c>
      <c r="G26" s="3"/>
      <c r="H26" s="7">
        <v>856.8</v>
      </c>
      <c r="I26" s="3"/>
      <c r="J26" s="8">
        <f t="shared" si="1"/>
        <v>0</v>
      </c>
      <c r="K26" s="3"/>
      <c r="L26" s="7">
        <f t="shared" si="2"/>
        <v>163.74</v>
      </c>
      <c r="M26" s="3"/>
      <c r="N26" s="8">
        <f t="shared" si="3"/>
        <v>0.19110644257703083</v>
      </c>
      <c r="O26" s="12"/>
      <c r="P26" s="7">
        <v>31866.99</v>
      </c>
      <c r="Q26" s="3"/>
      <c r="R26" s="8">
        <f t="shared" si="4"/>
        <v>0</v>
      </c>
      <c r="S26" s="3"/>
      <c r="T26" s="7">
        <v>10281.6</v>
      </c>
      <c r="U26" s="3"/>
      <c r="V26" s="8">
        <f t="shared" si="5"/>
        <v>0</v>
      </c>
      <c r="W26" s="3"/>
      <c r="X26" s="7">
        <f t="shared" si="6"/>
        <v>21585.39</v>
      </c>
      <c r="Y26" s="3"/>
      <c r="Z26" s="8">
        <f t="shared" si="7"/>
        <v>2.0994193510737627</v>
      </c>
    </row>
    <row r="27" spans="1:26" s="69" customFormat="1" ht="15" hidden="1" customHeight="1" outlineLevel="2" x14ac:dyDescent="0.25">
      <c r="A27" s="25"/>
      <c r="B27" s="12" t="str">
        <f>CONCATENATE("          ","6156"," - ","EMPLOYEE MEALS")</f>
        <v xml:space="preserve">          6156 - EMPLOYEE MEALS</v>
      </c>
      <c r="C27" s="12"/>
      <c r="D27" s="7">
        <v>291.33999999999997</v>
      </c>
      <c r="E27" s="3"/>
      <c r="F27" s="8">
        <f t="shared" si="0"/>
        <v>0</v>
      </c>
      <c r="G27" s="3"/>
      <c r="H27" s="7">
        <v>63.63</v>
      </c>
      <c r="I27" s="3"/>
      <c r="J27" s="8">
        <f t="shared" si="1"/>
        <v>0</v>
      </c>
      <c r="K27" s="3"/>
      <c r="L27" s="7">
        <f t="shared" si="2"/>
        <v>227.70999999999998</v>
      </c>
      <c r="M27" s="3"/>
      <c r="N27" s="8">
        <f t="shared" si="3"/>
        <v>3.5786578657865782</v>
      </c>
      <c r="O27" s="12"/>
      <c r="P27" s="7">
        <v>2424.8200000000002</v>
      </c>
      <c r="Q27" s="3"/>
      <c r="R27" s="8">
        <f t="shared" si="4"/>
        <v>0</v>
      </c>
      <c r="S27" s="3"/>
      <c r="T27" s="7">
        <v>477.67</v>
      </c>
      <c r="U27" s="3"/>
      <c r="V27" s="8">
        <f t="shared" si="5"/>
        <v>0</v>
      </c>
      <c r="W27" s="3"/>
      <c r="X27" s="7">
        <f t="shared" si="6"/>
        <v>1947.15</v>
      </c>
      <c r="Y27" s="3"/>
      <c r="Z27" s="8">
        <f t="shared" si="7"/>
        <v>4.0763497812297196</v>
      </c>
    </row>
    <row r="28" spans="1:26" s="68" customFormat="1" ht="15" customHeight="1" outlineLevel="1" collapsed="1" x14ac:dyDescent="0.25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20462.230000000003</v>
      </c>
      <c r="E28" s="2"/>
      <c r="F28" s="6">
        <f t="shared" si="0"/>
        <v>0</v>
      </c>
      <c r="G28" s="2"/>
      <c r="H28" s="2">
        <f>SUM(OSRRefH22_1x_0)</f>
        <v>18352.82</v>
      </c>
      <c r="I28" s="2"/>
      <c r="J28" s="6">
        <f t="shared" si="1"/>
        <v>0</v>
      </c>
      <c r="K28" s="2"/>
      <c r="L28" s="2">
        <f t="shared" si="2"/>
        <v>2109.4100000000035</v>
      </c>
      <c r="M28" s="2"/>
      <c r="N28" s="6">
        <f t="shared" si="3"/>
        <v>0.11493656015805764</v>
      </c>
      <c r="O28" s="14"/>
      <c r="P28" s="2">
        <f>SUM(OSRRefP22_1x_0)</f>
        <v>235282.65000000002</v>
      </c>
      <c r="Q28" s="2"/>
      <c r="R28" s="6">
        <f t="shared" si="4"/>
        <v>0</v>
      </c>
      <c r="S28" s="2"/>
      <c r="T28" s="2">
        <f>SUM(OSRRefT22_1x_0)</f>
        <v>169321.31</v>
      </c>
      <c r="U28" s="2"/>
      <c r="V28" s="6">
        <f t="shared" si="5"/>
        <v>0</v>
      </c>
      <c r="W28" s="2"/>
      <c r="X28" s="2">
        <f t="shared" si="6"/>
        <v>65961.340000000026</v>
      </c>
      <c r="Y28" s="2"/>
      <c r="Z28" s="6">
        <f t="shared" si="7"/>
        <v>0.3895631329570981</v>
      </c>
    </row>
    <row r="29" spans="1:26" s="69" customFormat="1" ht="15" hidden="1" customHeight="1" outlineLevel="2" x14ac:dyDescent="0.25">
      <c r="A29" s="25"/>
      <c r="B29" s="12" t="str">
        <f>CONCATENATE("          ","6001"," - ","ADMINISTRATIVE SALARIES")</f>
        <v xml:space="preserve">          6001 - ADMINISTRATIVE SALARIES</v>
      </c>
      <c r="C29" s="12"/>
      <c r="D29" s="7">
        <v>16642.97</v>
      </c>
      <c r="E29" s="3"/>
      <c r="F29" s="8">
        <f t="shared" si="0"/>
        <v>0</v>
      </c>
      <c r="G29" s="3"/>
      <c r="H29" s="7">
        <v>13456.34</v>
      </c>
      <c r="I29" s="3"/>
      <c r="J29" s="8">
        <f t="shared" si="1"/>
        <v>0</v>
      </c>
      <c r="K29" s="3"/>
      <c r="L29" s="7">
        <f t="shared" si="2"/>
        <v>3186.630000000001</v>
      </c>
      <c r="M29" s="3"/>
      <c r="N29" s="8">
        <f t="shared" si="3"/>
        <v>0.23681253594959706</v>
      </c>
      <c r="O29" s="12"/>
      <c r="P29" s="7">
        <v>182036.26</v>
      </c>
      <c r="Q29" s="3"/>
      <c r="R29" s="8">
        <f t="shared" si="4"/>
        <v>0</v>
      </c>
      <c r="S29" s="3"/>
      <c r="T29" s="7">
        <v>163752.91</v>
      </c>
      <c r="U29" s="3"/>
      <c r="V29" s="8">
        <f t="shared" si="5"/>
        <v>0</v>
      </c>
      <c r="W29" s="3"/>
      <c r="X29" s="7">
        <f t="shared" si="6"/>
        <v>18283.350000000006</v>
      </c>
      <c r="Y29" s="3"/>
      <c r="Z29" s="8">
        <f t="shared" si="7"/>
        <v>0.11165206163359176</v>
      </c>
    </row>
    <row r="30" spans="1:26" s="69" customFormat="1" ht="15" hidden="1" customHeight="1" outlineLevel="2" x14ac:dyDescent="0.25">
      <c r="A30" s="25"/>
      <c r="B30" s="12" t="str">
        <f>CONCATENATE("          ","6002"," - ","STAFF SALARIES")</f>
        <v xml:space="preserve">          6002 - STAFF SALARIES</v>
      </c>
      <c r="C30" s="12"/>
      <c r="D30" s="7">
        <v>3819.26</v>
      </c>
      <c r="E30" s="3"/>
      <c r="F30" s="8">
        <f t="shared" si="0"/>
        <v>0</v>
      </c>
      <c r="G30" s="3"/>
      <c r="H30" s="7">
        <v>4896.4799999999996</v>
      </c>
      <c r="I30" s="3"/>
      <c r="J30" s="8">
        <f t="shared" si="1"/>
        <v>0</v>
      </c>
      <c r="K30" s="3"/>
      <c r="L30" s="7">
        <f t="shared" si="2"/>
        <v>-1077.2199999999993</v>
      </c>
      <c r="M30" s="3"/>
      <c r="N30" s="8">
        <f t="shared" si="3"/>
        <v>-0.21999885632127558</v>
      </c>
      <c r="O30" s="12"/>
      <c r="P30" s="7">
        <v>53116.29</v>
      </c>
      <c r="Q30" s="3"/>
      <c r="R30" s="8">
        <f t="shared" si="4"/>
        <v>0</v>
      </c>
      <c r="S30" s="3"/>
      <c r="T30" s="7">
        <v>50525.69</v>
      </c>
      <c r="U30" s="3"/>
      <c r="V30" s="8">
        <f t="shared" si="5"/>
        <v>0</v>
      </c>
      <c r="W30" s="3"/>
      <c r="X30" s="7">
        <f t="shared" si="6"/>
        <v>2590.5999999999985</v>
      </c>
      <c r="Y30" s="3"/>
      <c r="Z30" s="8">
        <f t="shared" si="7"/>
        <v>5.1272926703227577E-2</v>
      </c>
    </row>
    <row r="31" spans="1:26" s="69" customFormat="1" ht="15" hidden="1" customHeight="1" outlineLevel="2" x14ac:dyDescent="0.25">
      <c r="A31" s="25"/>
      <c r="B31" s="12" t="str">
        <f>CONCATENATE("          ","6004"," - ","STAFF HOURLY")</f>
        <v xml:space="preserve">          6004 - STAFF HOURLY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>
        <v>70.88</v>
      </c>
      <c r="Q31" s="3"/>
      <c r="R31" s="8">
        <f t="shared" si="4"/>
        <v>0</v>
      </c>
      <c r="S31" s="3"/>
      <c r="T31" s="7"/>
      <c r="U31" s="3"/>
      <c r="V31" s="8">
        <f t="shared" si="5"/>
        <v>0</v>
      </c>
      <c r="W31" s="3"/>
      <c r="X31" s="7">
        <f t="shared" si="6"/>
        <v>70.88</v>
      </c>
      <c r="Y31" s="3"/>
      <c r="Z31" s="8">
        <f t="shared" si="7"/>
        <v>0</v>
      </c>
    </row>
    <row r="32" spans="1:26" s="69" customFormat="1" ht="15" hidden="1" customHeight="1" outlineLevel="2" x14ac:dyDescent="0.25">
      <c r="A32" s="25"/>
      <c r="B32" s="12" t="str">
        <f>CONCATENATE("          ","6007"," - ","STUDENT HOURLY")</f>
        <v xml:space="preserve">          6007 - STUDENT HOURLY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59.22</v>
      </c>
      <c r="Q32" s="3"/>
      <c r="R32" s="8">
        <f t="shared" si="4"/>
        <v>0</v>
      </c>
      <c r="S32" s="3"/>
      <c r="T32" s="7">
        <v>-44957.29</v>
      </c>
      <c r="U32" s="3"/>
      <c r="V32" s="8">
        <f t="shared" si="5"/>
        <v>0</v>
      </c>
      <c r="W32" s="3"/>
      <c r="X32" s="7">
        <f t="shared" si="6"/>
        <v>45016.51</v>
      </c>
      <c r="Y32" s="3"/>
      <c r="Z32" s="8">
        <f t="shared" si="7"/>
        <v>-1.0013172502168168</v>
      </c>
    </row>
    <row r="33" spans="1:26" s="68" customFormat="1" ht="15" customHeight="1" outlineLevel="1" collapsed="1" x14ac:dyDescent="0.25">
      <c r="A33" s="26"/>
      <c r="B33" s="14" t="str">
        <f>CONCATENATE("     ","Advertising/Promo                                 ")</f>
        <v xml:space="preserve">     Advertising/Promo                                 </v>
      </c>
      <c r="C33" s="14"/>
      <c r="D33" s="2">
        <f>SUM(OSRRefD22_2x_0)</f>
        <v>0</v>
      </c>
      <c r="E33" s="2"/>
      <c r="F33" s="6">
        <f t="shared" si="0"/>
        <v>0</v>
      </c>
      <c r="G33" s="2"/>
      <c r="H33" s="2">
        <f>SUM(OSRRefH22_2x_0)</f>
        <v>71.97</v>
      </c>
      <c r="I33" s="2"/>
      <c r="J33" s="6">
        <f t="shared" si="1"/>
        <v>0</v>
      </c>
      <c r="K33" s="2"/>
      <c r="L33" s="2">
        <f t="shared" si="2"/>
        <v>-71.97</v>
      </c>
      <c r="M33" s="2"/>
      <c r="N33" s="6">
        <f t="shared" si="3"/>
        <v>-1</v>
      </c>
      <c r="O33" s="14"/>
      <c r="P33" s="2">
        <f>SUM(OSRRefP22_2x_0)</f>
        <v>1969.62</v>
      </c>
      <c r="Q33" s="2"/>
      <c r="R33" s="6">
        <f t="shared" si="4"/>
        <v>0</v>
      </c>
      <c r="S33" s="2"/>
      <c r="T33" s="2">
        <f>SUM(OSRRefT22_2x_0)</f>
        <v>245.07</v>
      </c>
      <c r="U33" s="2"/>
      <c r="V33" s="6">
        <f t="shared" si="5"/>
        <v>0</v>
      </c>
      <c r="W33" s="2"/>
      <c r="X33" s="2">
        <f t="shared" si="6"/>
        <v>1724.55</v>
      </c>
      <c r="Y33" s="2"/>
      <c r="Z33" s="6">
        <f t="shared" si="7"/>
        <v>7.0369690292569471</v>
      </c>
    </row>
    <row r="34" spans="1:26" s="69" customFormat="1" ht="15" hidden="1" customHeight="1" outlineLevel="2" x14ac:dyDescent="0.25">
      <c r="A34" s="25"/>
      <c r="B34" s="12" t="str">
        <f>CONCATENATE("          ","6362"," - ","ADVERTISING EXPENSE")</f>
        <v xml:space="preserve">          6362 - ADVERTISING EXPENSE</v>
      </c>
      <c r="C34" s="12"/>
      <c r="D34" s="7"/>
      <c r="E34" s="3"/>
      <c r="F34" s="8">
        <f t="shared" si="0"/>
        <v>0</v>
      </c>
      <c r="G34" s="3"/>
      <c r="H34" s="7">
        <v>71.97</v>
      </c>
      <c r="I34" s="3"/>
      <c r="J34" s="8">
        <f t="shared" si="1"/>
        <v>0</v>
      </c>
      <c r="K34" s="3"/>
      <c r="L34" s="7">
        <f t="shared" si="2"/>
        <v>-71.97</v>
      </c>
      <c r="M34" s="3"/>
      <c r="N34" s="8">
        <f t="shared" si="3"/>
        <v>-1</v>
      </c>
      <c r="O34" s="12"/>
      <c r="P34" s="7">
        <v>1969.62</v>
      </c>
      <c r="Q34" s="3"/>
      <c r="R34" s="8">
        <f t="shared" si="4"/>
        <v>0</v>
      </c>
      <c r="S34" s="3"/>
      <c r="T34" s="7">
        <v>245.07</v>
      </c>
      <c r="U34" s="3"/>
      <c r="V34" s="8">
        <f t="shared" si="5"/>
        <v>0</v>
      </c>
      <c r="W34" s="3"/>
      <c r="X34" s="7">
        <f t="shared" si="6"/>
        <v>1724.55</v>
      </c>
      <c r="Y34" s="3"/>
      <c r="Z34" s="8">
        <f t="shared" si="7"/>
        <v>7.0369690292569471</v>
      </c>
    </row>
    <row r="35" spans="1:26" s="68" customFormat="1" ht="15" customHeight="1" outlineLevel="1" collapsed="1" x14ac:dyDescent="0.25">
      <c r="A35" s="26"/>
      <c r="B35" s="14" t="str">
        <f>CONCATENATE("     ","Depreciation                                      ")</f>
        <v xml:space="preserve">     Depreciation                                      </v>
      </c>
      <c r="C35" s="14"/>
      <c r="D35" s="2">
        <f>SUM(OSRRefD22_3x_0)</f>
        <v>314.87</v>
      </c>
      <c r="E35" s="2"/>
      <c r="F35" s="6">
        <f t="shared" si="0"/>
        <v>0</v>
      </c>
      <c r="G35" s="2"/>
      <c r="H35" s="2">
        <f>SUM(OSRRefH22_3x_0)</f>
        <v>314.87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3463.57</v>
      </c>
      <c r="Q35" s="2"/>
      <c r="R35" s="6">
        <f t="shared" si="4"/>
        <v>0</v>
      </c>
      <c r="S35" s="2"/>
      <c r="T35" s="2">
        <f>SUM(OSRRefT22_3x_0)</f>
        <v>3463.57</v>
      </c>
      <c r="U35" s="2"/>
      <c r="V35" s="6">
        <f t="shared" si="5"/>
        <v>0</v>
      </c>
      <c r="W35" s="2"/>
      <c r="X35" s="2">
        <f t="shared" si="6"/>
        <v>0</v>
      </c>
      <c r="Y35" s="2"/>
      <c r="Z35" s="6">
        <f t="shared" si="7"/>
        <v>0</v>
      </c>
    </row>
    <row r="36" spans="1:26" s="69" customFormat="1" ht="15" hidden="1" customHeight="1" outlineLevel="2" x14ac:dyDescent="0.25">
      <c r="A36" s="25"/>
      <c r="B36" s="12" t="str">
        <f>CONCATENATE("          ","6322"," - ","EQUIPMENT DEPRECIATION EXPENSE")</f>
        <v xml:space="preserve">          6322 - EQUIPMENT DEPRECIATION EXPENSE</v>
      </c>
      <c r="C36" s="12"/>
      <c r="D36" s="7">
        <v>314.87</v>
      </c>
      <c r="E36" s="3"/>
      <c r="F36" s="8">
        <f t="shared" si="0"/>
        <v>0</v>
      </c>
      <c r="G36" s="3"/>
      <c r="H36" s="7">
        <v>314.87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>
        <v>3463.57</v>
      </c>
      <c r="Q36" s="3"/>
      <c r="R36" s="8">
        <f t="shared" si="4"/>
        <v>0</v>
      </c>
      <c r="S36" s="3"/>
      <c r="T36" s="7">
        <v>3463.57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68" customFormat="1" ht="15" customHeight="1" outlineLevel="1" collapsed="1" x14ac:dyDescent="0.25">
      <c r="A37" s="26"/>
      <c r="B37" s="14" t="str">
        <f>CONCATENATE("     ","Donations                                         ")</f>
        <v xml:space="preserve">     Donations                                         </v>
      </c>
      <c r="C37" s="14"/>
      <c r="D37" s="2">
        <f>SUM(OSRRefD22_4x_0)</f>
        <v>0</v>
      </c>
      <c r="E37" s="2"/>
      <c r="F37" s="6">
        <f t="shared" si="0"/>
        <v>0</v>
      </c>
      <c r="G37" s="2"/>
      <c r="H37" s="2">
        <f>SUM(OSRRefH22_4x_0)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SUM(OSRRefP22_4x_0)</f>
        <v>25300</v>
      </c>
      <c r="Q37" s="2"/>
      <c r="R37" s="6">
        <f t="shared" si="4"/>
        <v>0</v>
      </c>
      <c r="S37" s="2"/>
      <c r="T37" s="2">
        <f>SUM(OSRRefT22_4x_0)</f>
        <v>26500</v>
      </c>
      <c r="U37" s="2"/>
      <c r="V37" s="6">
        <f t="shared" si="5"/>
        <v>0</v>
      </c>
      <c r="W37" s="2"/>
      <c r="X37" s="2">
        <f t="shared" si="6"/>
        <v>-1200</v>
      </c>
      <c r="Y37" s="2"/>
      <c r="Z37" s="6">
        <f t="shared" si="7"/>
        <v>-4.5283018867924525E-2</v>
      </c>
    </row>
    <row r="38" spans="1:26" s="69" customFormat="1" ht="15" hidden="1" customHeight="1" outlineLevel="2" x14ac:dyDescent="0.25">
      <c r="A38" s="25"/>
      <c r="B38" s="12" t="str">
        <f>CONCATENATE("          ","6399"," - ","DONATION-ON CAMPUS")</f>
        <v xml:space="preserve">          6399 - DONATION-ON CAMPUS</v>
      </c>
      <c r="C38" s="12"/>
      <c r="D38" s="7"/>
      <c r="E38" s="3"/>
      <c r="F38" s="8">
        <f t="shared" si="0"/>
        <v>0</v>
      </c>
      <c r="G38" s="3"/>
      <c r="H38" s="7"/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>
        <v>25300</v>
      </c>
      <c r="Q38" s="3"/>
      <c r="R38" s="8">
        <f t="shared" si="4"/>
        <v>0</v>
      </c>
      <c r="S38" s="3"/>
      <c r="T38" s="7">
        <v>26500</v>
      </c>
      <c r="U38" s="3"/>
      <c r="V38" s="8">
        <f t="shared" si="5"/>
        <v>0</v>
      </c>
      <c r="W38" s="3"/>
      <c r="X38" s="7">
        <f t="shared" si="6"/>
        <v>-1200</v>
      </c>
      <c r="Y38" s="3"/>
      <c r="Z38" s="8">
        <f t="shared" si="7"/>
        <v>-4.5283018867924525E-2</v>
      </c>
    </row>
    <row r="39" spans="1:26" s="68" customFormat="1" ht="15" customHeight="1" outlineLevel="1" collapsed="1" x14ac:dyDescent="0.25">
      <c r="A39" s="26"/>
      <c r="B39" s="14" t="str">
        <f>CONCATENATE("     ","Employees' Appreciation                           ")</f>
        <v xml:space="preserve">     Employees' Appreciation                           </v>
      </c>
      <c r="C39" s="14"/>
      <c r="D39" s="2">
        <f>SUM(OSRRefD22_5x_0)</f>
        <v>136.71</v>
      </c>
      <c r="E39" s="2"/>
      <c r="F39" s="6">
        <f t="shared" si="0"/>
        <v>0</v>
      </c>
      <c r="G39" s="2"/>
      <c r="H39" s="2">
        <f>SUM(OSRRefH22_5x_0)</f>
        <v>0</v>
      </c>
      <c r="I39" s="2"/>
      <c r="J39" s="6">
        <f t="shared" si="1"/>
        <v>0</v>
      </c>
      <c r="K39" s="2"/>
      <c r="L39" s="2">
        <f t="shared" si="2"/>
        <v>136.71</v>
      </c>
      <c r="M39" s="2"/>
      <c r="N39" s="6">
        <f t="shared" si="3"/>
        <v>0</v>
      </c>
      <c r="O39" s="14"/>
      <c r="P39" s="2">
        <f>SUM(OSRRefP22_5x_0)</f>
        <v>772.29</v>
      </c>
      <c r="Q39" s="2"/>
      <c r="R39" s="6">
        <f t="shared" si="4"/>
        <v>0</v>
      </c>
      <c r="S39" s="2"/>
      <c r="T39" s="2">
        <f>SUM(OSRRefT22_5x_0)</f>
        <v>0</v>
      </c>
      <c r="U39" s="2"/>
      <c r="V39" s="6">
        <f t="shared" si="5"/>
        <v>0</v>
      </c>
      <c r="W39" s="2"/>
      <c r="X39" s="2">
        <f t="shared" si="6"/>
        <v>772.29</v>
      </c>
      <c r="Y39" s="2"/>
      <c r="Z39" s="6">
        <f t="shared" si="7"/>
        <v>0</v>
      </c>
    </row>
    <row r="40" spans="1:26" s="69" customFormat="1" ht="15" hidden="1" customHeight="1" outlineLevel="2" x14ac:dyDescent="0.25">
      <c r="A40" s="25"/>
      <c r="B40" s="12" t="str">
        <f>CONCATENATE("          ","6277"," - ","EMPLOYEE APPRECIATION")</f>
        <v xml:space="preserve">          6277 - EMPLOYEE APPRECIATION</v>
      </c>
      <c r="C40" s="12"/>
      <c r="D40" s="7">
        <v>136.71</v>
      </c>
      <c r="E40" s="3"/>
      <c r="F40" s="8">
        <f t="shared" si="0"/>
        <v>0</v>
      </c>
      <c r="G40" s="3"/>
      <c r="H40" s="7"/>
      <c r="I40" s="3"/>
      <c r="J40" s="8">
        <f t="shared" si="1"/>
        <v>0</v>
      </c>
      <c r="K40" s="3"/>
      <c r="L40" s="7">
        <f t="shared" si="2"/>
        <v>136.71</v>
      </c>
      <c r="M40" s="3"/>
      <c r="N40" s="8">
        <f t="shared" si="3"/>
        <v>0</v>
      </c>
      <c r="O40" s="12"/>
      <c r="P40" s="7">
        <v>772.29</v>
      </c>
      <c r="Q40" s="3"/>
      <c r="R40" s="8">
        <f t="shared" si="4"/>
        <v>0</v>
      </c>
      <c r="S40" s="3"/>
      <c r="T40" s="7"/>
      <c r="U40" s="3"/>
      <c r="V40" s="8">
        <f t="shared" si="5"/>
        <v>0</v>
      </c>
      <c r="W40" s="3"/>
      <c r="X40" s="7">
        <f t="shared" si="6"/>
        <v>772.29</v>
      </c>
      <c r="Y40" s="3"/>
      <c r="Z40" s="8">
        <f t="shared" si="7"/>
        <v>0</v>
      </c>
    </row>
    <row r="41" spans="1:26" s="68" customFormat="1" ht="15" customHeight="1" outlineLevel="1" collapsed="1" x14ac:dyDescent="0.25">
      <c r="A41" s="26"/>
      <c r="B41" s="14" t="str">
        <f>CONCATENATE("     ","Equipment Rental                                  ")</f>
        <v xml:space="preserve">     Equipment Rental                                  </v>
      </c>
      <c r="C41" s="14"/>
      <c r="D41" s="2">
        <f>SUM(OSRRefD22_6x_0)</f>
        <v>117.71</v>
      </c>
      <c r="E41" s="2"/>
      <c r="F41" s="6">
        <f t="shared" si="0"/>
        <v>0</v>
      </c>
      <c r="G41" s="2"/>
      <c r="H41" s="2">
        <f>SUM(OSRRefH22_6x_0)</f>
        <v>117.71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SUM(OSRRefP22_6x_0)</f>
        <v>1294.81</v>
      </c>
      <c r="Q41" s="2"/>
      <c r="R41" s="6">
        <f t="shared" si="4"/>
        <v>0</v>
      </c>
      <c r="S41" s="2"/>
      <c r="T41" s="2">
        <f>SUM(OSRRefT22_6x_0)</f>
        <v>1386.07</v>
      </c>
      <c r="U41" s="2"/>
      <c r="V41" s="6">
        <f t="shared" si="5"/>
        <v>0</v>
      </c>
      <c r="W41" s="2"/>
      <c r="X41" s="2">
        <f t="shared" si="6"/>
        <v>-91.259999999999991</v>
      </c>
      <c r="Y41" s="2"/>
      <c r="Z41" s="6">
        <f t="shared" si="7"/>
        <v>-6.5840830549683635E-2</v>
      </c>
    </row>
    <row r="42" spans="1:26" s="69" customFormat="1" ht="15" hidden="1" customHeight="1" outlineLevel="2" x14ac:dyDescent="0.25">
      <c r="A42" s="25"/>
      <c r="B42" s="12" t="str">
        <f>CONCATENATE("          ","6351"," - ","EQUIPMENT RENTAL")</f>
        <v xml:space="preserve">          6351 - EQUIPMENT RENTAL</v>
      </c>
      <c r="C42" s="12"/>
      <c r="D42" s="7">
        <v>117.71</v>
      </c>
      <c r="E42" s="3"/>
      <c r="F42" s="8">
        <f t="shared" si="0"/>
        <v>0</v>
      </c>
      <c r="G42" s="3"/>
      <c r="H42" s="7">
        <v>117.71</v>
      </c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>
        <v>1294.81</v>
      </c>
      <c r="Q42" s="3"/>
      <c r="R42" s="8">
        <f t="shared" si="4"/>
        <v>0</v>
      </c>
      <c r="S42" s="3"/>
      <c r="T42" s="7">
        <v>1386.07</v>
      </c>
      <c r="U42" s="3"/>
      <c r="V42" s="8">
        <f t="shared" si="5"/>
        <v>0</v>
      </c>
      <c r="W42" s="3"/>
      <c r="X42" s="7">
        <f t="shared" si="6"/>
        <v>-91.259999999999991</v>
      </c>
      <c r="Y42" s="3"/>
      <c r="Z42" s="8">
        <f t="shared" si="7"/>
        <v>-6.5840830549683635E-2</v>
      </c>
    </row>
    <row r="43" spans="1:26" s="68" customFormat="1" ht="15" customHeight="1" outlineLevel="1" collapsed="1" x14ac:dyDescent="0.25">
      <c r="A43" s="26"/>
      <c r="B43" s="14" t="str">
        <f>CONCATENATE("     ","Freight out/Postage                               ")</f>
        <v xml:space="preserve">     Freight out/Postage                               </v>
      </c>
      <c r="C43" s="14"/>
      <c r="D43" s="2">
        <f>SUM(OSRRefD22_7x_0)</f>
        <v>0</v>
      </c>
      <c r="E43" s="2"/>
      <c r="F43" s="6">
        <f t="shared" si="0"/>
        <v>0</v>
      </c>
      <c r="G43" s="2"/>
      <c r="H43" s="2">
        <f>SUM(OSRRefH22_7x_0)</f>
        <v>4.09</v>
      </c>
      <c r="I43" s="2"/>
      <c r="J43" s="6">
        <f t="shared" si="1"/>
        <v>0</v>
      </c>
      <c r="K43" s="2"/>
      <c r="L43" s="2">
        <f t="shared" si="2"/>
        <v>-4.09</v>
      </c>
      <c r="M43" s="2"/>
      <c r="N43" s="6">
        <f t="shared" si="3"/>
        <v>-1</v>
      </c>
      <c r="O43" s="14"/>
      <c r="P43" s="2">
        <f>SUM(OSRRefP22_7x_0)</f>
        <v>32.17</v>
      </c>
      <c r="Q43" s="2"/>
      <c r="R43" s="6">
        <f t="shared" si="4"/>
        <v>0</v>
      </c>
      <c r="S43" s="2"/>
      <c r="T43" s="2">
        <f>SUM(OSRRefT22_7x_0)</f>
        <v>70.680000000000007</v>
      </c>
      <c r="U43" s="2"/>
      <c r="V43" s="6">
        <f t="shared" si="5"/>
        <v>0</v>
      </c>
      <c r="W43" s="2"/>
      <c r="X43" s="2">
        <f t="shared" si="6"/>
        <v>-38.510000000000005</v>
      </c>
      <c r="Y43" s="2"/>
      <c r="Z43" s="6">
        <f t="shared" si="7"/>
        <v>-0.54485002829654783</v>
      </c>
    </row>
    <row r="44" spans="1:26" s="69" customFormat="1" ht="15" hidden="1" customHeight="1" outlineLevel="2" x14ac:dyDescent="0.25">
      <c r="A44" s="25"/>
      <c r="B44" s="12" t="str">
        <f>CONCATENATE("          ","6307"," - ","POSTAGE")</f>
        <v xml:space="preserve">          6307 - POSTAGE</v>
      </c>
      <c r="C44" s="12"/>
      <c r="D44" s="7"/>
      <c r="E44" s="3"/>
      <c r="F44" s="8">
        <f t="shared" si="0"/>
        <v>0</v>
      </c>
      <c r="G44" s="3"/>
      <c r="H44" s="7">
        <v>4.09</v>
      </c>
      <c r="I44" s="3"/>
      <c r="J44" s="8">
        <f t="shared" si="1"/>
        <v>0</v>
      </c>
      <c r="K44" s="3"/>
      <c r="L44" s="7">
        <f t="shared" si="2"/>
        <v>-4.09</v>
      </c>
      <c r="M44" s="3"/>
      <c r="N44" s="8">
        <f t="shared" si="3"/>
        <v>-1</v>
      </c>
      <c r="O44" s="12"/>
      <c r="P44" s="7">
        <v>32.17</v>
      </c>
      <c r="Q44" s="3"/>
      <c r="R44" s="8">
        <f t="shared" si="4"/>
        <v>0</v>
      </c>
      <c r="S44" s="3"/>
      <c r="T44" s="7">
        <v>70.680000000000007</v>
      </c>
      <c r="U44" s="3"/>
      <c r="V44" s="8">
        <f t="shared" si="5"/>
        <v>0</v>
      </c>
      <c r="W44" s="3"/>
      <c r="X44" s="7">
        <f t="shared" si="6"/>
        <v>-38.510000000000005</v>
      </c>
      <c r="Y44" s="3"/>
      <c r="Z44" s="8">
        <f t="shared" si="7"/>
        <v>-0.54485002829654783</v>
      </c>
    </row>
    <row r="45" spans="1:26" s="68" customFormat="1" ht="15" customHeight="1" outlineLevel="1" collapsed="1" x14ac:dyDescent="0.25">
      <c r="A45" s="26"/>
      <c r="B45" s="14" t="str">
        <f>CONCATENATE("     ","Insurance                                         ")</f>
        <v xml:space="preserve">     Insurance                                         </v>
      </c>
      <c r="C45" s="14"/>
      <c r="D45" s="2">
        <f>SUM(OSRRefD22_8x_0)</f>
        <v>156.47999999999999</v>
      </c>
      <c r="E45" s="2"/>
      <c r="F45" s="6">
        <f t="shared" si="0"/>
        <v>0</v>
      </c>
      <c r="G45" s="2"/>
      <c r="H45" s="2">
        <f>SUM(OSRRefH22_8x_0)</f>
        <v>115.13</v>
      </c>
      <c r="I45" s="2"/>
      <c r="J45" s="6">
        <f t="shared" si="1"/>
        <v>0</v>
      </c>
      <c r="K45" s="2"/>
      <c r="L45" s="2">
        <f t="shared" si="2"/>
        <v>41.349999999999994</v>
      </c>
      <c r="M45" s="2"/>
      <c r="N45" s="6">
        <f t="shared" si="3"/>
        <v>0.35915921132632672</v>
      </c>
      <c r="O45" s="14"/>
      <c r="P45" s="2">
        <f>SUM(OSRRefP22_8x_0)</f>
        <v>1721.28</v>
      </c>
      <c r="Q45" s="2"/>
      <c r="R45" s="6">
        <f t="shared" si="4"/>
        <v>0</v>
      </c>
      <c r="S45" s="2"/>
      <c r="T45" s="2">
        <f>SUM(OSRRefT22_8x_0)</f>
        <v>1266.43</v>
      </c>
      <c r="U45" s="2"/>
      <c r="V45" s="6">
        <f t="shared" si="5"/>
        <v>0</v>
      </c>
      <c r="W45" s="2"/>
      <c r="X45" s="2">
        <f t="shared" si="6"/>
        <v>454.84999999999991</v>
      </c>
      <c r="Y45" s="2"/>
      <c r="Z45" s="6">
        <f t="shared" si="7"/>
        <v>0.35915921132632667</v>
      </c>
    </row>
    <row r="46" spans="1:26" s="69" customFormat="1" ht="15" hidden="1" customHeight="1" outlineLevel="2" x14ac:dyDescent="0.25">
      <c r="A46" s="25"/>
      <c r="B46" s="12" t="str">
        <f>CONCATENATE("          ","6314"," - ","LIABILITY INSURANCE")</f>
        <v xml:space="preserve">          6314 - LIABILITY INSURANCE</v>
      </c>
      <c r="C46" s="12"/>
      <c r="D46" s="7">
        <v>156.47999999999999</v>
      </c>
      <c r="E46" s="3"/>
      <c r="F46" s="8">
        <f t="shared" si="0"/>
        <v>0</v>
      </c>
      <c r="G46" s="3"/>
      <c r="H46" s="7">
        <v>115.13</v>
      </c>
      <c r="I46" s="3"/>
      <c r="J46" s="8">
        <f t="shared" si="1"/>
        <v>0</v>
      </c>
      <c r="K46" s="3"/>
      <c r="L46" s="7">
        <f t="shared" si="2"/>
        <v>41.349999999999994</v>
      </c>
      <c r="M46" s="3"/>
      <c r="N46" s="8">
        <f t="shared" si="3"/>
        <v>0.35915921132632672</v>
      </c>
      <c r="O46" s="12"/>
      <c r="P46" s="7">
        <v>1721.28</v>
      </c>
      <c r="Q46" s="3"/>
      <c r="R46" s="8">
        <f t="shared" si="4"/>
        <v>0</v>
      </c>
      <c r="S46" s="3"/>
      <c r="T46" s="7">
        <v>1266.43</v>
      </c>
      <c r="U46" s="3"/>
      <c r="V46" s="8">
        <f t="shared" si="5"/>
        <v>0</v>
      </c>
      <c r="W46" s="3"/>
      <c r="X46" s="7">
        <f t="shared" si="6"/>
        <v>454.84999999999991</v>
      </c>
      <c r="Y46" s="3"/>
      <c r="Z46" s="8">
        <f t="shared" si="7"/>
        <v>0.35915921132632667</v>
      </c>
    </row>
    <row r="47" spans="1:26" s="68" customFormat="1" ht="15" customHeight="1" outlineLevel="1" collapsed="1" x14ac:dyDescent="0.25">
      <c r="A47" s="26"/>
      <c r="B47" s="14" t="str">
        <f>CONCATENATE("     ","Professional Services                             ")</f>
        <v xml:space="preserve">     Professional Services                             </v>
      </c>
      <c r="C47" s="14"/>
      <c r="D47" s="2">
        <f>SUM(OSRRefD22_9x_0)</f>
        <v>0</v>
      </c>
      <c r="E47" s="2"/>
      <c r="F47" s="6">
        <f t="shared" si="0"/>
        <v>0</v>
      </c>
      <c r="G47" s="2"/>
      <c r="H47" s="2">
        <f>SUM(OSRRefH22_9x_0)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SUM(OSRRefP22_9x_0)</f>
        <v>56875</v>
      </c>
      <c r="Q47" s="2"/>
      <c r="R47" s="6">
        <f t="shared" si="4"/>
        <v>0</v>
      </c>
      <c r="S47" s="2"/>
      <c r="T47" s="2">
        <f>SUM(OSRRefT22_9x_0)</f>
        <v>50379.24</v>
      </c>
      <c r="U47" s="2"/>
      <c r="V47" s="6">
        <f t="shared" si="5"/>
        <v>0</v>
      </c>
      <c r="W47" s="2"/>
      <c r="X47" s="2">
        <f t="shared" si="6"/>
        <v>6495.760000000002</v>
      </c>
      <c r="Y47" s="2"/>
      <c r="Z47" s="6">
        <f t="shared" si="7"/>
        <v>0.12893723684597072</v>
      </c>
    </row>
    <row r="48" spans="1:26" s="69" customFormat="1" ht="15" hidden="1" customHeight="1" outlineLevel="2" x14ac:dyDescent="0.25">
      <c r="A48" s="25"/>
      <c r="B48" s="12" t="str">
        <f>CONCATENATE("          ","6331"," - ","INDIRECT COSTS-AUXILIARY ORGAN")</f>
        <v xml:space="preserve">          6331 - INDIRECT COSTS-AUXILIARY ORGAN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>
        <v>48350</v>
      </c>
      <c r="Q48" s="3"/>
      <c r="R48" s="8">
        <f t="shared" si="4"/>
        <v>0</v>
      </c>
      <c r="S48" s="3"/>
      <c r="T48" s="7">
        <v>45850</v>
      </c>
      <c r="U48" s="3"/>
      <c r="V48" s="8">
        <f t="shared" si="5"/>
        <v>0</v>
      </c>
      <c r="W48" s="3"/>
      <c r="X48" s="7">
        <f t="shared" si="6"/>
        <v>2500</v>
      </c>
      <c r="Y48" s="3"/>
      <c r="Z48" s="8">
        <f t="shared" si="7"/>
        <v>5.4525627044711013E-2</v>
      </c>
    </row>
    <row r="49" spans="1:26" s="69" customFormat="1" ht="15" hidden="1" customHeight="1" outlineLevel="2" x14ac:dyDescent="0.25">
      <c r="A49" s="25"/>
      <c r="B49" s="12" t="str">
        <f>CONCATENATE("          ","6334"," - ","LEGAL COUNCIL EXPENSE")</f>
        <v xml:space="preserve">          6334 - LEGAL COUNCIL EXPENSE</v>
      </c>
      <c r="C49" s="12"/>
      <c r="D49" s="7"/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0</v>
      </c>
      <c r="M49" s="3"/>
      <c r="N49" s="8">
        <f t="shared" si="3"/>
        <v>0</v>
      </c>
      <c r="O49" s="12"/>
      <c r="P49" s="7">
        <v>200</v>
      </c>
      <c r="Q49" s="3"/>
      <c r="R49" s="8">
        <f t="shared" si="4"/>
        <v>0</v>
      </c>
      <c r="S49" s="3"/>
      <c r="T49" s="7">
        <v>4529.24</v>
      </c>
      <c r="U49" s="3"/>
      <c r="V49" s="8">
        <f t="shared" si="5"/>
        <v>0</v>
      </c>
      <c r="W49" s="3"/>
      <c r="X49" s="7">
        <f t="shared" si="6"/>
        <v>-4329.24</v>
      </c>
      <c r="Y49" s="3"/>
      <c r="Z49" s="8">
        <f t="shared" si="7"/>
        <v>-0.95584248129929084</v>
      </c>
    </row>
    <row r="50" spans="1:26" s="69" customFormat="1" ht="15" hidden="1" customHeight="1" outlineLevel="2" x14ac:dyDescent="0.25">
      <c r="A50" s="25"/>
      <c r="B50" s="12" t="str">
        <f>CONCATENATE("          ","6336"," - ","PROFESSIONAL SERVICES")</f>
        <v xml:space="preserve">          6336 - PROFESSIONAL SERVICES</v>
      </c>
      <c r="C50" s="12"/>
      <c r="D50" s="7"/>
      <c r="E50" s="3"/>
      <c r="F50" s="8">
        <f t="shared" si="0"/>
        <v>0</v>
      </c>
      <c r="G50" s="3"/>
      <c r="H50" s="7"/>
      <c r="I50" s="3"/>
      <c r="J50" s="8">
        <f t="shared" si="1"/>
        <v>0</v>
      </c>
      <c r="K50" s="3"/>
      <c r="L50" s="7">
        <f t="shared" si="2"/>
        <v>0</v>
      </c>
      <c r="M50" s="3"/>
      <c r="N50" s="8">
        <f t="shared" si="3"/>
        <v>0</v>
      </c>
      <c r="O50" s="12"/>
      <c r="P50" s="7">
        <v>8325</v>
      </c>
      <c r="Q50" s="3"/>
      <c r="R50" s="8">
        <f t="shared" si="4"/>
        <v>0</v>
      </c>
      <c r="S50" s="3"/>
      <c r="T50" s="7"/>
      <c r="U50" s="3"/>
      <c r="V50" s="8">
        <f t="shared" si="5"/>
        <v>0</v>
      </c>
      <c r="W50" s="3"/>
      <c r="X50" s="7">
        <f t="shared" si="6"/>
        <v>8325</v>
      </c>
      <c r="Y50" s="3"/>
      <c r="Z50" s="8">
        <f t="shared" si="7"/>
        <v>0</v>
      </c>
    </row>
    <row r="51" spans="1:26" s="68" customFormat="1" ht="15" customHeight="1" outlineLevel="1" collapsed="1" x14ac:dyDescent="0.25">
      <c r="A51" s="26"/>
      <c r="B51" s="14" t="str">
        <f>CONCATENATE("     ","Repair and Maintenance                            ")</f>
        <v xml:space="preserve">     Repair and Maintenance                            </v>
      </c>
      <c r="C51" s="14"/>
      <c r="D51" s="2">
        <f>SUM(OSRRefD22_10x_0)</f>
        <v>3024.05</v>
      </c>
      <c r="E51" s="2"/>
      <c r="F51" s="6">
        <f t="shared" si="0"/>
        <v>0</v>
      </c>
      <c r="G51" s="2"/>
      <c r="H51" s="2">
        <f>SUM(OSRRefH22_10x_0)</f>
        <v>2210.09</v>
      </c>
      <c r="I51" s="2"/>
      <c r="J51" s="6">
        <f t="shared" si="1"/>
        <v>0</v>
      </c>
      <c r="K51" s="2"/>
      <c r="L51" s="2">
        <f t="shared" si="2"/>
        <v>813.96</v>
      </c>
      <c r="M51" s="2"/>
      <c r="N51" s="6">
        <f t="shared" si="3"/>
        <v>0.36829269396268932</v>
      </c>
      <c r="O51" s="14"/>
      <c r="P51" s="2">
        <f>SUM(OSRRefP22_10x_0)</f>
        <v>31192.980000000003</v>
      </c>
      <c r="Q51" s="2"/>
      <c r="R51" s="6">
        <f t="shared" si="4"/>
        <v>0</v>
      </c>
      <c r="S51" s="2"/>
      <c r="T51" s="2">
        <f>SUM(OSRRefT22_10x_0)</f>
        <v>24339.279999999999</v>
      </c>
      <c r="U51" s="2"/>
      <c r="V51" s="6">
        <f t="shared" si="5"/>
        <v>0</v>
      </c>
      <c r="W51" s="2"/>
      <c r="X51" s="2">
        <f t="shared" si="6"/>
        <v>6853.7000000000044</v>
      </c>
      <c r="Y51" s="2"/>
      <c r="Z51" s="6">
        <f t="shared" si="7"/>
        <v>0.28159008812093062</v>
      </c>
    </row>
    <row r="52" spans="1:26" s="69" customFormat="1" ht="15" hidden="1" customHeight="1" outlineLevel="2" x14ac:dyDescent="0.25">
      <c r="A52" s="25"/>
      <c r="B52" s="12" t="str">
        <f>CONCATENATE("          ","6371"," - ","COMPUTER SOFTWARE MAINTENANCE")</f>
        <v xml:space="preserve">          6371 - COMPUTER SOFTWARE MAINTENANCE</v>
      </c>
      <c r="C52" s="12"/>
      <c r="D52" s="7"/>
      <c r="E52" s="3"/>
      <c r="F52" s="8">
        <f t="shared" si="0"/>
        <v>0</v>
      </c>
      <c r="G52" s="3"/>
      <c r="H52" s="7"/>
      <c r="I52" s="3"/>
      <c r="J52" s="8">
        <f t="shared" si="1"/>
        <v>0</v>
      </c>
      <c r="K52" s="3"/>
      <c r="L52" s="7">
        <f t="shared" si="2"/>
        <v>0</v>
      </c>
      <c r="M52" s="3"/>
      <c r="N52" s="8">
        <f t="shared" si="3"/>
        <v>0</v>
      </c>
      <c r="O52" s="12"/>
      <c r="P52" s="7"/>
      <c r="Q52" s="3"/>
      <c r="R52" s="8">
        <f t="shared" si="4"/>
        <v>0</v>
      </c>
      <c r="S52" s="3"/>
      <c r="T52" s="7">
        <v>1980</v>
      </c>
      <c r="U52" s="3"/>
      <c r="V52" s="8">
        <f t="shared" si="5"/>
        <v>0</v>
      </c>
      <c r="W52" s="3"/>
      <c r="X52" s="7">
        <f t="shared" si="6"/>
        <v>-1980</v>
      </c>
      <c r="Y52" s="3"/>
      <c r="Z52" s="8">
        <f t="shared" si="7"/>
        <v>-1</v>
      </c>
    </row>
    <row r="53" spans="1:26" s="69" customFormat="1" ht="15" hidden="1" customHeight="1" outlineLevel="2" x14ac:dyDescent="0.25">
      <c r="A53" s="25"/>
      <c r="B53" s="12" t="str">
        <f>CONCATENATE("          ","6373"," - ","MAINTENANCE CONTRACTS")</f>
        <v xml:space="preserve">          6373 - MAINTENANCE CONTRACTS</v>
      </c>
      <c r="C53" s="12"/>
      <c r="D53" s="7">
        <v>3024.05</v>
      </c>
      <c r="E53" s="3"/>
      <c r="F53" s="8">
        <f t="shared" si="0"/>
        <v>0</v>
      </c>
      <c r="G53" s="3"/>
      <c r="H53" s="7">
        <v>2210.09</v>
      </c>
      <c r="I53" s="3"/>
      <c r="J53" s="8">
        <f t="shared" si="1"/>
        <v>0</v>
      </c>
      <c r="K53" s="3"/>
      <c r="L53" s="7">
        <f t="shared" si="2"/>
        <v>813.96</v>
      </c>
      <c r="M53" s="3"/>
      <c r="N53" s="8">
        <f t="shared" si="3"/>
        <v>0.36829269396268932</v>
      </c>
      <c r="O53" s="12"/>
      <c r="P53" s="7">
        <v>31094.99</v>
      </c>
      <c r="Q53" s="3"/>
      <c r="R53" s="8">
        <f t="shared" si="4"/>
        <v>0</v>
      </c>
      <c r="S53" s="3"/>
      <c r="T53" s="7">
        <v>22359.279999999999</v>
      </c>
      <c r="U53" s="3"/>
      <c r="V53" s="8">
        <f t="shared" si="5"/>
        <v>0</v>
      </c>
      <c r="W53" s="3"/>
      <c r="X53" s="7">
        <f t="shared" si="6"/>
        <v>8735.7100000000028</v>
      </c>
      <c r="Y53" s="3"/>
      <c r="Z53" s="8">
        <f t="shared" si="7"/>
        <v>0.39069728542242876</v>
      </c>
    </row>
    <row r="54" spans="1:26" s="69" customFormat="1" ht="15" hidden="1" customHeight="1" outlineLevel="2" x14ac:dyDescent="0.25">
      <c r="A54" s="25"/>
      <c r="B54" s="12" t="str">
        <f>CONCATENATE("          ","6375"," - ","OUTSIDE REPAIRS &amp; MAINTENANCE")</f>
        <v xml:space="preserve">          6375 - OUTSIDE REPAIRS &amp; MAINTENANCE</v>
      </c>
      <c r="C54" s="12"/>
      <c r="D54" s="7"/>
      <c r="E54" s="3"/>
      <c r="F54" s="8">
        <f t="shared" si="0"/>
        <v>0</v>
      </c>
      <c r="G54" s="3"/>
      <c r="H54" s="7"/>
      <c r="I54" s="3"/>
      <c r="J54" s="8">
        <f t="shared" si="1"/>
        <v>0</v>
      </c>
      <c r="K54" s="3"/>
      <c r="L54" s="7">
        <f t="shared" si="2"/>
        <v>0</v>
      </c>
      <c r="M54" s="3"/>
      <c r="N54" s="8">
        <f t="shared" si="3"/>
        <v>0</v>
      </c>
      <c r="O54" s="12"/>
      <c r="P54" s="7">
        <v>97.99</v>
      </c>
      <c r="Q54" s="3"/>
      <c r="R54" s="8">
        <f t="shared" si="4"/>
        <v>0</v>
      </c>
      <c r="S54" s="3"/>
      <c r="T54" s="7"/>
      <c r="U54" s="3"/>
      <c r="V54" s="8">
        <f t="shared" si="5"/>
        <v>0</v>
      </c>
      <c r="W54" s="3"/>
      <c r="X54" s="7">
        <f t="shared" si="6"/>
        <v>97.99</v>
      </c>
      <c r="Y54" s="3"/>
      <c r="Z54" s="8">
        <f t="shared" si="7"/>
        <v>0</v>
      </c>
    </row>
    <row r="55" spans="1:26" s="68" customFormat="1" ht="15" customHeight="1" outlineLevel="1" collapsed="1" x14ac:dyDescent="0.25">
      <c r="A55" s="26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2">
        <f>SUM(OSRRefD22_11x_0)</f>
        <v>0</v>
      </c>
      <c r="E55" s="2"/>
      <c r="F55" s="6">
        <f t="shared" si="0"/>
        <v>0</v>
      </c>
      <c r="G55" s="2"/>
      <c r="H55" s="2">
        <f>SUM(OSRRefH22_11x_0)</f>
        <v>2400</v>
      </c>
      <c r="I55" s="2"/>
      <c r="J55" s="6">
        <f t="shared" si="1"/>
        <v>0</v>
      </c>
      <c r="K55" s="2"/>
      <c r="L55" s="2">
        <f t="shared" si="2"/>
        <v>-2400</v>
      </c>
      <c r="M55" s="2"/>
      <c r="N55" s="6">
        <f t="shared" si="3"/>
        <v>-1</v>
      </c>
      <c r="O55" s="14"/>
      <c r="P55" s="2">
        <f>SUM(OSRRefP22_11x_0)</f>
        <v>5622</v>
      </c>
      <c r="Q55" s="2"/>
      <c r="R55" s="6">
        <f t="shared" si="4"/>
        <v>0</v>
      </c>
      <c r="S55" s="2"/>
      <c r="T55" s="2">
        <f>SUM(OSRRefT22_11x_0)</f>
        <v>8793</v>
      </c>
      <c r="U55" s="2"/>
      <c r="V55" s="6">
        <f t="shared" si="5"/>
        <v>0</v>
      </c>
      <c r="W55" s="2"/>
      <c r="X55" s="2">
        <f t="shared" si="6"/>
        <v>-3171</v>
      </c>
      <c r="Y55" s="2"/>
      <c r="Z55" s="6">
        <f t="shared" si="7"/>
        <v>-0.36062777209143637</v>
      </c>
    </row>
    <row r="56" spans="1:26" s="69" customFormat="1" ht="15" hidden="1" customHeight="1" outlineLevel="2" x14ac:dyDescent="0.25">
      <c r="A56" s="25"/>
      <c r="B56" s="12" t="str">
        <f>CONCATENATE("          ","6258"," - ","MEMBERSHIP DUES")</f>
        <v xml:space="preserve">          6258 - MEMBERSHIP DUES</v>
      </c>
      <c r="C56" s="12"/>
      <c r="D56" s="7"/>
      <c r="E56" s="3"/>
      <c r="F56" s="8">
        <f t="shared" si="0"/>
        <v>0</v>
      </c>
      <c r="G56" s="3"/>
      <c r="H56" s="7">
        <v>2400</v>
      </c>
      <c r="I56" s="3"/>
      <c r="J56" s="8">
        <f t="shared" si="1"/>
        <v>0</v>
      </c>
      <c r="K56" s="3"/>
      <c r="L56" s="7">
        <f t="shared" si="2"/>
        <v>-2400</v>
      </c>
      <c r="M56" s="3"/>
      <c r="N56" s="8">
        <f t="shared" si="3"/>
        <v>-1</v>
      </c>
      <c r="O56" s="12"/>
      <c r="P56" s="7">
        <v>5622</v>
      </c>
      <c r="Q56" s="3"/>
      <c r="R56" s="8">
        <f t="shared" si="4"/>
        <v>0</v>
      </c>
      <c r="S56" s="3"/>
      <c r="T56" s="7">
        <v>8793</v>
      </c>
      <c r="U56" s="3"/>
      <c r="V56" s="8">
        <f t="shared" si="5"/>
        <v>0</v>
      </c>
      <c r="W56" s="3"/>
      <c r="X56" s="7">
        <f t="shared" si="6"/>
        <v>-3171</v>
      </c>
      <c r="Y56" s="3"/>
      <c r="Z56" s="8">
        <f t="shared" si="7"/>
        <v>-0.36062777209143637</v>
      </c>
    </row>
    <row r="57" spans="1:26" s="68" customFormat="1" ht="15" customHeight="1" outlineLevel="1" collapsed="1" x14ac:dyDescent="0.25">
      <c r="A57" s="26"/>
      <c r="B57" s="14" t="str">
        <f>CONCATENATE("     ","Supplies                                          ")</f>
        <v xml:space="preserve">     Supplies                                          </v>
      </c>
      <c r="C57" s="14"/>
      <c r="D57" s="2">
        <f>SUM(OSRRefD22_12x_0)</f>
        <v>0</v>
      </c>
      <c r="E57" s="2"/>
      <c r="F57" s="6">
        <f t="shared" si="0"/>
        <v>0</v>
      </c>
      <c r="G57" s="2"/>
      <c r="H57" s="2">
        <f>SUM(OSRRefH22_12x_0)</f>
        <v>0</v>
      </c>
      <c r="I57" s="2"/>
      <c r="J57" s="6">
        <f t="shared" si="1"/>
        <v>0</v>
      </c>
      <c r="K57" s="2"/>
      <c r="L57" s="2">
        <f t="shared" si="2"/>
        <v>0</v>
      </c>
      <c r="M57" s="2"/>
      <c r="N57" s="6">
        <f t="shared" si="3"/>
        <v>0</v>
      </c>
      <c r="O57" s="14"/>
      <c r="P57" s="2">
        <f>SUM(OSRRefP22_12x_0)</f>
        <v>409.15</v>
      </c>
      <c r="Q57" s="2"/>
      <c r="R57" s="6">
        <f t="shared" si="4"/>
        <v>0</v>
      </c>
      <c r="S57" s="2"/>
      <c r="T57" s="2">
        <f>SUM(OSRRefT22_12x_0)</f>
        <v>643.69000000000005</v>
      </c>
      <c r="U57" s="2"/>
      <c r="V57" s="6">
        <f t="shared" si="5"/>
        <v>0</v>
      </c>
      <c r="W57" s="2"/>
      <c r="X57" s="2">
        <f t="shared" si="6"/>
        <v>-234.54000000000008</v>
      </c>
      <c r="Y57" s="2"/>
      <c r="Z57" s="6">
        <f t="shared" si="7"/>
        <v>-0.36436794108965503</v>
      </c>
    </row>
    <row r="58" spans="1:26" s="69" customFormat="1" ht="15" hidden="1" customHeight="1" outlineLevel="2" x14ac:dyDescent="0.25">
      <c r="A58" s="25"/>
      <c r="B58" s="12" t="str">
        <f>CONCATENATE("          ","6235"," - ","COVID-19 EXPENSES")</f>
        <v xml:space="preserve">          6235 - COVID-19 EXPENSES</v>
      </c>
      <c r="C58" s="12"/>
      <c r="D58" s="7"/>
      <c r="E58" s="3"/>
      <c r="F58" s="8">
        <f t="shared" si="0"/>
        <v>0</v>
      </c>
      <c r="G58" s="3"/>
      <c r="H58" s="7"/>
      <c r="I58" s="3"/>
      <c r="J58" s="8">
        <f t="shared" si="1"/>
        <v>0</v>
      </c>
      <c r="K58" s="3"/>
      <c r="L58" s="7">
        <f t="shared" si="2"/>
        <v>0</v>
      </c>
      <c r="M58" s="3"/>
      <c r="N58" s="8">
        <f t="shared" si="3"/>
        <v>0</v>
      </c>
      <c r="O58" s="12"/>
      <c r="P58" s="7"/>
      <c r="Q58" s="3"/>
      <c r="R58" s="8">
        <f t="shared" si="4"/>
        <v>0</v>
      </c>
      <c r="S58" s="3"/>
      <c r="T58" s="7">
        <v>106.94</v>
      </c>
      <c r="U58" s="3"/>
      <c r="V58" s="8">
        <f t="shared" si="5"/>
        <v>0</v>
      </c>
      <c r="W58" s="3"/>
      <c r="X58" s="7">
        <f t="shared" si="6"/>
        <v>-106.94</v>
      </c>
      <c r="Y58" s="3"/>
      <c r="Z58" s="8">
        <f t="shared" si="7"/>
        <v>-1</v>
      </c>
    </row>
    <row r="59" spans="1:26" s="69" customFormat="1" ht="15" hidden="1" customHeight="1" outlineLevel="2" x14ac:dyDescent="0.25">
      <c r="A59" s="25"/>
      <c r="B59" s="12" t="str">
        <f>CONCATENATE("          ","6241"," - ","OFFICE EXPENSE")</f>
        <v xml:space="preserve">          6241 - OFFICE EXPENSE</v>
      </c>
      <c r="C59" s="12"/>
      <c r="D59" s="7"/>
      <c r="E59" s="3"/>
      <c r="F59" s="8">
        <f t="shared" si="0"/>
        <v>0</v>
      </c>
      <c r="G59" s="3"/>
      <c r="H59" s="7"/>
      <c r="I59" s="3"/>
      <c r="J59" s="8">
        <f t="shared" si="1"/>
        <v>0</v>
      </c>
      <c r="K59" s="3"/>
      <c r="L59" s="7">
        <f t="shared" si="2"/>
        <v>0</v>
      </c>
      <c r="M59" s="3"/>
      <c r="N59" s="8">
        <f t="shared" si="3"/>
        <v>0</v>
      </c>
      <c r="O59" s="12"/>
      <c r="P59" s="7">
        <v>409.15</v>
      </c>
      <c r="Q59" s="3"/>
      <c r="R59" s="8">
        <f t="shared" si="4"/>
        <v>0</v>
      </c>
      <c r="S59" s="3"/>
      <c r="T59" s="7">
        <v>536.75</v>
      </c>
      <c r="U59" s="3"/>
      <c r="V59" s="8">
        <f t="shared" si="5"/>
        <v>0</v>
      </c>
      <c r="W59" s="3"/>
      <c r="X59" s="7">
        <f t="shared" si="6"/>
        <v>-127.60000000000002</v>
      </c>
      <c r="Y59" s="3"/>
      <c r="Z59" s="8">
        <f t="shared" si="7"/>
        <v>-0.23772706101537033</v>
      </c>
    </row>
    <row r="60" spans="1:26" s="68" customFormat="1" ht="15" customHeight="1" outlineLevel="1" collapsed="1" x14ac:dyDescent="0.25">
      <c r="A60" s="26"/>
      <c r="B60" s="14" t="str">
        <f>CONCATENATE("     ","Telephone/Data Lines                              ")</f>
        <v xml:space="preserve">     Telephone/Data Lines                              </v>
      </c>
      <c r="C60" s="14"/>
      <c r="D60" s="2">
        <f>SUM(OSRRefD22_13x_0)</f>
        <v>381.13</v>
      </c>
      <c r="E60" s="2"/>
      <c r="F60" s="6">
        <f t="shared" si="0"/>
        <v>0</v>
      </c>
      <c r="G60" s="2"/>
      <c r="H60" s="2">
        <f>SUM(OSRRefH22_13x_0)</f>
        <v>264</v>
      </c>
      <c r="I60" s="2"/>
      <c r="J60" s="6">
        <f t="shared" si="1"/>
        <v>0</v>
      </c>
      <c r="K60" s="2"/>
      <c r="L60" s="2">
        <f t="shared" si="2"/>
        <v>117.13</v>
      </c>
      <c r="M60" s="2"/>
      <c r="N60" s="6">
        <f t="shared" si="3"/>
        <v>0.44367424242424242</v>
      </c>
      <c r="O60" s="14"/>
      <c r="P60" s="2">
        <f>SUM(OSRRefP22_13x_0)</f>
        <v>4799.04</v>
      </c>
      <c r="Q60" s="2"/>
      <c r="R60" s="6">
        <f t="shared" si="4"/>
        <v>0</v>
      </c>
      <c r="S60" s="2"/>
      <c r="T60" s="2">
        <f>SUM(OSRRefT22_13x_0)</f>
        <v>4233.62</v>
      </c>
      <c r="U60" s="2"/>
      <c r="V60" s="6">
        <f t="shared" si="5"/>
        <v>0</v>
      </c>
      <c r="W60" s="2"/>
      <c r="X60" s="2">
        <f t="shared" si="6"/>
        <v>565.42000000000007</v>
      </c>
      <c r="Y60" s="2"/>
      <c r="Z60" s="6">
        <f t="shared" si="7"/>
        <v>0.13355473566356926</v>
      </c>
    </row>
    <row r="61" spans="1:26" s="69" customFormat="1" ht="15" hidden="1" customHeight="1" outlineLevel="2" x14ac:dyDescent="0.25">
      <c r="A61" s="25"/>
      <c r="B61" s="12" t="str">
        <f>CONCATENATE("          ","6309"," - ","TELEPHONE")</f>
        <v xml:space="preserve">          6309 - TELEPHONE</v>
      </c>
      <c r="C61" s="12"/>
      <c r="D61" s="7">
        <v>381.13</v>
      </c>
      <c r="E61" s="3"/>
      <c r="F61" s="8">
        <f t="shared" si="0"/>
        <v>0</v>
      </c>
      <c r="G61" s="3"/>
      <c r="H61" s="7">
        <v>264</v>
      </c>
      <c r="I61" s="3"/>
      <c r="J61" s="8">
        <f t="shared" si="1"/>
        <v>0</v>
      </c>
      <c r="K61" s="3"/>
      <c r="L61" s="7">
        <f t="shared" si="2"/>
        <v>117.13</v>
      </c>
      <c r="M61" s="3"/>
      <c r="N61" s="8">
        <f t="shared" si="3"/>
        <v>0.44367424242424242</v>
      </c>
      <c r="O61" s="12"/>
      <c r="P61" s="7">
        <v>4799.04</v>
      </c>
      <c r="Q61" s="3"/>
      <c r="R61" s="8">
        <f t="shared" si="4"/>
        <v>0</v>
      </c>
      <c r="S61" s="3"/>
      <c r="T61" s="7">
        <v>4233.62</v>
      </c>
      <c r="U61" s="3"/>
      <c r="V61" s="8">
        <f t="shared" si="5"/>
        <v>0</v>
      </c>
      <c r="W61" s="3"/>
      <c r="X61" s="7">
        <f t="shared" si="6"/>
        <v>565.42000000000007</v>
      </c>
      <c r="Y61" s="3"/>
      <c r="Z61" s="8">
        <f t="shared" si="7"/>
        <v>0.13355473566356926</v>
      </c>
    </row>
    <row r="62" spans="1:26" s="68" customFormat="1" ht="15" customHeight="1" outlineLevel="1" collapsed="1" x14ac:dyDescent="0.25">
      <c r="A62" s="26"/>
      <c r="B62" s="14" t="str">
        <f>CONCATENATE("     ","Training                                          ")</f>
        <v xml:space="preserve">     Training                                          </v>
      </c>
      <c r="C62" s="14"/>
      <c r="D62" s="2">
        <f>SUM(OSRRefD22_14x_0)</f>
        <v>0</v>
      </c>
      <c r="E62" s="2"/>
      <c r="F62" s="6">
        <f t="shared" si="0"/>
        <v>0</v>
      </c>
      <c r="G62" s="2"/>
      <c r="H62" s="2">
        <f>SUM(OSRRefH22_14x_0)</f>
        <v>0</v>
      </c>
      <c r="I62" s="2"/>
      <c r="J62" s="6">
        <f t="shared" si="1"/>
        <v>0</v>
      </c>
      <c r="K62" s="2"/>
      <c r="L62" s="2">
        <f t="shared" si="2"/>
        <v>0</v>
      </c>
      <c r="M62" s="2"/>
      <c r="N62" s="6">
        <f t="shared" si="3"/>
        <v>0</v>
      </c>
      <c r="O62" s="14"/>
      <c r="P62" s="2">
        <f>SUM(OSRRefP22_14x_0)</f>
        <v>0</v>
      </c>
      <c r="Q62" s="2"/>
      <c r="R62" s="6">
        <f t="shared" si="4"/>
        <v>0</v>
      </c>
      <c r="S62" s="2"/>
      <c r="T62" s="2">
        <f>SUM(OSRRefT22_14x_0)</f>
        <v>4276.5</v>
      </c>
      <c r="U62" s="2"/>
      <c r="V62" s="6">
        <f t="shared" si="5"/>
        <v>0</v>
      </c>
      <c r="W62" s="2"/>
      <c r="X62" s="2">
        <f t="shared" si="6"/>
        <v>-4276.5</v>
      </c>
      <c r="Y62" s="2"/>
      <c r="Z62" s="6">
        <f t="shared" si="7"/>
        <v>-1</v>
      </c>
    </row>
    <row r="63" spans="1:26" s="69" customFormat="1" ht="15" hidden="1" customHeight="1" outlineLevel="2" x14ac:dyDescent="0.25">
      <c r="A63" s="25"/>
      <c r="B63" s="12" t="str">
        <f>CONCATENATE("          ","6376"," - ","TRAINING")</f>
        <v xml:space="preserve">          6376 - TRAINING</v>
      </c>
      <c r="C63" s="12"/>
      <c r="D63" s="7"/>
      <c r="E63" s="3"/>
      <c r="F63" s="8">
        <f t="shared" si="0"/>
        <v>0</v>
      </c>
      <c r="G63" s="3"/>
      <c r="H63" s="7"/>
      <c r="I63" s="3"/>
      <c r="J63" s="8">
        <f t="shared" si="1"/>
        <v>0</v>
      </c>
      <c r="K63" s="3"/>
      <c r="L63" s="7">
        <f t="shared" si="2"/>
        <v>0</v>
      </c>
      <c r="M63" s="3"/>
      <c r="N63" s="8">
        <f t="shared" si="3"/>
        <v>0</v>
      </c>
      <c r="O63" s="12"/>
      <c r="P63" s="7">
        <v>0</v>
      </c>
      <c r="Q63" s="3"/>
      <c r="R63" s="8">
        <f t="shared" si="4"/>
        <v>0</v>
      </c>
      <c r="S63" s="3"/>
      <c r="T63" s="7">
        <v>4276.5</v>
      </c>
      <c r="U63" s="3"/>
      <c r="V63" s="8">
        <f t="shared" si="5"/>
        <v>0</v>
      </c>
      <c r="W63" s="3"/>
      <c r="X63" s="7">
        <f t="shared" si="6"/>
        <v>-4276.5</v>
      </c>
      <c r="Y63" s="3"/>
      <c r="Z63" s="8">
        <f t="shared" si="7"/>
        <v>-1</v>
      </c>
    </row>
    <row r="64" spans="1:26" s="64" customFormat="1" ht="15" customHeight="1" x14ac:dyDescent="0.25">
      <c r="A64" s="36"/>
      <c r="B64" s="36"/>
      <c r="C64" s="36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3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62" customFormat="1" ht="15" customHeight="1" x14ac:dyDescent="0.25">
      <c r="A65" s="11"/>
      <c r="B65" s="28" t="s">
        <v>290</v>
      </c>
      <c r="C65" s="11"/>
      <c r="D65" s="5">
        <f>SUM(0)</f>
        <v>0</v>
      </c>
      <c r="E65" s="5"/>
      <c r="F65" s="13">
        <f>IF(D$12=0,0,D65/D$12)</f>
        <v>0</v>
      </c>
      <c r="G65" s="5"/>
      <c r="H65" s="5">
        <f>SUM(0)</f>
        <v>0</v>
      </c>
      <c r="I65" s="5"/>
      <c r="J65" s="13">
        <f>IF(H$12=0,0,H65/H$12)</f>
        <v>0</v>
      </c>
      <c r="K65" s="5"/>
      <c r="L65" s="5">
        <f>+D65-H65</f>
        <v>0</v>
      </c>
      <c r="M65" s="5"/>
      <c r="N65" s="13">
        <f>IF(H65=0,0,L65/H65)</f>
        <v>0</v>
      </c>
      <c r="O65" s="11"/>
      <c r="P65" s="5">
        <f>SUM(0)</f>
        <v>0</v>
      </c>
      <c r="Q65" s="5"/>
      <c r="R65" s="13">
        <f>IF(P$12=0,0,P65/P$12)</f>
        <v>0</v>
      </c>
      <c r="S65" s="5"/>
      <c r="T65" s="5">
        <f>SUM(0)</f>
        <v>0</v>
      </c>
      <c r="U65" s="5"/>
      <c r="V65" s="13">
        <f>IF(T$12=0,0,T65/T$12)</f>
        <v>0</v>
      </c>
      <c r="W65" s="5"/>
      <c r="X65" s="5">
        <f>+P65-T65</f>
        <v>0</v>
      </c>
      <c r="Y65" s="5"/>
      <c r="Z65" s="13">
        <f>IF(T65=0,0,X65/T65)</f>
        <v>0</v>
      </c>
    </row>
    <row r="66" spans="1:26" ht="15" customHeight="1" x14ac:dyDescent="0.25">
      <c r="A66" s="10"/>
      <c r="B66" s="11"/>
      <c r="C66" s="11"/>
      <c r="D66" s="4"/>
      <c r="E66" s="4"/>
      <c r="F66" s="9"/>
      <c r="G66" s="4"/>
      <c r="H66" s="4"/>
      <c r="I66" s="4"/>
      <c r="J66" s="9"/>
      <c r="K66" s="4"/>
      <c r="L66" s="4"/>
      <c r="M66" s="4"/>
      <c r="N66" s="9"/>
      <c r="O66" s="11"/>
      <c r="P66" s="4"/>
      <c r="Q66" s="4"/>
      <c r="R66" s="9"/>
      <c r="S66" s="4"/>
      <c r="T66" s="4"/>
      <c r="U66" s="4"/>
      <c r="V66" s="9"/>
      <c r="W66" s="4"/>
      <c r="X66" s="4"/>
      <c r="Y66" s="4"/>
      <c r="Z66" s="9"/>
    </row>
    <row r="67" spans="1:26" s="62" customFormat="1" ht="15" customHeight="1" x14ac:dyDescent="0.25">
      <c r="A67" s="11"/>
      <c r="B67" s="27" t="s">
        <v>291</v>
      </c>
      <c r="C67" s="27"/>
      <c r="D67" s="22">
        <f>+D16-D18+D65</f>
        <v>-36125.549999999996</v>
      </c>
      <c r="E67" s="15"/>
      <c r="F67" s="23">
        <f>IF(D$12=0,0,D67/D$12)</f>
        <v>0</v>
      </c>
      <c r="G67" s="15"/>
      <c r="H67" s="22">
        <f>+H16-H18+H65</f>
        <v>-34019.14</v>
      </c>
      <c r="I67" s="15"/>
      <c r="J67" s="23">
        <f>IF(H$12=0,0,H67/H$12)</f>
        <v>0</v>
      </c>
      <c r="K67" s="16"/>
      <c r="L67" s="22">
        <f>+D67-H67</f>
        <v>-2106.4099999999962</v>
      </c>
      <c r="M67" s="16"/>
      <c r="N67" s="23">
        <f>IF(H67=0,0,L67/H67)</f>
        <v>6.1918378889060578E-2</v>
      </c>
      <c r="O67" s="28"/>
      <c r="P67" s="22">
        <f>+P16-P18+P65</f>
        <v>-523849.50999999995</v>
      </c>
      <c r="Q67" s="15"/>
      <c r="R67" s="23">
        <f>IF(P$12=0,0,P67/P$12)</f>
        <v>0</v>
      </c>
      <c r="S67" s="15"/>
      <c r="T67" s="22">
        <f>+T16-T18+T65</f>
        <v>-413506.18</v>
      </c>
      <c r="U67" s="15"/>
      <c r="V67" s="23">
        <f>IF(T$12=0,0,T67/T$12)</f>
        <v>0</v>
      </c>
      <c r="W67" s="16"/>
      <c r="X67" s="22">
        <f>+P67-T67</f>
        <v>-110343.32999999996</v>
      </c>
      <c r="Y67" s="16"/>
      <c r="Z67" s="23">
        <f>IF(T67=0,0,X67/T67)</f>
        <v>0.2668480795135878</v>
      </c>
    </row>
    <row r="68" spans="1:26" ht="15" customHeight="1" x14ac:dyDescent="0.25">
      <c r="A68" s="10"/>
      <c r="B68" s="11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25">
      <c r="A69" s="48"/>
      <c r="B69" s="11" t="s">
        <v>292</v>
      </c>
      <c r="C69" s="11"/>
      <c r="D69" s="5"/>
      <c r="E69" s="5"/>
      <c r="F69" s="13">
        <f>IF(D$12=0,0,D69/D$12)</f>
        <v>0</v>
      </c>
      <c r="G69" s="5"/>
      <c r="H69" s="5"/>
      <c r="I69" s="5"/>
      <c r="J69" s="13">
        <f>IF(H$12=0,0,H69/H$12)</f>
        <v>0</v>
      </c>
      <c r="K69" s="5"/>
      <c r="L69" s="5">
        <f>+D69-H69</f>
        <v>0</v>
      </c>
      <c r="M69" s="5"/>
      <c r="N69" s="13">
        <f>IF(H69=0,0,L69/H69)</f>
        <v>0</v>
      </c>
      <c r="O69" s="11"/>
      <c r="P69" s="5"/>
      <c r="Q69" s="5"/>
      <c r="R69" s="13">
        <f>IF(P$12=0,0,P69/P$12)</f>
        <v>0</v>
      </c>
      <c r="S69" s="5"/>
      <c r="T69" s="5"/>
      <c r="U69" s="5"/>
      <c r="V69" s="13">
        <f>IF(T$12=0,0,T69/T$12)</f>
        <v>0</v>
      </c>
      <c r="W69" s="5"/>
      <c r="X69" s="5">
        <f>+P69-T69</f>
        <v>0</v>
      </c>
      <c r="Y69" s="5"/>
      <c r="Z69" s="13">
        <f>IF(T69=0,0,X69/T69)</f>
        <v>0</v>
      </c>
    </row>
    <row r="70" spans="1:26" ht="15" customHeight="1" x14ac:dyDescent="0.25">
      <c r="A70" s="10"/>
      <c r="B70" s="11"/>
      <c r="C70" s="11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O70" s="11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25">
      <c r="A71" s="11"/>
      <c r="B71" s="27" t="s">
        <v>293</v>
      </c>
      <c r="C71" s="27"/>
      <c r="D71" s="35">
        <f>+D67-D69</f>
        <v>-36125.549999999996</v>
      </c>
      <c r="E71" s="15"/>
      <c r="F71" s="30">
        <f>IF(D$12=0,0,D71/D$12)</f>
        <v>0</v>
      </c>
      <c r="G71" s="15"/>
      <c r="H71" s="35">
        <f>+H67-H69</f>
        <v>-34019.14</v>
      </c>
      <c r="I71" s="15"/>
      <c r="J71" s="30">
        <f>IF(H$12=0,0,H71/H$12)</f>
        <v>0</v>
      </c>
      <c r="K71" s="16"/>
      <c r="L71" s="35">
        <f>D71-H71</f>
        <v>-2106.4099999999962</v>
      </c>
      <c r="M71" s="16"/>
      <c r="N71" s="30">
        <f>IF(H71=0,0,L71/H71)</f>
        <v>6.1918378889060578E-2</v>
      </c>
      <c r="O71" s="28"/>
      <c r="P71" s="35">
        <f>+P67-P69</f>
        <v>-523849.50999999995</v>
      </c>
      <c r="Q71" s="15"/>
      <c r="R71" s="30">
        <f>IF(P$12=0,0,P71/P$12)</f>
        <v>0</v>
      </c>
      <c r="S71" s="15"/>
      <c r="T71" s="35">
        <f>+T67-T69</f>
        <v>-413506.18</v>
      </c>
      <c r="U71" s="15"/>
      <c r="V71" s="30">
        <f>IF(T$12=0,0,T71/T$12)</f>
        <v>0</v>
      </c>
      <c r="W71" s="16"/>
      <c r="X71" s="35">
        <f>P71-T71</f>
        <v>-110343.32999999996</v>
      </c>
      <c r="Y71" s="16"/>
      <c r="Z71" s="30">
        <f>IF(T71=0,0,X71/T71)</f>
        <v>0.2668480795135878</v>
      </c>
    </row>
    <row r="72" spans="1:26" ht="15" customHeight="1" x14ac:dyDescent="0.25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ht="15" customHeight="1" x14ac:dyDescent="0.25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s="62" customFormat="1" ht="15" customHeight="1" x14ac:dyDescent="0.25">
      <c r="A74" s="11"/>
      <c r="B74" s="27" t="s">
        <v>296</v>
      </c>
      <c r="C74" s="27"/>
      <c r="D74" s="32">
        <f>SUM(D71:D73)</f>
        <v>-36125.549999999996</v>
      </c>
      <c r="E74" s="15"/>
      <c r="F74" s="34">
        <f>IF(D$12=0,0,D74/D$12)</f>
        <v>0</v>
      </c>
      <c r="G74" s="15"/>
      <c r="H74" s="32">
        <f>SUM(H71:H73)</f>
        <v>-34019.14</v>
      </c>
      <c r="I74" s="15"/>
      <c r="J74" s="34">
        <f>IF(H$12=0,0,H74/H$12)</f>
        <v>0</v>
      </c>
      <c r="K74" s="16"/>
      <c r="L74" s="32">
        <f>+D74-H74</f>
        <v>-2106.4099999999962</v>
      </c>
      <c r="M74" s="16"/>
      <c r="N74" s="34">
        <f>IF(H74=0,0,L74/H74)</f>
        <v>6.1918378889060578E-2</v>
      </c>
      <c r="O74" s="28"/>
      <c r="P74" s="32">
        <f>SUM(P71:P73)</f>
        <v>-523849.50999999995</v>
      </c>
      <c r="Q74" s="15"/>
      <c r="R74" s="34">
        <f>IF(P$12=0,0,P74/P$12)</f>
        <v>0</v>
      </c>
      <c r="S74" s="15"/>
      <c r="T74" s="32">
        <f>SUM(T71:T73)</f>
        <v>-413506.18</v>
      </c>
      <c r="U74" s="15"/>
      <c r="V74" s="34">
        <f>IF(T$12=0,0,T74/T$12)</f>
        <v>0</v>
      </c>
      <c r="W74" s="16"/>
      <c r="X74" s="32">
        <f>+P74-T74</f>
        <v>-110343.32999999996</v>
      </c>
      <c r="Y74" s="16"/>
      <c r="Z74" s="34">
        <f>IF(T74=0,0,X74/T74)</f>
        <v>0.2668480795135878</v>
      </c>
    </row>
    <row r="75" spans="1:26" ht="15" customHeight="1" x14ac:dyDescent="0.25">
      <c r="A75" s="10"/>
      <c r="C75" s="10"/>
      <c r="D75" s="18"/>
      <c r="E75" s="18"/>
      <c r="G75" s="18"/>
      <c r="H75" s="18"/>
      <c r="I75" s="18"/>
      <c r="J75" s="41"/>
      <c r="K75" s="18"/>
      <c r="L75" s="18"/>
      <c r="M75" s="18"/>
      <c r="P75" s="18"/>
      <c r="Q75" s="18"/>
      <c r="R75" s="41"/>
      <c r="S75" s="18"/>
      <c r="T75" s="18"/>
      <c r="U75" s="18"/>
      <c r="V75" s="41"/>
      <c r="W75" s="18"/>
      <c r="X75" s="18"/>
    </row>
    <row r="76" spans="1:26" ht="15" customHeight="1" x14ac:dyDescent="0.25">
      <c r="A76" s="10"/>
      <c r="B76" s="50">
        <v>44727.879654085649</v>
      </c>
      <c r="D76" s="18"/>
      <c r="E76" s="18"/>
      <c r="G76" s="18"/>
      <c r="H76" s="18"/>
      <c r="I76" s="18"/>
      <c r="J76" s="41"/>
      <c r="K76" s="18"/>
      <c r="L76" s="18"/>
      <c r="M76" s="18"/>
      <c r="P76" s="18"/>
      <c r="Q76" s="18"/>
      <c r="R76" s="41"/>
      <c r="S76" s="18"/>
      <c r="T76" s="18"/>
      <c r="U76" s="18"/>
      <c r="V76" s="41"/>
      <c r="W76" s="18"/>
      <c r="X76" s="18"/>
    </row>
    <row r="77" spans="1:26" ht="15" customHeight="1" x14ac:dyDescent="0.25">
      <c r="A77" s="10"/>
      <c r="B77" s="53" t="s">
        <v>297</v>
      </c>
      <c r="D77" s="18"/>
      <c r="E77" s="18"/>
      <c r="G77" s="18"/>
      <c r="H77" s="18"/>
      <c r="I77" s="18"/>
      <c r="J77" s="41"/>
      <c r="K77" s="18"/>
      <c r="L77" s="18"/>
      <c r="M77" s="18"/>
      <c r="P77" s="18"/>
      <c r="Q77" s="18"/>
      <c r="R77" s="41"/>
      <c r="S77" s="18"/>
      <c r="T77" s="18"/>
      <c r="U77" s="18"/>
      <c r="V77" s="41"/>
      <c r="W77" s="18"/>
      <c r="X77" s="18"/>
    </row>
    <row r="78" spans="1:26" ht="15" customHeight="1" x14ac:dyDescent="0.25">
      <c r="A78" s="10"/>
      <c r="B78" s="55"/>
      <c r="D78" s="18"/>
      <c r="E78" s="18"/>
      <c r="G78" s="18"/>
      <c r="H78" s="18"/>
      <c r="I78" s="18"/>
      <c r="J78" s="41"/>
      <c r="K78" s="18"/>
      <c r="L78" s="18"/>
      <c r="M78" s="18"/>
      <c r="P78" s="18"/>
      <c r="Q78" s="18"/>
      <c r="R78" s="41"/>
      <c r="S78" s="18"/>
      <c r="T78" s="18"/>
      <c r="U78" s="18"/>
      <c r="V78" s="41"/>
      <c r="W78" s="18"/>
      <c r="X78" s="18"/>
    </row>
    <row r="79" spans="1:26" ht="15" customHeight="1" x14ac:dyDescent="0.25">
      <c r="D79" s="18"/>
      <c r="E79" s="18"/>
      <c r="G79" s="18"/>
      <c r="H79" s="18"/>
      <c r="I79" s="18"/>
      <c r="J79" s="41"/>
      <c r="K79" s="18"/>
      <c r="L79" s="18"/>
      <c r="M79" s="18"/>
      <c r="P79" s="18"/>
      <c r="Q79" s="18"/>
      <c r="R79" s="41"/>
      <c r="S79" s="18"/>
      <c r="T79" s="18"/>
      <c r="U79" s="18"/>
      <c r="V79" s="41"/>
      <c r="W79" s="18"/>
      <c r="X7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F7EFD-D536-224D-B66F-5C9325B42B7D}">
  <sheetPr>
    <tabColor rgb="FF92D050"/>
    <outlinePr summaryBelow="0" summaryRight="0"/>
  </sheetPr>
  <dimension ref="A2:Z7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","202"," - ","Accounting")</f>
        <v>Department 202 - Accounting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34350.779999999992</v>
      </c>
      <c r="E18" s="21"/>
      <c r="F18" s="31">
        <f t="shared" ref="F18:F58" si="0">IF(D$12=0,0,D18/D$12)</f>
        <v>0</v>
      </c>
      <c r="G18" s="21"/>
      <c r="H18" s="21" cm="1">
        <f t="array" ref="H18">SUM(OSRRefH22x_0)</f>
        <v>36932.669999999984</v>
      </c>
      <c r="I18" s="21"/>
      <c r="J18" s="31">
        <f t="shared" ref="J18:J58" si="1">IF(H$12=0,0,H18/H$12)</f>
        <v>0</v>
      </c>
      <c r="K18" s="5"/>
      <c r="L18" s="21">
        <f t="shared" ref="L18:L58" si="2">+D18-H18</f>
        <v>-2581.8899999999921</v>
      </c>
      <c r="M18" s="5"/>
      <c r="N18" s="31">
        <f t="shared" ref="N18:N58" si="3">IF(H18=0,0,L18/H18)</f>
        <v>-6.9908024521378856E-2</v>
      </c>
      <c r="O18" s="11"/>
      <c r="P18" s="21" cm="1">
        <f t="array" ref="P18">SUM(OSRRefP22x_0)</f>
        <v>484393.08000000007</v>
      </c>
      <c r="Q18" s="21"/>
      <c r="R18" s="31">
        <f t="shared" ref="R18:R58" si="4">IF(P$12=0,0,P18/P$12)</f>
        <v>0</v>
      </c>
      <c r="S18" s="21"/>
      <c r="T18" s="21" cm="1">
        <f t="array" ref="T18">SUM(OSRRefT22x_0)</f>
        <v>453992.93999999994</v>
      </c>
      <c r="U18" s="21"/>
      <c r="V18" s="31">
        <f t="shared" ref="V18:V58" si="5">IF(T$12=0,0,T18/T$12)</f>
        <v>0</v>
      </c>
      <c r="W18" s="5"/>
      <c r="X18" s="21">
        <f t="shared" ref="X18:X58" si="6">+P18-T18</f>
        <v>30400.14000000013</v>
      </c>
      <c r="Y18" s="5"/>
      <c r="Z18" s="31">
        <f t="shared" ref="Z18:Z58" si="7">IF(T18=0,0,X18/T18)</f>
        <v>6.6961702091667186E-2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12822.039999999999</v>
      </c>
      <c r="E19" s="2"/>
      <c r="F19" s="6">
        <f t="shared" si="0"/>
        <v>0</v>
      </c>
      <c r="G19" s="2"/>
      <c r="H19" s="2">
        <f>SUM(OSRRefH22_0x_0)</f>
        <v>12953.349999999999</v>
      </c>
      <c r="I19" s="2"/>
      <c r="J19" s="6">
        <f t="shared" si="1"/>
        <v>0</v>
      </c>
      <c r="K19" s="2"/>
      <c r="L19" s="2">
        <f t="shared" si="2"/>
        <v>-131.30999999999949</v>
      </c>
      <c r="M19" s="2"/>
      <c r="N19" s="6">
        <f t="shared" si="3"/>
        <v>-1.0137145989261426E-2</v>
      </c>
      <c r="O19" s="14"/>
      <c r="P19" s="2">
        <f>SUM(OSRRefP22_0x_0)</f>
        <v>152123.32999999999</v>
      </c>
      <c r="Q19" s="2"/>
      <c r="R19" s="6">
        <f t="shared" si="4"/>
        <v>0</v>
      </c>
      <c r="S19" s="2"/>
      <c r="T19" s="2">
        <f>SUM(OSRRefT22_0x_0)</f>
        <v>147015.85</v>
      </c>
      <c r="U19" s="2"/>
      <c r="V19" s="6">
        <f t="shared" si="5"/>
        <v>0</v>
      </c>
      <c r="W19" s="2"/>
      <c r="X19" s="2">
        <f t="shared" si="6"/>
        <v>5107.4799999999814</v>
      </c>
      <c r="Y19" s="2"/>
      <c r="Z19" s="6">
        <f t="shared" si="7"/>
        <v>3.474101601970115E-2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>
        <v>1695.1</v>
      </c>
      <c r="E20" s="3"/>
      <c r="F20" s="8">
        <f t="shared" si="0"/>
        <v>0</v>
      </c>
      <c r="G20" s="3"/>
      <c r="H20" s="7">
        <v>1630.13</v>
      </c>
      <c r="I20" s="3"/>
      <c r="J20" s="8">
        <f t="shared" si="1"/>
        <v>0</v>
      </c>
      <c r="K20" s="3"/>
      <c r="L20" s="7">
        <f t="shared" si="2"/>
        <v>64.9699999999998</v>
      </c>
      <c r="M20" s="3"/>
      <c r="N20" s="8">
        <f t="shared" si="3"/>
        <v>3.9855717028703108E-2</v>
      </c>
      <c r="O20" s="12"/>
      <c r="P20" s="7">
        <v>20062.080000000002</v>
      </c>
      <c r="Q20" s="3"/>
      <c r="R20" s="8">
        <f t="shared" si="4"/>
        <v>0</v>
      </c>
      <c r="S20" s="3"/>
      <c r="T20" s="7">
        <v>20769.900000000001</v>
      </c>
      <c r="U20" s="3"/>
      <c r="V20" s="8">
        <f t="shared" si="5"/>
        <v>0</v>
      </c>
      <c r="W20" s="3"/>
      <c r="X20" s="7">
        <f t="shared" si="6"/>
        <v>-707.81999999999971</v>
      </c>
      <c r="Y20" s="3"/>
      <c r="Z20" s="8">
        <f t="shared" si="7"/>
        <v>-3.4079124117111767E-2</v>
      </c>
    </row>
    <row r="21" spans="1:26" s="69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7">
        <v>434.44</v>
      </c>
      <c r="E21" s="3"/>
      <c r="F21" s="8">
        <f t="shared" si="0"/>
        <v>0</v>
      </c>
      <c r="G21" s="3"/>
      <c r="H21" s="7">
        <v>105.6</v>
      </c>
      <c r="I21" s="3"/>
      <c r="J21" s="8">
        <f t="shared" si="1"/>
        <v>0</v>
      </c>
      <c r="K21" s="3"/>
      <c r="L21" s="7">
        <f t="shared" si="2"/>
        <v>328.84000000000003</v>
      </c>
      <c r="M21" s="3"/>
      <c r="N21" s="8">
        <f t="shared" si="3"/>
        <v>3.1140151515151522</v>
      </c>
      <c r="O21" s="12"/>
      <c r="P21" s="7">
        <v>3437.24</v>
      </c>
      <c r="Q21" s="3"/>
      <c r="R21" s="8">
        <f t="shared" si="4"/>
        <v>0</v>
      </c>
      <c r="S21" s="3"/>
      <c r="T21" s="7">
        <v>894.13</v>
      </c>
      <c r="U21" s="3"/>
      <c r="V21" s="8">
        <f t="shared" si="5"/>
        <v>0</v>
      </c>
      <c r="W21" s="3"/>
      <c r="X21" s="7">
        <f t="shared" si="6"/>
        <v>2543.1099999999997</v>
      </c>
      <c r="Y21" s="3"/>
      <c r="Z21" s="8">
        <f t="shared" si="7"/>
        <v>2.8442284678961669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>
        <v>5721.83</v>
      </c>
      <c r="E22" s="3"/>
      <c r="F22" s="8">
        <f t="shared" si="0"/>
        <v>0</v>
      </c>
      <c r="G22" s="3"/>
      <c r="H22" s="7">
        <v>6236.66</v>
      </c>
      <c r="I22" s="3"/>
      <c r="J22" s="8">
        <f t="shared" si="1"/>
        <v>0</v>
      </c>
      <c r="K22" s="3"/>
      <c r="L22" s="7">
        <f t="shared" si="2"/>
        <v>-514.82999999999993</v>
      </c>
      <c r="M22" s="3"/>
      <c r="N22" s="8">
        <f t="shared" si="3"/>
        <v>-8.2548992569740839E-2</v>
      </c>
      <c r="O22" s="12"/>
      <c r="P22" s="7">
        <v>65984.11</v>
      </c>
      <c r="Q22" s="3"/>
      <c r="R22" s="8">
        <f t="shared" si="4"/>
        <v>0</v>
      </c>
      <c r="S22" s="3"/>
      <c r="T22" s="7">
        <v>66624.58</v>
      </c>
      <c r="U22" s="3"/>
      <c r="V22" s="8">
        <f t="shared" si="5"/>
        <v>0</v>
      </c>
      <c r="W22" s="3"/>
      <c r="X22" s="7">
        <f t="shared" si="6"/>
        <v>-640.47000000000116</v>
      </c>
      <c r="Y22" s="3"/>
      <c r="Z22" s="8">
        <f t="shared" si="7"/>
        <v>-9.6131187618743886E-3</v>
      </c>
    </row>
    <row r="23" spans="1:26" s="69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7">
        <v>87.56</v>
      </c>
      <c r="E23" s="3"/>
      <c r="F23" s="8">
        <f t="shared" si="0"/>
        <v>0</v>
      </c>
      <c r="G23" s="3"/>
      <c r="H23" s="7">
        <v>83.2</v>
      </c>
      <c r="I23" s="3"/>
      <c r="J23" s="8">
        <f t="shared" si="1"/>
        <v>0</v>
      </c>
      <c r="K23" s="3"/>
      <c r="L23" s="7">
        <f t="shared" si="2"/>
        <v>4.3599999999999994</v>
      </c>
      <c r="M23" s="3"/>
      <c r="N23" s="8">
        <f t="shared" si="3"/>
        <v>5.2403846153846148E-2</v>
      </c>
      <c r="O23" s="12"/>
      <c r="P23" s="7">
        <v>692.78</v>
      </c>
      <c r="Q23" s="3"/>
      <c r="R23" s="8">
        <f t="shared" si="4"/>
        <v>0</v>
      </c>
      <c r="S23" s="3"/>
      <c r="T23" s="7">
        <v>704.43</v>
      </c>
      <c r="U23" s="3"/>
      <c r="V23" s="8">
        <f t="shared" si="5"/>
        <v>0</v>
      </c>
      <c r="W23" s="3"/>
      <c r="X23" s="7">
        <f t="shared" si="6"/>
        <v>-11.649999999999977</v>
      </c>
      <c r="Y23" s="3"/>
      <c r="Z23" s="8">
        <f t="shared" si="7"/>
        <v>-1.653819400082333E-2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>
        <v>1883.23</v>
      </c>
      <c r="E24" s="3"/>
      <c r="F24" s="8">
        <f t="shared" si="0"/>
        <v>0</v>
      </c>
      <c r="G24" s="3"/>
      <c r="H24" s="7">
        <v>1978.76</v>
      </c>
      <c r="I24" s="3"/>
      <c r="J24" s="8">
        <f t="shared" si="1"/>
        <v>0</v>
      </c>
      <c r="K24" s="3"/>
      <c r="L24" s="7">
        <f t="shared" si="2"/>
        <v>-95.529999999999973</v>
      </c>
      <c r="M24" s="3"/>
      <c r="N24" s="8">
        <f t="shared" si="3"/>
        <v>-4.8277709272473657E-2</v>
      </c>
      <c r="O24" s="12"/>
      <c r="P24" s="7">
        <v>23565.23</v>
      </c>
      <c r="Q24" s="3"/>
      <c r="R24" s="8">
        <f t="shared" si="4"/>
        <v>0</v>
      </c>
      <c r="S24" s="3"/>
      <c r="T24" s="7">
        <v>24596.43</v>
      </c>
      <c r="U24" s="3"/>
      <c r="V24" s="8">
        <f t="shared" si="5"/>
        <v>0</v>
      </c>
      <c r="W24" s="3"/>
      <c r="X24" s="7">
        <f t="shared" si="6"/>
        <v>-1031.2000000000007</v>
      </c>
      <c r="Y24" s="3"/>
      <c r="Z24" s="8">
        <f t="shared" si="7"/>
        <v>-4.1924783393362398E-2</v>
      </c>
    </row>
    <row r="25" spans="1:26" s="69" customFormat="1" ht="15" hidden="1" customHeight="1" outlineLevel="2" x14ac:dyDescent="0.25">
      <c r="A25" s="25"/>
      <c r="B25" s="12" t="str">
        <f>CONCATENATE("          ","6118"," - ","VACATION")</f>
        <v xml:space="preserve">          6118 - VACATION</v>
      </c>
      <c r="C25" s="12"/>
      <c r="D25" s="7">
        <v>1480.87</v>
      </c>
      <c r="E25" s="3"/>
      <c r="F25" s="8">
        <f t="shared" si="0"/>
        <v>0</v>
      </c>
      <c r="G25" s="3"/>
      <c r="H25" s="7">
        <v>1606.1</v>
      </c>
      <c r="I25" s="3"/>
      <c r="J25" s="8">
        <f t="shared" si="1"/>
        <v>0</v>
      </c>
      <c r="K25" s="3"/>
      <c r="L25" s="7">
        <f t="shared" si="2"/>
        <v>-125.23000000000002</v>
      </c>
      <c r="M25" s="3"/>
      <c r="N25" s="8">
        <f t="shared" si="3"/>
        <v>-7.7971483718323908E-2</v>
      </c>
      <c r="O25" s="12"/>
      <c r="P25" s="7">
        <v>17906.599999999999</v>
      </c>
      <c r="Q25" s="3"/>
      <c r="R25" s="8">
        <f t="shared" si="4"/>
        <v>0</v>
      </c>
      <c r="S25" s="3"/>
      <c r="T25" s="7">
        <v>18931.22</v>
      </c>
      <c r="U25" s="3"/>
      <c r="V25" s="8">
        <f t="shared" si="5"/>
        <v>0</v>
      </c>
      <c r="W25" s="3"/>
      <c r="X25" s="7">
        <f t="shared" si="6"/>
        <v>-1024.6200000000026</v>
      </c>
      <c r="Y25" s="3"/>
      <c r="Z25" s="8">
        <f t="shared" si="7"/>
        <v>-5.4123294748040673E-2</v>
      </c>
    </row>
    <row r="26" spans="1:26" s="69" customFormat="1" ht="15" hidden="1" customHeight="1" outlineLevel="2" x14ac:dyDescent="0.25">
      <c r="A26" s="25"/>
      <c r="B26" s="12" t="str">
        <f>CONCATENATE("          ","6119"," - ","SICK LEAVE")</f>
        <v xml:space="preserve">          6119 - SICK LEAVE</v>
      </c>
      <c r="C26" s="12"/>
      <c r="D26" s="7">
        <v>1018.58</v>
      </c>
      <c r="E26" s="3"/>
      <c r="F26" s="8">
        <f t="shared" si="0"/>
        <v>0</v>
      </c>
      <c r="G26" s="3"/>
      <c r="H26" s="7">
        <v>979.42</v>
      </c>
      <c r="I26" s="3"/>
      <c r="J26" s="8">
        <f t="shared" si="1"/>
        <v>0</v>
      </c>
      <c r="K26" s="3"/>
      <c r="L26" s="7">
        <f t="shared" si="2"/>
        <v>39.160000000000082</v>
      </c>
      <c r="M26" s="3"/>
      <c r="N26" s="8">
        <f t="shared" si="3"/>
        <v>3.9982846991076439E-2</v>
      </c>
      <c r="O26" s="12"/>
      <c r="P26" s="7">
        <v>14491.15</v>
      </c>
      <c r="Q26" s="3"/>
      <c r="R26" s="8">
        <f t="shared" si="4"/>
        <v>0</v>
      </c>
      <c r="S26" s="3"/>
      <c r="T26" s="7">
        <v>11753.04</v>
      </c>
      <c r="U26" s="3"/>
      <c r="V26" s="8">
        <f t="shared" si="5"/>
        <v>0</v>
      </c>
      <c r="W26" s="3"/>
      <c r="X26" s="7">
        <f t="shared" si="6"/>
        <v>2738.1099999999988</v>
      </c>
      <c r="Y26" s="3"/>
      <c r="Z26" s="8">
        <f t="shared" si="7"/>
        <v>0.23297036341235958</v>
      </c>
    </row>
    <row r="27" spans="1:26" s="69" customFormat="1" ht="15" hidden="1" customHeight="1" outlineLevel="2" x14ac:dyDescent="0.25">
      <c r="A27" s="25"/>
      <c r="B27" s="12" t="str">
        <f>CONCATENATE("          ","6156"," - ","EMPLOYEE MEALS")</f>
        <v xml:space="preserve">          6156 - EMPLOYEE MEALS</v>
      </c>
      <c r="C27" s="12"/>
      <c r="D27" s="7">
        <v>500.43</v>
      </c>
      <c r="E27" s="3"/>
      <c r="F27" s="8">
        <f t="shared" si="0"/>
        <v>0</v>
      </c>
      <c r="G27" s="3"/>
      <c r="H27" s="7">
        <v>333.48</v>
      </c>
      <c r="I27" s="3"/>
      <c r="J27" s="8">
        <f t="shared" si="1"/>
        <v>0</v>
      </c>
      <c r="K27" s="3"/>
      <c r="L27" s="7">
        <f t="shared" si="2"/>
        <v>166.95</v>
      </c>
      <c r="M27" s="3"/>
      <c r="N27" s="8">
        <f t="shared" si="3"/>
        <v>0.50062972292191432</v>
      </c>
      <c r="O27" s="12"/>
      <c r="P27" s="7">
        <v>5984.14</v>
      </c>
      <c r="Q27" s="3"/>
      <c r="R27" s="8">
        <f t="shared" si="4"/>
        <v>0</v>
      </c>
      <c r="S27" s="3"/>
      <c r="T27" s="7">
        <v>2742.12</v>
      </c>
      <c r="U27" s="3"/>
      <c r="V27" s="8">
        <f t="shared" si="5"/>
        <v>0</v>
      </c>
      <c r="W27" s="3"/>
      <c r="X27" s="7">
        <f t="shared" si="6"/>
        <v>3242.0200000000004</v>
      </c>
      <c r="Y27" s="3"/>
      <c r="Z27" s="8">
        <f t="shared" si="7"/>
        <v>1.182304202587779</v>
      </c>
    </row>
    <row r="28" spans="1:26" s="68" customFormat="1" ht="15" customHeight="1" outlineLevel="1" collapsed="1" x14ac:dyDescent="0.25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19589.759999999998</v>
      </c>
      <c r="E28" s="2"/>
      <c r="F28" s="6">
        <f t="shared" si="0"/>
        <v>0</v>
      </c>
      <c r="G28" s="2"/>
      <c r="H28" s="2">
        <f>SUM(OSRRefH22_1x_0)</f>
        <v>20984.26</v>
      </c>
      <c r="I28" s="2"/>
      <c r="J28" s="6">
        <f t="shared" si="1"/>
        <v>0</v>
      </c>
      <c r="K28" s="2"/>
      <c r="L28" s="2">
        <f t="shared" si="2"/>
        <v>-1394.5</v>
      </c>
      <c r="M28" s="2"/>
      <c r="N28" s="6">
        <f t="shared" si="3"/>
        <v>-6.6454571188119094E-2</v>
      </c>
      <c r="O28" s="14"/>
      <c r="P28" s="2">
        <f>SUM(OSRRefP22_1x_0)</f>
        <v>253995.13999999998</v>
      </c>
      <c r="Q28" s="2"/>
      <c r="R28" s="6">
        <f t="shared" si="4"/>
        <v>0</v>
      </c>
      <c r="S28" s="2"/>
      <c r="T28" s="2">
        <f>SUM(OSRRefT22_1x_0)</f>
        <v>234179.02000000002</v>
      </c>
      <c r="U28" s="2"/>
      <c r="V28" s="6">
        <f t="shared" si="5"/>
        <v>0</v>
      </c>
      <c r="W28" s="2"/>
      <c r="X28" s="2">
        <f t="shared" si="6"/>
        <v>19816.119999999966</v>
      </c>
      <c r="Y28" s="2"/>
      <c r="Z28" s="6">
        <f t="shared" si="7"/>
        <v>8.4619535943057433E-2</v>
      </c>
    </row>
    <row r="29" spans="1:26" s="69" customFormat="1" ht="15" hidden="1" customHeight="1" outlineLevel="2" x14ac:dyDescent="0.25">
      <c r="A29" s="25"/>
      <c r="B29" s="12" t="str">
        <f>CONCATENATE("          ","6002"," - ","STAFF SALARIES")</f>
        <v xml:space="preserve">          6002 - STAFF SALARIES</v>
      </c>
      <c r="C29" s="12"/>
      <c r="D29" s="7">
        <v>19413.439999999999</v>
      </c>
      <c r="E29" s="3"/>
      <c r="F29" s="8">
        <f t="shared" si="0"/>
        <v>0</v>
      </c>
      <c r="G29" s="3"/>
      <c r="H29" s="7">
        <v>20984.26</v>
      </c>
      <c r="I29" s="3"/>
      <c r="J29" s="8">
        <f t="shared" si="1"/>
        <v>0</v>
      </c>
      <c r="K29" s="3"/>
      <c r="L29" s="7">
        <f t="shared" si="2"/>
        <v>-1570.8199999999997</v>
      </c>
      <c r="M29" s="3"/>
      <c r="N29" s="8">
        <f t="shared" si="3"/>
        <v>-7.4857059529380585E-2</v>
      </c>
      <c r="O29" s="12"/>
      <c r="P29" s="7">
        <v>249542.18</v>
      </c>
      <c r="Q29" s="3"/>
      <c r="R29" s="8">
        <f t="shared" si="4"/>
        <v>0</v>
      </c>
      <c r="S29" s="3"/>
      <c r="T29" s="7">
        <v>233797.26</v>
      </c>
      <c r="U29" s="3"/>
      <c r="V29" s="8">
        <f t="shared" si="5"/>
        <v>0</v>
      </c>
      <c r="W29" s="3"/>
      <c r="X29" s="7">
        <f t="shared" si="6"/>
        <v>15744.919999999984</v>
      </c>
      <c r="Y29" s="3"/>
      <c r="Z29" s="8">
        <f t="shared" si="7"/>
        <v>6.7344330724833909E-2</v>
      </c>
    </row>
    <row r="30" spans="1:26" s="69" customFormat="1" ht="15" hidden="1" customHeight="1" outlineLevel="2" x14ac:dyDescent="0.25">
      <c r="A30" s="25"/>
      <c r="B30" s="12" t="str">
        <f>CONCATENATE("          ","6005"," - ","TEMPORARY WAGES-HOURLY")</f>
        <v xml:space="preserve">          6005 - TEMPORARY WAGES-HOURLY</v>
      </c>
      <c r="C30" s="12"/>
      <c r="D30" s="7"/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265.48</v>
      </c>
      <c r="U30" s="3"/>
      <c r="V30" s="8">
        <f t="shared" si="5"/>
        <v>0</v>
      </c>
      <c r="W30" s="3"/>
      <c r="X30" s="7">
        <f t="shared" si="6"/>
        <v>-265.48</v>
      </c>
      <c r="Y30" s="3"/>
      <c r="Z30" s="8">
        <f t="shared" si="7"/>
        <v>-1</v>
      </c>
    </row>
    <row r="31" spans="1:26" s="69" customFormat="1" ht="15" hidden="1" customHeight="1" outlineLevel="2" x14ac:dyDescent="0.25">
      <c r="A31" s="25"/>
      <c r="B31" s="12" t="str">
        <f>CONCATENATE("          ","6007"," - ","STUDENT HOURLY")</f>
        <v xml:space="preserve">          6007 - STUDENT HOURLY</v>
      </c>
      <c r="C31" s="12"/>
      <c r="D31" s="7">
        <v>176.32</v>
      </c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176.32</v>
      </c>
      <c r="M31" s="3"/>
      <c r="N31" s="8">
        <f t="shared" si="3"/>
        <v>0</v>
      </c>
      <c r="O31" s="12"/>
      <c r="P31" s="7">
        <v>4452.96</v>
      </c>
      <c r="Q31" s="3"/>
      <c r="R31" s="8">
        <f t="shared" si="4"/>
        <v>0</v>
      </c>
      <c r="S31" s="3"/>
      <c r="T31" s="7">
        <v>116.28</v>
      </c>
      <c r="U31" s="3"/>
      <c r="V31" s="8">
        <f t="shared" si="5"/>
        <v>0</v>
      </c>
      <c r="W31" s="3"/>
      <c r="X31" s="7">
        <f t="shared" si="6"/>
        <v>4336.68</v>
      </c>
      <c r="Y31" s="3"/>
      <c r="Z31" s="8">
        <f t="shared" si="7"/>
        <v>37.29514963880289</v>
      </c>
    </row>
    <row r="32" spans="1:26" s="68" customFormat="1" ht="15" customHeight="1" outlineLevel="1" collapsed="1" x14ac:dyDescent="0.25">
      <c r="A32" s="26"/>
      <c r="B32" s="14" t="str">
        <f>CONCATENATE("     ","Depreciation                                      ")</f>
        <v xml:space="preserve">     Depreciation                                      </v>
      </c>
      <c r="C32" s="14"/>
      <c r="D32" s="2">
        <f>SUM(OSRRefD22_2x_0)</f>
        <v>0</v>
      </c>
      <c r="E32" s="2"/>
      <c r="F32" s="6">
        <f t="shared" si="0"/>
        <v>0</v>
      </c>
      <c r="G32" s="2"/>
      <c r="H32" s="2">
        <f>SUM(OSRRefH22_2x_0)</f>
        <v>1558.88</v>
      </c>
      <c r="I32" s="2"/>
      <c r="J32" s="6">
        <f t="shared" si="1"/>
        <v>0</v>
      </c>
      <c r="K32" s="2"/>
      <c r="L32" s="2">
        <f t="shared" si="2"/>
        <v>-1558.88</v>
      </c>
      <c r="M32" s="2"/>
      <c r="N32" s="6">
        <f t="shared" si="3"/>
        <v>-1</v>
      </c>
      <c r="O32" s="14"/>
      <c r="P32" s="2">
        <f>SUM(OSRRefP22_2x_0)</f>
        <v>12471</v>
      </c>
      <c r="Q32" s="2"/>
      <c r="R32" s="6">
        <f t="shared" si="4"/>
        <v>0</v>
      </c>
      <c r="S32" s="2"/>
      <c r="T32" s="2">
        <f>SUM(OSRRefT22_2x_0)</f>
        <v>17147.68</v>
      </c>
      <c r="U32" s="2"/>
      <c r="V32" s="6">
        <f t="shared" si="5"/>
        <v>0</v>
      </c>
      <c r="W32" s="2"/>
      <c r="X32" s="2">
        <f t="shared" si="6"/>
        <v>-4676.68</v>
      </c>
      <c r="Y32" s="2"/>
      <c r="Z32" s="6">
        <f t="shared" si="7"/>
        <v>-0.27272960540434626</v>
      </c>
    </row>
    <row r="33" spans="1:26" s="69" customFormat="1" ht="15" hidden="1" customHeight="1" outlineLevel="2" x14ac:dyDescent="0.25">
      <c r="A33" s="25"/>
      <c r="B33" s="12" t="str">
        <f>CONCATENATE("          ","6322"," - ","EQUIPMENT DEPRECIATION EXPENSE")</f>
        <v xml:space="preserve">          6322 - EQUIPMENT DEPRECIATION EXPENSE</v>
      </c>
      <c r="C33" s="12"/>
      <c r="D33" s="7"/>
      <c r="E33" s="3"/>
      <c r="F33" s="8">
        <f t="shared" si="0"/>
        <v>0</v>
      </c>
      <c r="G33" s="3"/>
      <c r="H33" s="7">
        <v>1558.88</v>
      </c>
      <c r="I33" s="3"/>
      <c r="J33" s="8">
        <f t="shared" si="1"/>
        <v>0</v>
      </c>
      <c r="K33" s="3"/>
      <c r="L33" s="7">
        <f t="shared" si="2"/>
        <v>-1558.88</v>
      </c>
      <c r="M33" s="3"/>
      <c r="N33" s="8">
        <f t="shared" si="3"/>
        <v>-1</v>
      </c>
      <c r="O33" s="12"/>
      <c r="P33" s="7">
        <v>12471</v>
      </c>
      <c r="Q33" s="3"/>
      <c r="R33" s="8">
        <f t="shared" si="4"/>
        <v>0</v>
      </c>
      <c r="S33" s="3"/>
      <c r="T33" s="7">
        <v>17147.68</v>
      </c>
      <c r="U33" s="3"/>
      <c r="V33" s="8">
        <f t="shared" si="5"/>
        <v>0</v>
      </c>
      <c r="W33" s="3"/>
      <c r="X33" s="7">
        <f t="shared" si="6"/>
        <v>-4676.68</v>
      </c>
      <c r="Y33" s="3"/>
      <c r="Z33" s="8">
        <f t="shared" si="7"/>
        <v>-0.27272960540434626</v>
      </c>
    </row>
    <row r="34" spans="1:26" s="68" customFormat="1" ht="15" customHeight="1" outlineLevel="1" collapsed="1" x14ac:dyDescent="0.25">
      <c r="A34" s="26"/>
      <c r="B34" s="14" t="str">
        <f>CONCATENATE("     ","Employees' Appreciation                           ")</f>
        <v xml:space="preserve">     Employees' Appreciation                           </v>
      </c>
      <c r="C34" s="14"/>
      <c r="D34" s="2">
        <f>SUM(OSRRefD22_3x_0)</f>
        <v>0</v>
      </c>
      <c r="E34" s="2"/>
      <c r="F34" s="6">
        <f t="shared" si="0"/>
        <v>0</v>
      </c>
      <c r="G34" s="2"/>
      <c r="H34" s="2">
        <f>SUM(OSRRefH22_3x_0)</f>
        <v>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SUM(OSRRefP22_3x_0)</f>
        <v>8.02</v>
      </c>
      <c r="Q34" s="2"/>
      <c r="R34" s="6">
        <f t="shared" si="4"/>
        <v>0</v>
      </c>
      <c r="S34" s="2"/>
      <c r="T34" s="2">
        <f>SUM(OSRRefT22_3x_0)</f>
        <v>0</v>
      </c>
      <c r="U34" s="2"/>
      <c r="V34" s="6">
        <f t="shared" si="5"/>
        <v>0</v>
      </c>
      <c r="W34" s="2"/>
      <c r="X34" s="2">
        <f t="shared" si="6"/>
        <v>8.02</v>
      </c>
      <c r="Y34" s="2"/>
      <c r="Z34" s="6">
        <f t="shared" si="7"/>
        <v>0</v>
      </c>
    </row>
    <row r="35" spans="1:26" s="69" customFormat="1" ht="15" hidden="1" customHeight="1" outlineLevel="2" x14ac:dyDescent="0.25">
      <c r="A35" s="25"/>
      <c r="B35" s="12" t="str">
        <f>CONCATENATE("          ","6277"," - ","EMPLOYEE APPRECIATION")</f>
        <v xml:space="preserve">          6277 - EMPLOYEE APPRECIATION</v>
      </c>
      <c r="C35" s="12"/>
      <c r="D35" s="7"/>
      <c r="E35" s="3"/>
      <c r="F35" s="8">
        <f t="shared" si="0"/>
        <v>0</v>
      </c>
      <c r="G35" s="3"/>
      <c r="H35" s="7"/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>
        <v>8.02</v>
      </c>
      <c r="Q35" s="3"/>
      <c r="R35" s="8">
        <f t="shared" si="4"/>
        <v>0</v>
      </c>
      <c r="S35" s="3"/>
      <c r="T35" s="7"/>
      <c r="U35" s="3"/>
      <c r="V35" s="8">
        <f t="shared" si="5"/>
        <v>0</v>
      </c>
      <c r="W35" s="3"/>
      <c r="X35" s="7">
        <f t="shared" si="6"/>
        <v>8.02</v>
      </c>
      <c r="Y35" s="3"/>
      <c r="Z35" s="8">
        <f t="shared" si="7"/>
        <v>0</v>
      </c>
    </row>
    <row r="36" spans="1:26" s="68" customFormat="1" ht="15" customHeight="1" outlineLevel="1" collapsed="1" x14ac:dyDescent="0.25">
      <c r="A36" s="26"/>
      <c r="B36" s="14" t="str">
        <f>CONCATENATE("     ","Equipment Rental                                  ")</f>
        <v xml:space="preserve">     Equipment Rental                                  </v>
      </c>
      <c r="C36" s="14"/>
      <c r="D36" s="2">
        <f>SUM(OSRRefD22_4x_0)</f>
        <v>91.26</v>
      </c>
      <c r="E36" s="2"/>
      <c r="F36" s="6">
        <f t="shared" si="0"/>
        <v>0</v>
      </c>
      <c r="G36" s="2"/>
      <c r="H36" s="2">
        <f>SUM(OSRRefH22_4x_0)</f>
        <v>91.26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SUM(OSRRefP22_4x_0)</f>
        <v>1003.86</v>
      </c>
      <c r="Q36" s="2"/>
      <c r="R36" s="6">
        <f t="shared" si="4"/>
        <v>0</v>
      </c>
      <c r="S36" s="2"/>
      <c r="T36" s="2">
        <f>SUM(OSRRefT22_4x_0)</f>
        <v>1003.86</v>
      </c>
      <c r="U36" s="2"/>
      <c r="V36" s="6">
        <f t="shared" si="5"/>
        <v>0</v>
      </c>
      <c r="W36" s="2"/>
      <c r="X36" s="2">
        <f t="shared" si="6"/>
        <v>0</v>
      </c>
      <c r="Y36" s="2"/>
      <c r="Z36" s="6">
        <f t="shared" si="7"/>
        <v>0</v>
      </c>
    </row>
    <row r="37" spans="1:26" s="69" customFormat="1" ht="15" hidden="1" customHeight="1" outlineLevel="2" x14ac:dyDescent="0.25">
      <c r="A37" s="25"/>
      <c r="B37" s="12" t="str">
        <f>CONCATENATE("          ","6351"," - ","EQUIPMENT RENTAL")</f>
        <v xml:space="preserve">          6351 - EQUIPMENT RENTAL</v>
      </c>
      <c r="C37" s="12"/>
      <c r="D37" s="7">
        <v>91.26</v>
      </c>
      <c r="E37" s="3"/>
      <c r="F37" s="8">
        <f t="shared" si="0"/>
        <v>0</v>
      </c>
      <c r="G37" s="3"/>
      <c r="H37" s="7">
        <v>91.26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>
        <v>1003.86</v>
      </c>
      <c r="Q37" s="3"/>
      <c r="R37" s="8">
        <f t="shared" si="4"/>
        <v>0</v>
      </c>
      <c r="S37" s="3"/>
      <c r="T37" s="7">
        <v>1003.86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68" customFormat="1" ht="15" customHeight="1" outlineLevel="1" collapsed="1" x14ac:dyDescent="0.25">
      <c r="A38" s="26"/>
      <c r="B38" s="14" t="str">
        <f>CONCATENATE("     ","Freight out/Postage                               ")</f>
        <v xml:space="preserve">     Freight out/Postage                               </v>
      </c>
      <c r="C38" s="14"/>
      <c r="D38" s="2">
        <f>SUM(OSRRefD22_5x_0)</f>
        <v>113.36</v>
      </c>
      <c r="E38" s="2"/>
      <c r="F38" s="6">
        <f t="shared" si="0"/>
        <v>0</v>
      </c>
      <c r="G38" s="2"/>
      <c r="H38" s="2">
        <f>SUM(OSRRefH22_5x_0)</f>
        <v>84.52</v>
      </c>
      <c r="I38" s="2"/>
      <c r="J38" s="6">
        <f t="shared" si="1"/>
        <v>0</v>
      </c>
      <c r="K38" s="2"/>
      <c r="L38" s="2">
        <f t="shared" si="2"/>
        <v>28.840000000000003</v>
      </c>
      <c r="M38" s="2"/>
      <c r="N38" s="6">
        <f t="shared" si="3"/>
        <v>0.34122101277804073</v>
      </c>
      <c r="O38" s="14"/>
      <c r="P38" s="2">
        <f>SUM(OSRRefP22_5x_0)</f>
        <v>1499.09</v>
      </c>
      <c r="Q38" s="2"/>
      <c r="R38" s="6">
        <f t="shared" si="4"/>
        <v>0</v>
      </c>
      <c r="S38" s="2"/>
      <c r="T38" s="2">
        <f>SUM(OSRRefT22_5x_0)</f>
        <v>984.31</v>
      </c>
      <c r="U38" s="2"/>
      <c r="V38" s="6">
        <f t="shared" si="5"/>
        <v>0</v>
      </c>
      <c r="W38" s="2"/>
      <c r="X38" s="2">
        <f t="shared" si="6"/>
        <v>514.78</v>
      </c>
      <c r="Y38" s="2"/>
      <c r="Z38" s="6">
        <f t="shared" si="7"/>
        <v>0.52298564476638454</v>
      </c>
    </row>
    <row r="39" spans="1:26" s="69" customFormat="1" ht="15" hidden="1" customHeight="1" outlineLevel="2" x14ac:dyDescent="0.25">
      <c r="A39" s="25"/>
      <c r="B39" s="12" t="str">
        <f>CONCATENATE("          ","6305"," - ","FREIGHT OUT")</f>
        <v xml:space="preserve">          6305 - FREIGHT OUT</v>
      </c>
      <c r="C39" s="12"/>
      <c r="D39" s="7"/>
      <c r="E39" s="3"/>
      <c r="F39" s="8">
        <f t="shared" si="0"/>
        <v>0</v>
      </c>
      <c r="G39" s="3"/>
      <c r="H39" s="7"/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5.41</v>
      </c>
      <c r="U39" s="3"/>
      <c r="V39" s="8">
        <f t="shared" si="5"/>
        <v>0</v>
      </c>
      <c r="W39" s="3"/>
      <c r="X39" s="7">
        <f t="shared" si="6"/>
        <v>-5.41</v>
      </c>
      <c r="Y39" s="3"/>
      <c r="Z39" s="8">
        <f t="shared" si="7"/>
        <v>-1</v>
      </c>
    </row>
    <row r="40" spans="1:26" s="69" customFormat="1" ht="15" hidden="1" customHeight="1" outlineLevel="2" x14ac:dyDescent="0.25">
      <c r="A40" s="25"/>
      <c r="B40" s="12" t="str">
        <f>CONCATENATE("          ","6307"," - ","POSTAGE")</f>
        <v xml:space="preserve">          6307 - POSTAGE</v>
      </c>
      <c r="C40" s="12"/>
      <c r="D40" s="7">
        <v>113.36</v>
      </c>
      <c r="E40" s="3"/>
      <c r="F40" s="8">
        <f t="shared" si="0"/>
        <v>0</v>
      </c>
      <c r="G40" s="3"/>
      <c r="H40" s="7">
        <v>84.52</v>
      </c>
      <c r="I40" s="3"/>
      <c r="J40" s="8">
        <f t="shared" si="1"/>
        <v>0</v>
      </c>
      <c r="K40" s="3"/>
      <c r="L40" s="7">
        <f t="shared" si="2"/>
        <v>28.840000000000003</v>
      </c>
      <c r="M40" s="3"/>
      <c r="N40" s="8">
        <f t="shared" si="3"/>
        <v>0.34122101277804073</v>
      </c>
      <c r="O40" s="12"/>
      <c r="P40" s="7">
        <v>1499.09</v>
      </c>
      <c r="Q40" s="3"/>
      <c r="R40" s="8">
        <f t="shared" si="4"/>
        <v>0</v>
      </c>
      <c r="S40" s="3"/>
      <c r="T40" s="7">
        <v>978.9</v>
      </c>
      <c r="U40" s="3"/>
      <c r="V40" s="8">
        <f t="shared" si="5"/>
        <v>0</v>
      </c>
      <c r="W40" s="3"/>
      <c r="X40" s="7">
        <f t="shared" si="6"/>
        <v>520.18999999999994</v>
      </c>
      <c r="Y40" s="3"/>
      <c r="Z40" s="8">
        <f t="shared" si="7"/>
        <v>0.53140259474920826</v>
      </c>
    </row>
    <row r="41" spans="1:26" s="68" customFormat="1" ht="15" customHeight="1" outlineLevel="1" collapsed="1" x14ac:dyDescent="0.25">
      <c r="A41" s="26"/>
      <c r="B41" s="14" t="str">
        <f>CONCATENATE("     ","Insurance                                         ")</f>
        <v xml:space="preserve">     Insurance                                         </v>
      </c>
      <c r="C41" s="14"/>
      <c r="D41" s="2">
        <f>SUM(OSRRefD22_6x_0)</f>
        <v>179.64</v>
      </c>
      <c r="E41" s="2"/>
      <c r="F41" s="6">
        <f t="shared" si="0"/>
        <v>0</v>
      </c>
      <c r="G41" s="2"/>
      <c r="H41" s="2">
        <f>SUM(OSRRefH22_6x_0)</f>
        <v>132.16999999999999</v>
      </c>
      <c r="I41" s="2"/>
      <c r="J41" s="6">
        <f t="shared" si="1"/>
        <v>0</v>
      </c>
      <c r="K41" s="2"/>
      <c r="L41" s="2">
        <f t="shared" si="2"/>
        <v>47.47</v>
      </c>
      <c r="M41" s="2"/>
      <c r="N41" s="6">
        <f t="shared" si="3"/>
        <v>0.35915865930241359</v>
      </c>
      <c r="O41" s="14"/>
      <c r="P41" s="2">
        <f>SUM(OSRRefP22_6x_0)</f>
        <v>1976.04</v>
      </c>
      <c r="Q41" s="2"/>
      <c r="R41" s="6">
        <f t="shared" si="4"/>
        <v>0</v>
      </c>
      <c r="S41" s="2"/>
      <c r="T41" s="2">
        <f>SUM(OSRRefT22_6x_0)</f>
        <v>1453.87</v>
      </c>
      <c r="U41" s="2"/>
      <c r="V41" s="6">
        <f t="shared" si="5"/>
        <v>0</v>
      </c>
      <c r="W41" s="2"/>
      <c r="X41" s="2">
        <f t="shared" si="6"/>
        <v>522.17000000000007</v>
      </c>
      <c r="Y41" s="2"/>
      <c r="Z41" s="6">
        <f t="shared" si="7"/>
        <v>0.35915865930241364</v>
      </c>
    </row>
    <row r="42" spans="1:26" s="69" customFormat="1" ht="15" hidden="1" customHeight="1" outlineLevel="2" x14ac:dyDescent="0.25">
      <c r="A42" s="25"/>
      <c r="B42" s="12" t="str">
        <f>CONCATENATE("          ","6314"," - ","LIABILITY INSURANCE")</f>
        <v xml:space="preserve">          6314 - LIABILITY INSURANCE</v>
      </c>
      <c r="C42" s="12"/>
      <c r="D42" s="7">
        <v>179.64</v>
      </c>
      <c r="E42" s="3"/>
      <c r="F42" s="8">
        <f t="shared" si="0"/>
        <v>0</v>
      </c>
      <c r="G42" s="3"/>
      <c r="H42" s="7">
        <v>132.16999999999999</v>
      </c>
      <c r="I42" s="3"/>
      <c r="J42" s="8">
        <f t="shared" si="1"/>
        <v>0</v>
      </c>
      <c r="K42" s="3"/>
      <c r="L42" s="7">
        <f t="shared" si="2"/>
        <v>47.47</v>
      </c>
      <c r="M42" s="3"/>
      <c r="N42" s="8">
        <f t="shared" si="3"/>
        <v>0.35915865930241359</v>
      </c>
      <c r="O42" s="12"/>
      <c r="P42" s="7">
        <v>1976.04</v>
      </c>
      <c r="Q42" s="3"/>
      <c r="R42" s="8">
        <f t="shared" si="4"/>
        <v>0</v>
      </c>
      <c r="S42" s="3"/>
      <c r="T42" s="7">
        <v>1453.87</v>
      </c>
      <c r="U42" s="3"/>
      <c r="V42" s="8">
        <f t="shared" si="5"/>
        <v>0</v>
      </c>
      <c r="W42" s="3"/>
      <c r="X42" s="7">
        <f t="shared" si="6"/>
        <v>522.17000000000007</v>
      </c>
      <c r="Y42" s="3"/>
      <c r="Z42" s="8">
        <f t="shared" si="7"/>
        <v>0.35915865930241364</v>
      </c>
    </row>
    <row r="43" spans="1:26" s="68" customFormat="1" ht="15" customHeight="1" outlineLevel="1" collapsed="1" x14ac:dyDescent="0.25">
      <c r="A43" s="26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SUM(OSRRefD22_7x_0)</f>
        <v>71.48</v>
      </c>
      <c r="E43" s="2"/>
      <c r="F43" s="6">
        <f t="shared" si="0"/>
        <v>0</v>
      </c>
      <c r="G43" s="2"/>
      <c r="H43" s="2">
        <f>SUM(OSRRefH22_7x_0)</f>
        <v>69.010000000000005</v>
      </c>
      <c r="I43" s="2"/>
      <c r="J43" s="6">
        <f t="shared" si="1"/>
        <v>0</v>
      </c>
      <c r="K43" s="2"/>
      <c r="L43" s="2">
        <f t="shared" si="2"/>
        <v>2.4699999999999989</v>
      </c>
      <c r="M43" s="2"/>
      <c r="N43" s="6">
        <f t="shared" si="3"/>
        <v>3.5791914215331094E-2</v>
      </c>
      <c r="O43" s="14"/>
      <c r="P43" s="2">
        <f>SUM(OSRRefP22_7x_0)</f>
        <v>42619.649999999994</v>
      </c>
      <c r="Q43" s="2"/>
      <c r="R43" s="6">
        <f t="shared" si="4"/>
        <v>0</v>
      </c>
      <c r="S43" s="2"/>
      <c r="T43" s="2">
        <f>SUM(OSRRefT22_7x_0)</f>
        <v>37712.93</v>
      </c>
      <c r="U43" s="2"/>
      <c r="V43" s="6">
        <f t="shared" si="5"/>
        <v>0</v>
      </c>
      <c r="W43" s="2"/>
      <c r="X43" s="2">
        <f t="shared" si="6"/>
        <v>4906.7199999999939</v>
      </c>
      <c r="Y43" s="2"/>
      <c r="Z43" s="6">
        <f t="shared" si="7"/>
        <v>0.13010710119844823</v>
      </c>
    </row>
    <row r="44" spans="1:26" s="69" customFormat="1" ht="15" hidden="1" customHeight="1" outlineLevel="2" x14ac:dyDescent="0.25">
      <c r="A44" s="25"/>
      <c r="B44" s="12" t="str">
        <f>CONCATENATE("          ","6371"," - ","COMPUTER SOFTWARE MAINTENANCE")</f>
        <v xml:space="preserve">          6371 - COMPUTER SOFTWARE MAINTENANCE</v>
      </c>
      <c r="C44" s="12"/>
      <c r="D44" s="7">
        <v>59.95</v>
      </c>
      <c r="E44" s="3"/>
      <c r="F44" s="8">
        <f t="shared" si="0"/>
        <v>0</v>
      </c>
      <c r="G44" s="3"/>
      <c r="H44" s="7">
        <v>59.95</v>
      </c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35788.32</v>
      </c>
      <c r="Q44" s="3"/>
      <c r="R44" s="8">
        <f t="shared" si="4"/>
        <v>0</v>
      </c>
      <c r="S44" s="3"/>
      <c r="T44" s="7">
        <v>32353.37</v>
      </c>
      <c r="U44" s="3"/>
      <c r="V44" s="8">
        <f t="shared" si="5"/>
        <v>0</v>
      </c>
      <c r="W44" s="3"/>
      <c r="X44" s="7">
        <f t="shared" si="6"/>
        <v>3434.9500000000007</v>
      </c>
      <c r="Y44" s="3"/>
      <c r="Z44" s="8">
        <f t="shared" si="7"/>
        <v>0.10616977458607869</v>
      </c>
    </row>
    <row r="45" spans="1:26" s="69" customFormat="1" ht="15" hidden="1" customHeight="1" outlineLevel="2" x14ac:dyDescent="0.25">
      <c r="A45" s="25"/>
      <c r="B45" s="12" t="str">
        <f>CONCATENATE("          ","6373"," - ","MAINTENANCE CONTRACTS")</f>
        <v xml:space="preserve">          6373 - MAINTENANCE CONTRACTS</v>
      </c>
      <c r="C45" s="12"/>
      <c r="D45" s="7">
        <v>11.53</v>
      </c>
      <c r="E45" s="3"/>
      <c r="F45" s="8">
        <f t="shared" si="0"/>
        <v>0</v>
      </c>
      <c r="G45" s="3"/>
      <c r="H45" s="7">
        <v>9.06</v>
      </c>
      <c r="I45" s="3"/>
      <c r="J45" s="8">
        <f t="shared" si="1"/>
        <v>0</v>
      </c>
      <c r="K45" s="3"/>
      <c r="L45" s="7">
        <f t="shared" si="2"/>
        <v>2.4699999999999989</v>
      </c>
      <c r="M45" s="3"/>
      <c r="N45" s="8">
        <f t="shared" si="3"/>
        <v>0.27262693156732876</v>
      </c>
      <c r="O45" s="12"/>
      <c r="P45" s="7">
        <v>5273.77</v>
      </c>
      <c r="Q45" s="3"/>
      <c r="R45" s="8">
        <f t="shared" si="4"/>
        <v>0</v>
      </c>
      <c r="S45" s="3"/>
      <c r="T45" s="7">
        <v>5182.42</v>
      </c>
      <c r="U45" s="3"/>
      <c r="V45" s="8">
        <f t="shared" si="5"/>
        <v>0</v>
      </c>
      <c r="W45" s="3"/>
      <c r="X45" s="7">
        <f t="shared" si="6"/>
        <v>91.350000000000364</v>
      </c>
      <c r="Y45" s="3"/>
      <c r="Z45" s="8">
        <f t="shared" si="7"/>
        <v>1.7626900174050032E-2</v>
      </c>
    </row>
    <row r="46" spans="1:26" s="69" customFormat="1" ht="15" hidden="1" customHeight="1" outlineLevel="2" x14ac:dyDescent="0.25">
      <c r="A46" s="25"/>
      <c r="B46" s="12" t="str">
        <f>CONCATENATE("          ","6375"," - ","OUTSIDE REPAIRS &amp; MAINTENANCE")</f>
        <v xml:space="preserve">          6375 - OUTSIDE REPAIRS &amp; MAINTENANCE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1557.56</v>
      </c>
      <c r="Q46" s="3"/>
      <c r="R46" s="8">
        <f t="shared" si="4"/>
        <v>0</v>
      </c>
      <c r="S46" s="3"/>
      <c r="T46" s="7">
        <v>177.14</v>
      </c>
      <c r="U46" s="3"/>
      <c r="V46" s="8">
        <f t="shared" si="5"/>
        <v>0</v>
      </c>
      <c r="W46" s="3"/>
      <c r="X46" s="7">
        <f t="shared" si="6"/>
        <v>1380.42</v>
      </c>
      <c r="Y46" s="3"/>
      <c r="Z46" s="8">
        <f t="shared" si="7"/>
        <v>7.7928192390199849</v>
      </c>
    </row>
    <row r="47" spans="1:26" s="68" customFormat="1" ht="15" customHeight="1" outlineLevel="1" collapsed="1" x14ac:dyDescent="0.25">
      <c r="A47" s="26"/>
      <c r="B47" s="14" t="str">
        <f>CONCATENATE("     ","Services                                          ")</f>
        <v xml:space="preserve">     Services                                          </v>
      </c>
      <c r="C47" s="14"/>
      <c r="D47" s="2">
        <f>SUM(OSRRefD22_8x_0)</f>
        <v>961.14</v>
      </c>
      <c r="E47" s="2"/>
      <c r="F47" s="6">
        <f t="shared" si="0"/>
        <v>0</v>
      </c>
      <c r="G47" s="2"/>
      <c r="H47" s="2">
        <f>SUM(OSRRefH22_8x_0)</f>
        <v>621.34</v>
      </c>
      <c r="I47" s="2"/>
      <c r="J47" s="6">
        <f t="shared" si="1"/>
        <v>0</v>
      </c>
      <c r="K47" s="2"/>
      <c r="L47" s="2">
        <f t="shared" si="2"/>
        <v>339.79999999999995</v>
      </c>
      <c r="M47" s="2"/>
      <c r="N47" s="6">
        <f t="shared" si="3"/>
        <v>0.54688254417871041</v>
      </c>
      <c r="O47" s="14"/>
      <c r="P47" s="2">
        <f>SUM(OSRRefP22_8x_0)</f>
        <v>9065.82</v>
      </c>
      <c r="Q47" s="2"/>
      <c r="R47" s="6">
        <f t="shared" si="4"/>
        <v>0</v>
      </c>
      <c r="S47" s="2"/>
      <c r="T47" s="2">
        <f>SUM(OSRRefT22_8x_0)</f>
        <v>6201.68</v>
      </c>
      <c r="U47" s="2"/>
      <c r="V47" s="6">
        <f t="shared" si="5"/>
        <v>0</v>
      </c>
      <c r="W47" s="2"/>
      <c r="X47" s="2">
        <f t="shared" si="6"/>
        <v>2864.1399999999994</v>
      </c>
      <c r="Y47" s="2"/>
      <c r="Z47" s="6">
        <f t="shared" si="7"/>
        <v>0.46183292269191561</v>
      </c>
    </row>
    <row r="48" spans="1:26" s="69" customFormat="1" ht="15" hidden="1" customHeight="1" outlineLevel="2" x14ac:dyDescent="0.25">
      <c r="A48" s="25"/>
      <c r="B48" s="12" t="str">
        <f>CONCATENATE("          ","6281"," - ","STORAGE FEE")</f>
        <v xml:space="preserve">          6281 - STORAGE FEE</v>
      </c>
      <c r="C48" s="12"/>
      <c r="D48" s="7">
        <v>961.14</v>
      </c>
      <c r="E48" s="3"/>
      <c r="F48" s="8">
        <f t="shared" si="0"/>
        <v>0</v>
      </c>
      <c r="G48" s="3"/>
      <c r="H48" s="7">
        <v>621.34</v>
      </c>
      <c r="I48" s="3"/>
      <c r="J48" s="8">
        <f t="shared" si="1"/>
        <v>0</v>
      </c>
      <c r="K48" s="3"/>
      <c r="L48" s="7">
        <f t="shared" si="2"/>
        <v>339.79999999999995</v>
      </c>
      <c r="M48" s="3"/>
      <c r="N48" s="8">
        <f t="shared" si="3"/>
        <v>0.54688254417871041</v>
      </c>
      <c r="O48" s="12"/>
      <c r="P48" s="7">
        <v>9065.82</v>
      </c>
      <c r="Q48" s="3"/>
      <c r="R48" s="8">
        <f t="shared" si="4"/>
        <v>0</v>
      </c>
      <c r="S48" s="3"/>
      <c r="T48" s="7">
        <v>6201.68</v>
      </c>
      <c r="U48" s="3"/>
      <c r="V48" s="8">
        <f t="shared" si="5"/>
        <v>0</v>
      </c>
      <c r="W48" s="3"/>
      <c r="X48" s="7">
        <f t="shared" si="6"/>
        <v>2864.1399999999994</v>
      </c>
      <c r="Y48" s="3"/>
      <c r="Z48" s="8">
        <f t="shared" si="7"/>
        <v>0.46183292269191561</v>
      </c>
    </row>
    <row r="49" spans="1:26" s="68" customFormat="1" ht="15" customHeight="1" outlineLevel="1" collapsed="1" x14ac:dyDescent="0.25">
      <c r="A49" s="26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SUM(OSRRefD22_9x_0)</f>
        <v>230.95000000000002</v>
      </c>
      <c r="E49" s="2"/>
      <c r="F49" s="6">
        <f t="shared" si="0"/>
        <v>0</v>
      </c>
      <c r="G49" s="2"/>
      <c r="H49" s="2">
        <f>SUM(OSRRefH22_9x_0)</f>
        <v>16.53</v>
      </c>
      <c r="I49" s="2"/>
      <c r="J49" s="6">
        <f t="shared" si="1"/>
        <v>0</v>
      </c>
      <c r="K49" s="2"/>
      <c r="L49" s="2">
        <f t="shared" si="2"/>
        <v>214.42000000000002</v>
      </c>
      <c r="M49" s="2"/>
      <c r="N49" s="6">
        <f t="shared" si="3"/>
        <v>12.97156684815487</v>
      </c>
      <c r="O49" s="14"/>
      <c r="P49" s="2">
        <f>SUM(OSRRefP22_9x_0)</f>
        <v>4622.3099999999995</v>
      </c>
      <c r="Q49" s="2"/>
      <c r="R49" s="6">
        <f t="shared" si="4"/>
        <v>0</v>
      </c>
      <c r="S49" s="2"/>
      <c r="T49" s="2">
        <f>SUM(OSRRefT22_9x_0)</f>
        <v>2083.69</v>
      </c>
      <c r="U49" s="2"/>
      <c r="V49" s="6">
        <f t="shared" si="5"/>
        <v>0</v>
      </c>
      <c r="W49" s="2"/>
      <c r="X49" s="2">
        <f t="shared" si="6"/>
        <v>2538.6199999999994</v>
      </c>
      <c r="Y49" s="2"/>
      <c r="Z49" s="6">
        <f t="shared" si="7"/>
        <v>1.2183290220714211</v>
      </c>
    </row>
    <row r="50" spans="1:26" s="69" customFormat="1" ht="15" hidden="1" customHeight="1" outlineLevel="2" x14ac:dyDescent="0.25">
      <c r="A50" s="25"/>
      <c r="B50" s="12" t="str">
        <f>CONCATENATE("          ","6234"," - ","EXPENDABLE SUPPLIES &amp; EQUIPMEN")</f>
        <v xml:space="preserve">          6234 - EXPENDABLE SUPPLIES &amp; EQUIPMEN</v>
      </c>
      <c r="C50" s="12"/>
      <c r="D50" s="7">
        <v>171.99</v>
      </c>
      <c r="E50" s="3"/>
      <c r="F50" s="8">
        <f t="shared" si="0"/>
        <v>0</v>
      </c>
      <c r="G50" s="3"/>
      <c r="H50" s="7"/>
      <c r="I50" s="3"/>
      <c r="J50" s="8">
        <f t="shared" si="1"/>
        <v>0</v>
      </c>
      <c r="K50" s="3"/>
      <c r="L50" s="7">
        <f t="shared" si="2"/>
        <v>171.99</v>
      </c>
      <c r="M50" s="3"/>
      <c r="N50" s="8">
        <f t="shared" si="3"/>
        <v>0</v>
      </c>
      <c r="O50" s="12"/>
      <c r="P50" s="7">
        <v>2653.16</v>
      </c>
      <c r="Q50" s="3"/>
      <c r="R50" s="8">
        <f t="shared" si="4"/>
        <v>0</v>
      </c>
      <c r="S50" s="3"/>
      <c r="T50" s="7"/>
      <c r="U50" s="3"/>
      <c r="V50" s="8">
        <f t="shared" si="5"/>
        <v>0</v>
      </c>
      <c r="W50" s="3"/>
      <c r="X50" s="7">
        <f t="shared" si="6"/>
        <v>2653.16</v>
      </c>
      <c r="Y50" s="3"/>
      <c r="Z50" s="8">
        <f t="shared" si="7"/>
        <v>0</v>
      </c>
    </row>
    <row r="51" spans="1:26" s="69" customFormat="1" ht="15" hidden="1" customHeight="1" outlineLevel="2" x14ac:dyDescent="0.25">
      <c r="A51" s="25"/>
      <c r="B51" s="12" t="str">
        <f>CONCATENATE("          ","6235"," - ","COVID-19 EXPENSES")</f>
        <v xml:space="preserve">          6235 - COVID-19 EXPENSES</v>
      </c>
      <c r="C51" s="12"/>
      <c r="D51" s="7"/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/>
      <c r="Q51" s="3"/>
      <c r="R51" s="8">
        <f t="shared" si="4"/>
        <v>0</v>
      </c>
      <c r="S51" s="3"/>
      <c r="T51" s="7">
        <v>426.66</v>
      </c>
      <c r="U51" s="3"/>
      <c r="V51" s="8">
        <f t="shared" si="5"/>
        <v>0</v>
      </c>
      <c r="W51" s="3"/>
      <c r="X51" s="7">
        <f t="shared" si="6"/>
        <v>-426.66</v>
      </c>
      <c r="Y51" s="3"/>
      <c r="Z51" s="8">
        <f t="shared" si="7"/>
        <v>-1</v>
      </c>
    </row>
    <row r="52" spans="1:26" s="69" customFormat="1" ht="15" hidden="1" customHeight="1" outlineLevel="2" x14ac:dyDescent="0.25">
      <c r="A52" s="25"/>
      <c r="B52" s="12" t="str">
        <f>CONCATENATE("          ","6241"," - ","OFFICE EXPENSE")</f>
        <v xml:space="preserve">          6241 - OFFICE EXPENSE</v>
      </c>
      <c r="C52" s="12"/>
      <c r="D52" s="7">
        <v>58.96</v>
      </c>
      <c r="E52" s="3"/>
      <c r="F52" s="8">
        <f t="shared" si="0"/>
        <v>0</v>
      </c>
      <c r="G52" s="3"/>
      <c r="H52" s="7">
        <v>16.53</v>
      </c>
      <c r="I52" s="3"/>
      <c r="J52" s="8">
        <f t="shared" si="1"/>
        <v>0</v>
      </c>
      <c r="K52" s="3"/>
      <c r="L52" s="7">
        <f t="shared" si="2"/>
        <v>42.43</v>
      </c>
      <c r="M52" s="3"/>
      <c r="N52" s="8">
        <f t="shared" si="3"/>
        <v>2.5668481548699331</v>
      </c>
      <c r="O52" s="12"/>
      <c r="P52" s="7">
        <v>1969.15</v>
      </c>
      <c r="Q52" s="3"/>
      <c r="R52" s="8">
        <f t="shared" si="4"/>
        <v>0</v>
      </c>
      <c r="S52" s="3"/>
      <c r="T52" s="7">
        <v>1657.03</v>
      </c>
      <c r="U52" s="3"/>
      <c r="V52" s="8">
        <f t="shared" si="5"/>
        <v>0</v>
      </c>
      <c r="W52" s="3"/>
      <c r="X52" s="7">
        <f t="shared" si="6"/>
        <v>312.12000000000012</v>
      </c>
      <c r="Y52" s="3"/>
      <c r="Z52" s="8">
        <f t="shared" si="7"/>
        <v>0.18836110390276586</v>
      </c>
    </row>
    <row r="53" spans="1:26" s="68" customFormat="1" ht="15" customHeight="1" outlineLevel="1" collapsed="1" x14ac:dyDescent="0.25">
      <c r="A53" s="26"/>
      <c r="B53" s="14" t="str">
        <f>CONCATENATE("     ","Telephone/Data Lines                              ")</f>
        <v xml:space="preserve">     Telephone/Data Lines                              </v>
      </c>
      <c r="C53" s="14"/>
      <c r="D53" s="2">
        <f>SUM(OSRRefD22_10x_0)</f>
        <v>291.14999999999998</v>
      </c>
      <c r="E53" s="2"/>
      <c r="F53" s="6">
        <f t="shared" si="0"/>
        <v>0</v>
      </c>
      <c r="G53" s="2"/>
      <c r="H53" s="2">
        <f>SUM(OSRRefH22_10x_0)</f>
        <v>421.35</v>
      </c>
      <c r="I53" s="2"/>
      <c r="J53" s="6">
        <f t="shared" si="1"/>
        <v>0</v>
      </c>
      <c r="K53" s="2"/>
      <c r="L53" s="2">
        <f t="shared" si="2"/>
        <v>-130.20000000000005</v>
      </c>
      <c r="M53" s="2"/>
      <c r="N53" s="6">
        <f t="shared" si="3"/>
        <v>-0.30900676397294419</v>
      </c>
      <c r="O53" s="14"/>
      <c r="P53" s="2">
        <f>SUM(OSRRefP22_10x_0)</f>
        <v>4383.42</v>
      </c>
      <c r="Q53" s="2"/>
      <c r="R53" s="6">
        <f t="shared" si="4"/>
        <v>0</v>
      </c>
      <c r="S53" s="2"/>
      <c r="T53" s="2">
        <f>SUM(OSRRefT22_10x_0)</f>
        <v>5573.33</v>
      </c>
      <c r="U53" s="2"/>
      <c r="V53" s="6">
        <f t="shared" si="5"/>
        <v>0</v>
      </c>
      <c r="W53" s="2"/>
      <c r="X53" s="2">
        <f t="shared" si="6"/>
        <v>-1189.9099999999999</v>
      </c>
      <c r="Y53" s="2"/>
      <c r="Z53" s="6">
        <f t="shared" si="7"/>
        <v>-0.21350072577794602</v>
      </c>
    </row>
    <row r="54" spans="1:26" s="69" customFormat="1" ht="15" hidden="1" customHeight="1" outlineLevel="2" x14ac:dyDescent="0.25">
      <c r="A54" s="25"/>
      <c r="B54" s="12" t="str">
        <f>CONCATENATE("          ","6309"," - ","TELEPHONE")</f>
        <v xml:space="preserve">          6309 - TELEPHONE</v>
      </c>
      <c r="C54" s="12"/>
      <c r="D54" s="7">
        <v>291.14999999999998</v>
      </c>
      <c r="E54" s="3"/>
      <c r="F54" s="8">
        <f t="shared" si="0"/>
        <v>0</v>
      </c>
      <c r="G54" s="3"/>
      <c r="H54" s="7">
        <v>421.35</v>
      </c>
      <c r="I54" s="3"/>
      <c r="J54" s="8">
        <f t="shared" si="1"/>
        <v>0</v>
      </c>
      <c r="K54" s="3"/>
      <c r="L54" s="7">
        <f t="shared" si="2"/>
        <v>-130.20000000000005</v>
      </c>
      <c r="M54" s="3"/>
      <c r="N54" s="8">
        <f t="shared" si="3"/>
        <v>-0.30900676397294419</v>
      </c>
      <c r="O54" s="12"/>
      <c r="P54" s="7">
        <v>4383.42</v>
      </c>
      <c r="Q54" s="3"/>
      <c r="R54" s="8">
        <f t="shared" si="4"/>
        <v>0</v>
      </c>
      <c r="S54" s="3"/>
      <c r="T54" s="7">
        <v>5573.33</v>
      </c>
      <c r="U54" s="3"/>
      <c r="V54" s="8">
        <f t="shared" si="5"/>
        <v>0</v>
      </c>
      <c r="W54" s="3"/>
      <c r="X54" s="7">
        <f t="shared" si="6"/>
        <v>-1189.9099999999999</v>
      </c>
      <c r="Y54" s="3"/>
      <c r="Z54" s="8">
        <f t="shared" si="7"/>
        <v>-0.21350072577794602</v>
      </c>
    </row>
    <row r="55" spans="1:26" s="68" customFormat="1" ht="15" customHeight="1" outlineLevel="1" collapsed="1" x14ac:dyDescent="0.25">
      <c r="A55" s="26"/>
      <c r="B55" s="14" t="str">
        <f>CONCATENATE("     ","Training                                          ")</f>
        <v xml:space="preserve">     Training                                          </v>
      </c>
      <c r="C55" s="14"/>
      <c r="D55" s="2">
        <f>SUM(OSRRefD22_11x_0)</f>
        <v>0</v>
      </c>
      <c r="E55" s="2"/>
      <c r="F55" s="6">
        <f t="shared" si="0"/>
        <v>0</v>
      </c>
      <c r="G55" s="2"/>
      <c r="H55" s="2">
        <f>SUM(OSRRefH22_11x_0)</f>
        <v>0</v>
      </c>
      <c r="I55" s="2"/>
      <c r="J55" s="6">
        <f t="shared" si="1"/>
        <v>0</v>
      </c>
      <c r="K55" s="2"/>
      <c r="L55" s="2">
        <f t="shared" si="2"/>
        <v>0</v>
      </c>
      <c r="M55" s="2"/>
      <c r="N55" s="6">
        <f t="shared" si="3"/>
        <v>0</v>
      </c>
      <c r="O55" s="14"/>
      <c r="P55" s="2">
        <f>SUM(OSRRefP22_11x_0)</f>
        <v>595</v>
      </c>
      <c r="Q55" s="2"/>
      <c r="R55" s="6">
        <f t="shared" si="4"/>
        <v>0</v>
      </c>
      <c r="S55" s="2"/>
      <c r="T55" s="2">
        <f>SUM(OSRRefT22_11x_0)</f>
        <v>548</v>
      </c>
      <c r="U55" s="2"/>
      <c r="V55" s="6">
        <f t="shared" si="5"/>
        <v>0</v>
      </c>
      <c r="W55" s="2"/>
      <c r="X55" s="2">
        <f t="shared" si="6"/>
        <v>47</v>
      </c>
      <c r="Y55" s="2"/>
      <c r="Z55" s="6">
        <f t="shared" si="7"/>
        <v>8.576642335766424E-2</v>
      </c>
    </row>
    <row r="56" spans="1:26" s="69" customFormat="1" ht="15" hidden="1" customHeight="1" outlineLevel="2" x14ac:dyDescent="0.25">
      <c r="A56" s="25"/>
      <c r="B56" s="12" t="str">
        <f>CONCATENATE("          ","6376"," - ","TRAINING")</f>
        <v xml:space="preserve">          6376 - TRAINING</v>
      </c>
      <c r="C56" s="12"/>
      <c r="D56" s="7"/>
      <c r="E56" s="3"/>
      <c r="F56" s="8">
        <f t="shared" si="0"/>
        <v>0</v>
      </c>
      <c r="G56" s="3"/>
      <c r="H56" s="7"/>
      <c r="I56" s="3"/>
      <c r="J56" s="8">
        <f t="shared" si="1"/>
        <v>0</v>
      </c>
      <c r="K56" s="3"/>
      <c r="L56" s="7">
        <f t="shared" si="2"/>
        <v>0</v>
      </c>
      <c r="M56" s="3"/>
      <c r="N56" s="8">
        <f t="shared" si="3"/>
        <v>0</v>
      </c>
      <c r="O56" s="12"/>
      <c r="P56" s="7">
        <v>595</v>
      </c>
      <c r="Q56" s="3"/>
      <c r="R56" s="8">
        <f t="shared" si="4"/>
        <v>0</v>
      </c>
      <c r="S56" s="3"/>
      <c r="T56" s="7">
        <v>548</v>
      </c>
      <c r="U56" s="3"/>
      <c r="V56" s="8">
        <f t="shared" si="5"/>
        <v>0</v>
      </c>
      <c r="W56" s="3"/>
      <c r="X56" s="7">
        <f t="shared" si="6"/>
        <v>47</v>
      </c>
      <c r="Y56" s="3"/>
      <c r="Z56" s="8">
        <f t="shared" si="7"/>
        <v>8.576642335766424E-2</v>
      </c>
    </row>
    <row r="57" spans="1:26" s="68" customFormat="1" ht="15" customHeight="1" outlineLevel="1" collapsed="1" x14ac:dyDescent="0.25">
      <c r="A57" s="26"/>
      <c r="B57" s="14" t="str">
        <f>CONCATENATE("     ","Travel                                            ")</f>
        <v xml:space="preserve">     Travel                                            </v>
      </c>
      <c r="C57" s="14"/>
      <c r="D57" s="2">
        <f>SUM(OSRRefD22_12x_0)</f>
        <v>0</v>
      </c>
      <c r="E57" s="2"/>
      <c r="F57" s="6">
        <f t="shared" si="0"/>
        <v>0</v>
      </c>
      <c r="G57" s="2"/>
      <c r="H57" s="2">
        <f>SUM(OSRRefH22_12x_0)</f>
        <v>0</v>
      </c>
      <c r="I57" s="2"/>
      <c r="J57" s="6">
        <f t="shared" si="1"/>
        <v>0</v>
      </c>
      <c r="K57" s="2"/>
      <c r="L57" s="2">
        <f t="shared" si="2"/>
        <v>0</v>
      </c>
      <c r="M57" s="2"/>
      <c r="N57" s="6">
        <f t="shared" si="3"/>
        <v>0</v>
      </c>
      <c r="O57" s="14"/>
      <c r="P57" s="2">
        <f>SUM(OSRRefP22_12x_0)</f>
        <v>30.4</v>
      </c>
      <c r="Q57" s="2"/>
      <c r="R57" s="6">
        <f t="shared" si="4"/>
        <v>0</v>
      </c>
      <c r="S57" s="2"/>
      <c r="T57" s="2">
        <f>SUM(OSRRefT22_12x_0)</f>
        <v>88.72</v>
      </c>
      <c r="U57" s="2"/>
      <c r="V57" s="6">
        <f t="shared" si="5"/>
        <v>0</v>
      </c>
      <c r="W57" s="2"/>
      <c r="X57" s="2">
        <f t="shared" si="6"/>
        <v>-58.32</v>
      </c>
      <c r="Y57" s="2"/>
      <c r="Z57" s="6">
        <f t="shared" si="7"/>
        <v>-0.65734896302975654</v>
      </c>
    </row>
    <row r="58" spans="1:26" s="69" customFormat="1" ht="15" hidden="1" customHeight="1" outlineLevel="2" x14ac:dyDescent="0.25">
      <c r="A58" s="25"/>
      <c r="B58" s="12" t="str">
        <f>CONCATENATE("          ","6294"," - ","TRAVEL OPERATIONAL")</f>
        <v xml:space="preserve">          6294 - TRAVEL OPERATIONAL</v>
      </c>
      <c r="C58" s="12"/>
      <c r="D58" s="7"/>
      <c r="E58" s="3"/>
      <c r="F58" s="8">
        <f t="shared" si="0"/>
        <v>0</v>
      </c>
      <c r="G58" s="3"/>
      <c r="H58" s="7"/>
      <c r="I58" s="3"/>
      <c r="J58" s="8">
        <f t="shared" si="1"/>
        <v>0</v>
      </c>
      <c r="K58" s="3"/>
      <c r="L58" s="7">
        <f t="shared" si="2"/>
        <v>0</v>
      </c>
      <c r="M58" s="3"/>
      <c r="N58" s="8">
        <f t="shared" si="3"/>
        <v>0</v>
      </c>
      <c r="O58" s="12"/>
      <c r="P58" s="7">
        <v>30.4</v>
      </c>
      <c r="Q58" s="3"/>
      <c r="R58" s="8">
        <f t="shared" si="4"/>
        <v>0</v>
      </c>
      <c r="S58" s="3"/>
      <c r="T58" s="7">
        <v>88.72</v>
      </c>
      <c r="U58" s="3"/>
      <c r="V58" s="8">
        <f t="shared" si="5"/>
        <v>0</v>
      </c>
      <c r="W58" s="3"/>
      <c r="X58" s="7">
        <f t="shared" si="6"/>
        <v>-58.32</v>
      </c>
      <c r="Y58" s="3"/>
      <c r="Z58" s="8">
        <f t="shared" si="7"/>
        <v>-0.65734896302975654</v>
      </c>
    </row>
    <row r="59" spans="1:26" s="64" customFormat="1" ht="15" customHeight="1" x14ac:dyDescent="0.25">
      <c r="A59" s="36"/>
      <c r="B59" s="36"/>
      <c r="C59" s="36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O59" s="3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62" customFormat="1" ht="15" customHeight="1" x14ac:dyDescent="0.25">
      <c r="A60" s="11"/>
      <c r="B60" s="28" t="s">
        <v>290</v>
      </c>
      <c r="C60" s="11"/>
      <c r="D60" s="5">
        <f>SUM(0)</f>
        <v>0</v>
      </c>
      <c r="E60" s="5"/>
      <c r="F60" s="13">
        <f>IF(D$12=0,0,D60/D$12)</f>
        <v>0</v>
      </c>
      <c r="G60" s="5"/>
      <c r="H60" s="5">
        <f>SUM(0)</f>
        <v>0</v>
      </c>
      <c r="I60" s="5"/>
      <c r="J60" s="13">
        <f>IF(H$12=0,0,H60/H$12)</f>
        <v>0</v>
      </c>
      <c r="K60" s="5"/>
      <c r="L60" s="5">
        <f>+D60-H60</f>
        <v>0</v>
      </c>
      <c r="M60" s="5"/>
      <c r="N60" s="13">
        <f>IF(H60=0,0,L60/H60)</f>
        <v>0</v>
      </c>
      <c r="O60" s="11"/>
      <c r="P60" s="5">
        <f>SUM(0)</f>
        <v>0</v>
      </c>
      <c r="Q60" s="5"/>
      <c r="R60" s="13">
        <f>IF(P$12=0,0,P60/P$12)</f>
        <v>0</v>
      </c>
      <c r="S60" s="5"/>
      <c r="T60" s="5">
        <f>SUM(0)</f>
        <v>0</v>
      </c>
      <c r="U60" s="5"/>
      <c r="V60" s="13">
        <f>IF(T$12=0,0,T60/T$12)</f>
        <v>0</v>
      </c>
      <c r="W60" s="5"/>
      <c r="X60" s="5">
        <f>+P60-T60</f>
        <v>0</v>
      </c>
      <c r="Y60" s="5"/>
      <c r="Z60" s="13">
        <f>IF(T60=0,0,X60/T60)</f>
        <v>0</v>
      </c>
    </row>
    <row r="61" spans="1:26" ht="15" customHeight="1" x14ac:dyDescent="0.25">
      <c r="A61" s="10"/>
      <c r="B61" s="11"/>
      <c r="C61" s="11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O61" s="11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s="62" customFormat="1" ht="15" customHeight="1" x14ac:dyDescent="0.25">
      <c r="A62" s="11"/>
      <c r="B62" s="27" t="s">
        <v>291</v>
      </c>
      <c r="C62" s="27"/>
      <c r="D62" s="22">
        <f>+D16-D18+D60</f>
        <v>-34350.779999999992</v>
      </c>
      <c r="E62" s="15"/>
      <c r="F62" s="23">
        <f>IF(D$12=0,0,D62/D$12)</f>
        <v>0</v>
      </c>
      <c r="G62" s="15"/>
      <c r="H62" s="22">
        <f>+H16-H18+H60</f>
        <v>-36932.669999999984</v>
      </c>
      <c r="I62" s="15"/>
      <c r="J62" s="23">
        <f>IF(H$12=0,0,H62/H$12)</f>
        <v>0</v>
      </c>
      <c r="K62" s="16"/>
      <c r="L62" s="22">
        <f>+D62-H62</f>
        <v>2581.8899999999921</v>
      </c>
      <c r="M62" s="16"/>
      <c r="N62" s="23">
        <f>IF(H62=0,0,L62/H62)</f>
        <v>-6.9908024521378856E-2</v>
      </c>
      <c r="O62" s="28"/>
      <c r="P62" s="22">
        <f>+P16-P18+P60</f>
        <v>-484393.08000000007</v>
      </c>
      <c r="Q62" s="15"/>
      <c r="R62" s="23">
        <f>IF(P$12=0,0,P62/P$12)</f>
        <v>0</v>
      </c>
      <c r="S62" s="15"/>
      <c r="T62" s="22">
        <f>+T16-T18+T60</f>
        <v>-453992.93999999994</v>
      </c>
      <c r="U62" s="15"/>
      <c r="V62" s="23">
        <f>IF(T$12=0,0,T62/T$12)</f>
        <v>0</v>
      </c>
      <c r="W62" s="16"/>
      <c r="X62" s="22">
        <f>+P62-T62</f>
        <v>-30400.14000000013</v>
      </c>
      <c r="Y62" s="16"/>
      <c r="Z62" s="23">
        <f>IF(T62=0,0,X62/T62)</f>
        <v>6.6961702091667186E-2</v>
      </c>
    </row>
    <row r="63" spans="1:26" ht="15" customHeight="1" x14ac:dyDescent="0.25">
      <c r="A63" s="10"/>
      <c r="B63" s="11"/>
      <c r="C63" s="10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2" customFormat="1" ht="15" customHeight="1" x14ac:dyDescent="0.25">
      <c r="A64" s="48"/>
      <c r="B64" s="11" t="s">
        <v>292</v>
      </c>
      <c r="C64" s="11"/>
      <c r="D64" s="5"/>
      <c r="E64" s="5"/>
      <c r="F64" s="13">
        <f>IF(D$12=0,0,D64/D$12)</f>
        <v>0</v>
      </c>
      <c r="G64" s="5"/>
      <c r="H64" s="5"/>
      <c r="I64" s="5"/>
      <c r="J64" s="13">
        <f>IF(H$12=0,0,H64/H$12)</f>
        <v>0</v>
      </c>
      <c r="K64" s="5"/>
      <c r="L64" s="5">
        <f>+D64-H64</f>
        <v>0</v>
      </c>
      <c r="M64" s="5"/>
      <c r="N64" s="13">
        <f>IF(H64=0,0,L64/H64)</f>
        <v>0</v>
      </c>
      <c r="O64" s="11"/>
      <c r="P64" s="5"/>
      <c r="Q64" s="5"/>
      <c r="R64" s="13">
        <f>IF(P$12=0,0,P64/P$12)</f>
        <v>0</v>
      </c>
      <c r="S64" s="5"/>
      <c r="T64" s="5"/>
      <c r="U64" s="5"/>
      <c r="V64" s="13">
        <f>IF(T$12=0,0,T64/T$12)</f>
        <v>0</v>
      </c>
      <c r="W64" s="5"/>
      <c r="X64" s="5">
        <f>+P64-T64</f>
        <v>0</v>
      </c>
      <c r="Y64" s="5"/>
      <c r="Z64" s="13">
        <f>IF(T64=0,0,X64/T64)</f>
        <v>0</v>
      </c>
    </row>
    <row r="65" spans="1:26" ht="15" customHeight="1" x14ac:dyDescent="0.25">
      <c r="A65" s="10"/>
      <c r="B65" s="11"/>
      <c r="C65" s="11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O65" s="11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25">
      <c r="A66" s="11"/>
      <c r="B66" s="27" t="s">
        <v>293</v>
      </c>
      <c r="C66" s="27"/>
      <c r="D66" s="35">
        <f>+D62-D64</f>
        <v>-34350.779999999992</v>
      </c>
      <c r="E66" s="15"/>
      <c r="F66" s="30">
        <f>IF(D$12=0,0,D66/D$12)</f>
        <v>0</v>
      </c>
      <c r="G66" s="15"/>
      <c r="H66" s="35">
        <f>+H62-H64</f>
        <v>-36932.669999999984</v>
      </c>
      <c r="I66" s="15"/>
      <c r="J66" s="30">
        <f>IF(H$12=0,0,H66/H$12)</f>
        <v>0</v>
      </c>
      <c r="K66" s="16"/>
      <c r="L66" s="35">
        <f>D66-H66</f>
        <v>2581.8899999999921</v>
      </c>
      <c r="M66" s="16"/>
      <c r="N66" s="30">
        <f>IF(H66=0,0,L66/H66)</f>
        <v>-6.9908024521378856E-2</v>
      </c>
      <c r="O66" s="28"/>
      <c r="P66" s="35">
        <f>+P62-P64</f>
        <v>-484393.08000000007</v>
      </c>
      <c r="Q66" s="15"/>
      <c r="R66" s="30">
        <f>IF(P$12=0,0,P66/P$12)</f>
        <v>0</v>
      </c>
      <c r="S66" s="15"/>
      <c r="T66" s="35">
        <f>+T62-T64</f>
        <v>-453992.93999999994</v>
      </c>
      <c r="U66" s="15"/>
      <c r="V66" s="30">
        <f>IF(T$12=0,0,T66/T$12)</f>
        <v>0</v>
      </c>
      <c r="W66" s="16"/>
      <c r="X66" s="35">
        <f>P66-T66</f>
        <v>-30400.14000000013</v>
      </c>
      <c r="Y66" s="16"/>
      <c r="Z66" s="30">
        <f>IF(T66=0,0,X66/T66)</f>
        <v>6.6961702091667186E-2</v>
      </c>
    </row>
    <row r="67" spans="1:26" ht="15" customHeight="1" x14ac:dyDescent="0.25">
      <c r="A67" s="10"/>
      <c r="B67" s="10"/>
      <c r="C67" s="10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ht="15" customHeight="1" x14ac:dyDescent="0.25">
      <c r="A68" s="10"/>
      <c r="B68" s="10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25">
      <c r="A69" s="11"/>
      <c r="B69" s="27" t="s">
        <v>296</v>
      </c>
      <c r="C69" s="27"/>
      <c r="D69" s="32">
        <f>SUM(D66:D68)</f>
        <v>-34350.779999999992</v>
      </c>
      <c r="E69" s="15"/>
      <c r="F69" s="34">
        <f>IF(D$12=0,0,D69/D$12)</f>
        <v>0</v>
      </c>
      <c r="G69" s="15"/>
      <c r="H69" s="32">
        <f>SUM(H66:H68)</f>
        <v>-36932.669999999984</v>
      </c>
      <c r="I69" s="15"/>
      <c r="J69" s="34">
        <f>IF(H$12=0,0,H69/H$12)</f>
        <v>0</v>
      </c>
      <c r="K69" s="16"/>
      <c r="L69" s="32">
        <f>+D69-H69</f>
        <v>2581.8899999999921</v>
      </c>
      <c r="M69" s="16"/>
      <c r="N69" s="34">
        <f>IF(H69=0,0,L69/H69)</f>
        <v>-6.9908024521378856E-2</v>
      </c>
      <c r="O69" s="28"/>
      <c r="P69" s="32">
        <f>SUM(P66:P68)</f>
        <v>-484393.08000000007</v>
      </c>
      <c r="Q69" s="15"/>
      <c r="R69" s="34">
        <f>IF(P$12=0,0,P69/P$12)</f>
        <v>0</v>
      </c>
      <c r="S69" s="15"/>
      <c r="T69" s="32">
        <f>SUM(T66:T68)</f>
        <v>-453992.93999999994</v>
      </c>
      <c r="U69" s="15"/>
      <c r="V69" s="34">
        <f>IF(T$12=0,0,T69/T$12)</f>
        <v>0</v>
      </c>
      <c r="W69" s="16"/>
      <c r="X69" s="32">
        <f>+P69-T69</f>
        <v>-30400.14000000013</v>
      </c>
      <c r="Y69" s="16"/>
      <c r="Z69" s="34">
        <f>IF(T69=0,0,X69/T69)</f>
        <v>6.6961702091667186E-2</v>
      </c>
    </row>
    <row r="70" spans="1:26" ht="15" customHeight="1" x14ac:dyDescent="0.25">
      <c r="A70" s="10"/>
      <c r="C70" s="10"/>
      <c r="D70" s="18"/>
      <c r="E70" s="18"/>
      <c r="G70" s="18"/>
      <c r="H70" s="18"/>
      <c r="I70" s="18"/>
      <c r="J70" s="41"/>
      <c r="K70" s="18"/>
      <c r="L70" s="18"/>
      <c r="M70" s="18"/>
      <c r="P70" s="18"/>
      <c r="Q70" s="18"/>
      <c r="R70" s="41"/>
      <c r="S70" s="18"/>
      <c r="T70" s="18"/>
      <c r="U70" s="18"/>
      <c r="V70" s="41"/>
      <c r="W70" s="18"/>
      <c r="X70" s="18"/>
    </row>
    <row r="71" spans="1:26" ht="15" customHeight="1" x14ac:dyDescent="0.25">
      <c r="A71" s="10"/>
      <c r="B71" s="50">
        <v>44727.879654085649</v>
      </c>
      <c r="D71" s="18"/>
      <c r="E71" s="18"/>
      <c r="G71" s="18"/>
      <c r="H71" s="18"/>
      <c r="I71" s="18"/>
      <c r="J71" s="41"/>
      <c r="K71" s="18"/>
      <c r="L71" s="18"/>
      <c r="M71" s="18"/>
      <c r="P71" s="18"/>
      <c r="Q71" s="18"/>
      <c r="R71" s="41"/>
      <c r="S71" s="18"/>
      <c r="T71" s="18"/>
      <c r="U71" s="18"/>
      <c r="V71" s="41"/>
      <c r="W71" s="18"/>
      <c r="X71" s="18"/>
    </row>
    <row r="72" spans="1:26" ht="15" customHeight="1" x14ac:dyDescent="0.25">
      <c r="A72" s="10"/>
      <c r="B72" s="53" t="s">
        <v>297</v>
      </c>
      <c r="D72" s="18"/>
      <c r="E72" s="18"/>
      <c r="G72" s="18"/>
      <c r="H72" s="18"/>
      <c r="I72" s="18"/>
      <c r="J72" s="41"/>
      <c r="K72" s="18"/>
      <c r="L72" s="18"/>
      <c r="M72" s="18"/>
      <c r="P72" s="18"/>
      <c r="Q72" s="18"/>
      <c r="R72" s="41"/>
      <c r="S72" s="18"/>
      <c r="T72" s="18"/>
      <c r="U72" s="18"/>
      <c r="V72" s="41"/>
      <c r="W72" s="18"/>
      <c r="X72" s="18"/>
    </row>
    <row r="73" spans="1:26" ht="15" customHeight="1" x14ac:dyDescent="0.25">
      <c r="A73" s="10"/>
      <c r="B73" s="55"/>
      <c r="D73" s="18"/>
      <c r="E73" s="18"/>
      <c r="G73" s="18"/>
      <c r="H73" s="18"/>
      <c r="I73" s="18"/>
      <c r="J73" s="41"/>
      <c r="K73" s="18"/>
      <c r="L73" s="18"/>
      <c r="M73" s="18"/>
      <c r="P73" s="18"/>
      <c r="Q73" s="18"/>
      <c r="R73" s="41"/>
      <c r="S73" s="18"/>
      <c r="T73" s="18"/>
      <c r="U73" s="18"/>
      <c r="V73" s="41"/>
      <c r="W73" s="18"/>
      <c r="X73" s="18"/>
    </row>
    <row r="74" spans="1:26" ht="15" customHeight="1" x14ac:dyDescent="0.25">
      <c r="D74" s="18"/>
      <c r="E74" s="18"/>
      <c r="G74" s="18"/>
      <c r="H74" s="18"/>
      <c r="I74" s="18"/>
      <c r="J74" s="41"/>
      <c r="K74" s="18"/>
      <c r="L74" s="18"/>
      <c r="M74" s="18"/>
      <c r="P74" s="18"/>
      <c r="Q74" s="18"/>
      <c r="R74" s="41"/>
      <c r="S74" s="18"/>
      <c r="T74" s="18"/>
      <c r="U74" s="18"/>
      <c r="V74" s="41"/>
      <c r="W74" s="18"/>
      <c r="X7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788E2-4D0A-03AC-9C2F-89C38A17013D}">
  <sheetPr>
    <tabColor rgb="FF92D050"/>
    <outlinePr summaryBelow="0" summaryRight="0"/>
  </sheetPr>
  <dimension ref="A2:Z8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","203"," - ","Human Resources")</f>
        <v>Department 203 - Human Resources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59203.969999999994</v>
      </c>
      <c r="E18" s="21"/>
      <c r="F18" s="31">
        <f t="shared" ref="F18:F65" si="0">IF(D$12=0,0,D18/D$12)</f>
        <v>0</v>
      </c>
      <c r="G18" s="21"/>
      <c r="H18" s="21" cm="1">
        <f t="array" ref="H18">SUM(OSRRefH22x_0)</f>
        <v>44624.069999999992</v>
      </c>
      <c r="I18" s="21"/>
      <c r="J18" s="31">
        <f t="shared" ref="J18:J65" si="1">IF(H$12=0,0,H18/H$12)</f>
        <v>0</v>
      </c>
      <c r="K18" s="5"/>
      <c r="L18" s="21">
        <f t="shared" ref="L18:L65" si="2">+D18-H18</f>
        <v>14579.900000000001</v>
      </c>
      <c r="M18" s="5"/>
      <c r="N18" s="31">
        <f t="shared" ref="N18:N65" si="3">IF(H18=0,0,L18/H18)</f>
        <v>0.32672725728513791</v>
      </c>
      <c r="O18" s="11"/>
      <c r="P18" s="21" cm="1">
        <f t="array" ref="P18">SUM(OSRRefP22x_0)</f>
        <v>627423.51</v>
      </c>
      <c r="Q18" s="21"/>
      <c r="R18" s="31">
        <f t="shared" ref="R18:R65" si="4">IF(P$12=0,0,P18/P$12)</f>
        <v>0</v>
      </c>
      <c r="S18" s="21"/>
      <c r="T18" s="21" cm="1">
        <f t="array" ref="T18">SUM(OSRRefT22x_0)</f>
        <v>494632.03000000009</v>
      </c>
      <c r="U18" s="21"/>
      <c r="V18" s="31">
        <f t="shared" ref="V18:V65" si="5">IF(T$12=0,0,T18/T$12)</f>
        <v>0</v>
      </c>
      <c r="W18" s="5"/>
      <c r="X18" s="21">
        <f t="shared" ref="X18:X65" si="6">+P18-T18</f>
        <v>132791.47999999992</v>
      </c>
      <c r="Y18" s="5"/>
      <c r="Z18" s="31">
        <f t="shared" ref="Z18:Z65" si="7">IF(T18=0,0,X18/T18)</f>
        <v>0.26846518613038445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14068.040000000003</v>
      </c>
      <c r="E19" s="2"/>
      <c r="F19" s="6">
        <f t="shared" si="0"/>
        <v>0</v>
      </c>
      <c r="G19" s="2"/>
      <c r="H19" s="2">
        <f>SUM(OSRRefH22_0x_0)</f>
        <v>16907.740000000002</v>
      </c>
      <c r="I19" s="2"/>
      <c r="J19" s="6">
        <f t="shared" si="1"/>
        <v>0</v>
      </c>
      <c r="K19" s="2"/>
      <c r="L19" s="2">
        <f t="shared" si="2"/>
        <v>-2839.6999999999989</v>
      </c>
      <c r="M19" s="2"/>
      <c r="N19" s="6">
        <f t="shared" si="3"/>
        <v>-0.16795266546563872</v>
      </c>
      <c r="O19" s="14"/>
      <c r="P19" s="2">
        <f>SUM(OSRRefP22_0x_0)</f>
        <v>173517.68999999997</v>
      </c>
      <c r="Q19" s="2"/>
      <c r="R19" s="6">
        <f t="shared" si="4"/>
        <v>0</v>
      </c>
      <c r="S19" s="2"/>
      <c r="T19" s="2">
        <f>SUM(OSRRefT22_0x_0)</f>
        <v>141079.64999999997</v>
      </c>
      <c r="U19" s="2"/>
      <c r="V19" s="6">
        <f t="shared" si="5"/>
        <v>0</v>
      </c>
      <c r="W19" s="2"/>
      <c r="X19" s="2">
        <f t="shared" si="6"/>
        <v>32438.040000000008</v>
      </c>
      <c r="Y19" s="2"/>
      <c r="Z19" s="6">
        <f t="shared" si="7"/>
        <v>0.2299271369045785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>
        <v>2283.9299999999998</v>
      </c>
      <c r="E20" s="3"/>
      <c r="F20" s="8">
        <f t="shared" si="0"/>
        <v>0</v>
      </c>
      <c r="G20" s="3"/>
      <c r="H20" s="7">
        <v>1889.45</v>
      </c>
      <c r="I20" s="3"/>
      <c r="J20" s="8">
        <f t="shared" si="1"/>
        <v>0</v>
      </c>
      <c r="K20" s="3"/>
      <c r="L20" s="7">
        <f t="shared" si="2"/>
        <v>394.47999999999979</v>
      </c>
      <c r="M20" s="3"/>
      <c r="N20" s="8">
        <f t="shared" si="3"/>
        <v>0.20878033290110867</v>
      </c>
      <c r="O20" s="12"/>
      <c r="P20" s="7">
        <v>26655.86</v>
      </c>
      <c r="Q20" s="3"/>
      <c r="R20" s="8">
        <f t="shared" si="4"/>
        <v>0</v>
      </c>
      <c r="S20" s="3"/>
      <c r="T20" s="7">
        <v>23455.62</v>
      </c>
      <c r="U20" s="3"/>
      <c r="V20" s="8">
        <f t="shared" si="5"/>
        <v>0</v>
      </c>
      <c r="W20" s="3"/>
      <c r="X20" s="7">
        <f t="shared" si="6"/>
        <v>3200.2400000000016</v>
      </c>
      <c r="Y20" s="3"/>
      <c r="Z20" s="8">
        <f t="shared" si="7"/>
        <v>0.13643809031694756</v>
      </c>
    </row>
    <row r="21" spans="1:26" s="69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7">
        <v>576.95000000000005</v>
      </c>
      <c r="E21" s="3"/>
      <c r="F21" s="8">
        <f t="shared" si="0"/>
        <v>0</v>
      </c>
      <c r="G21" s="3"/>
      <c r="H21" s="7">
        <v>121.48</v>
      </c>
      <c r="I21" s="3"/>
      <c r="J21" s="8">
        <f t="shared" si="1"/>
        <v>0</v>
      </c>
      <c r="K21" s="3"/>
      <c r="L21" s="7">
        <f t="shared" si="2"/>
        <v>455.47</v>
      </c>
      <c r="M21" s="3"/>
      <c r="N21" s="8">
        <f t="shared" si="3"/>
        <v>3.7493414553836022</v>
      </c>
      <c r="O21" s="12"/>
      <c r="P21" s="7">
        <v>4466.4799999999996</v>
      </c>
      <c r="Q21" s="3"/>
      <c r="R21" s="8">
        <f t="shared" si="4"/>
        <v>0</v>
      </c>
      <c r="S21" s="3"/>
      <c r="T21" s="7">
        <v>1018.75</v>
      </c>
      <c r="U21" s="3"/>
      <c r="V21" s="8">
        <f t="shared" si="5"/>
        <v>0</v>
      </c>
      <c r="W21" s="3"/>
      <c r="X21" s="7">
        <f t="shared" si="6"/>
        <v>3447.7299999999996</v>
      </c>
      <c r="Y21" s="3"/>
      <c r="Z21" s="8">
        <f t="shared" si="7"/>
        <v>3.3842748466257664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>
        <v>5574.36</v>
      </c>
      <c r="E22" s="3"/>
      <c r="F22" s="8">
        <f t="shared" si="0"/>
        <v>0</v>
      </c>
      <c r="G22" s="3"/>
      <c r="H22" s="7">
        <v>6028.29</v>
      </c>
      <c r="I22" s="3"/>
      <c r="J22" s="8">
        <f t="shared" si="1"/>
        <v>0</v>
      </c>
      <c r="K22" s="3"/>
      <c r="L22" s="7">
        <f t="shared" si="2"/>
        <v>-453.93000000000029</v>
      </c>
      <c r="M22" s="3"/>
      <c r="N22" s="8">
        <f t="shared" si="3"/>
        <v>-7.5299960685368539E-2</v>
      </c>
      <c r="O22" s="12"/>
      <c r="P22" s="7">
        <v>64199.19</v>
      </c>
      <c r="Q22" s="3"/>
      <c r="R22" s="8">
        <f t="shared" si="4"/>
        <v>0</v>
      </c>
      <c r="S22" s="3"/>
      <c r="T22" s="7">
        <v>66691.47</v>
      </c>
      <c r="U22" s="3"/>
      <c r="V22" s="8">
        <f t="shared" si="5"/>
        <v>0</v>
      </c>
      <c r="W22" s="3"/>
      <c r="X22" s="7">
        <f t="shared" si="6"/>
        <v>-2492.2799999999988</v>
      </c>
      <c r="Y22" s="3"/>
      <c r="Z22" s="8">
        <f t="shared" si="7"/>
        <v>-3.7370296381231342E-2</v>
      </c>
    </row>
    <row r="23" spans="1:26" s="69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7">
        <v>116.28</v>
      </c>
      <c r="E23" s="3"/>
      <c r="F23" s="8">
        <f t="shared" si="0"/>
        <v>0</v>
      </c>
      <c r="G23" s="3"/>
      <c r="H23" s="7">
        <v>95.71</v>
      </c>
      <c r="I23" s="3"/>
      <c r="J23" s="8">
        <f t="shared" si="1"/>
        <v>0</v>
      </c>
      <c r="K23" s="3"/>
      <c r="L23" s="7">
        <f t="shared" si="2"/>
        <v>20.570000000000007</v>
      </c>
      <c r="M23" s="3"/>
      <c r="N23" s="8">
        <f t="shared" si="3"/>
        <v>0.21492007104795746</v>
      </c>
      <c r="O23" s="12"/>
      <c r="P23" s="7">
        <v>900.22</v>
      </c>
      <c r="Q23" s="3"/>
      <c r="R23" s="8">
        <f t="shared" si="4"/>
        <v>0</v>
      </c>
      <c r="S23" s="3"/>
      <c r="T23" s="7">
        <v>802.65</v>
      </c>
      <c r="U23" s="3"/>
      <c r="V23" s="8">
        <f t="shared" si="5"/>
        <v>0</v>
      </c>
      <c r="W23" s="3"/>
      <c r="X23" s="7">
        <f t="shared" si="6"/>
        <v>97.57000000000005</v>
      </c>
      <c r="Y23" s="3"/>
      <c r="Z23" s="8">
        <f t="shared" si="7"/>
        <v>0.12155983305301196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>
        <v>1287.54</v>
      </c>
      <c r="E24" s="3"/>
      <c r="F24" s="8">
        <f t="shared" si="0"/>
        <v>0</v>
      </c>
      <c r="G24" s="3"/>
      <c r="H24" s="7">
        <v>1091.48</v>
      </c>
      <c r="I24" s="3"/>
      <c r="J24" s="8">
        <f t="shared" si="1"/>
        <v>0</v>
      </c>
      <c r="K24" s="3"/>
      <c r="L24" s="7">
        <f t="shared" si="2"/>
        <v>196.05999999999995</v>
      </c>
      <c r="M24" s="3"/>
      <c r="N24" s="8">
        <f t="shared" si="3"/>
        <v>0.1796276615238025</v>
      </c>
      <c r="O24" s="12"/>
      <c r="P24" s="7">
        <v>15163.27</v>
      </c>
      <c r="Q24" s="3"/>
      <c r="R24" s="8">
        <f t="shared" si="4"/>
        <v>0</v>
      </c>
      <c r="S24" s="3"/>
      <c r="T24" s="7">
        <v>14374.8</v>
      </c>
      <c r="U24" s="3"/>
      <c r="V24" s="8">
        <f t="shared" si="5"/>
        <v>0</v>
      </c>
      <c r="W24" s="3"/>
      <c r="X24" s="7">
        <f t="shared" si="6"/>
        <v>788.47000000000116</v>
      </c>
      <c r="Y24" s="3"/>
      <c r="Z24" s="8">
        <f t="shared" si="7"/>
        <v>5.4850850098784064E-2</v>
      </c>
    </row>
    <row r="25" spans="1:26" s="69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4846</v>
      </c>
      <c r="I25" s="3"/>
      <c r="J25" s="8">
        <f t="shared" si="1"/>
        <v>0</v>
      </c>
      <c r="K25" s="3"/>
      <c r="L25" s="7">
        <f t="shared" si="2"/>
        <v>-4846</v>
      </c>
      <c r="M25" s="3"/>
      <c r="N25" s="8">
        <f t="shared" si="3"/>
        <v>-1</v>
      </c>
      <c r="O25" s="12"/>
      <c r="P25" s="7">
        <v>4855</v>
      </c>
      <c r="Q25" s="3"/>
      <c r="R25" s="8">
        <f t="shared" si="4"/>
        <v>0</v>
      </c>
      <c r="S25" s="3"/>
      <c r="T25" s="7">
        <v>4846</v>
      </c>
      <c r="U25" s="3"/>
      <c r="V25" s="8">
        <f t="shared" si="5"/>
        <v>0</v>
      </c>
      <c r="W25" s="3"/>
      <c r="X25" s="7">
        <f t="shared" si="6"/>
        <v>9</v>
      </c>
      <c r="Y25" s="3"/>
      <c r="Z25" s="8">
        <f t="shared" si="7"/>
        <v>1.8572018159306646E-3</v>
      </c>
    </row>
    <row r="26" spans="1:26" s="69" customFormat="1" ht="15" hidden="1" customHeight="1" outlineLevel="2" x14ac:dyDescent="0.25">
      <c r="A26" s="25"/>
      <c r="B26" s="12" t="str">
        <f>CONCATENATE("          ","6117"," - ","RETIREMENT STAFF HOURLY")</f>
        <v xml:space="preserve">          6117 - RETIREMENT STAFF HOURLY</v>
      </c>
      <c r="C26" s="12"/>
      <c r="D26" s="7">
        <v>661.77</v>
      </c>
      <c r="E26" s="3"/>
      <c r="F26" s="8">
        <f t="shared" si="0"/>
        <v>0</v>
      </c>
      <c r="G26" s="3"/>
      <c r="H26" s="7">
        <v>534.51</v>
      </c>
      <c r="I26" s="3"/>
      <c r="J26" s="8">
        <f t="shared" si="1"/>
        <v>0</v>
      </c>
      <c r="K26" s="3"/>
      <c r="L26" s="7">
        <f t="shared" si="2"/>
        <v>127.25999999999999</v>
      </c>
      <c r="M26" s="3"/>
      <c r="N26" s="8">
        <f t="shared" si="3"/>
        <v>0.23808722007071897</v>
      </c>
      <c r="O26" s="12"/>
      <c r="P26" s="7">
        <v>17498.82</v>
      </c>
      <c r="Q26" s="3"/>
      <c r="R26" s="8">
        <f t="shared" si="4"/>
        <v>0</v>
      </c>
      <c r="S26" s="3"/>
      <c r="T26" s="7">
        <v>6666.01</v>
      </c>
      <c r="U26" s="3"/>
      <c r="V26" s="8">
        <f t="shared" si="5"/>
        <v>0</v>
      </c>
      <c r="W26" s="3"/>
      <c r="X26" s="7">
        <f t="shared" si="6"/>
        <v>10832.81</v>
      </c>
      <c r="Y26" s="3"/>
      <c r="Z26" s="8">
        <f t="shared" si="7"/>
        <v>1.6250815705346975</v>
      </c>
    </row>
    <row r="27" spans="1:26" s="69" customFormat="1" ht="15" hidden="1" customHeight="1" outlineLevel="2" x14ac:dyDescent="0.25">
      <c r="A27" s="25"/>
      <c r="B27" s="12" t="str">
        <f>CONCATENATE("          ","6118"," - ","VACATION")</f>
        <v xml:space="preserve">          6118 - VACATION</v>
      </c>
      <c r="C27" s="12"/>
      <c r="D27" s="7">
        <v>1880.68</v>
      </c>
      <c r="E27" s="3"/>
      <c r="F27" s="8">
        <f t="shared" si="0"/>
        <v>0</v>
      </c>
      <c r="G27" s="3"/>
      <c r="H27" s="7">
        <v>1392.7</v>
      </c>
      <c r="I27" s="3"/>
      <c r="J27" s="8">
        <f t="shared" si="1"/>
        <v>0</v>
      </c>
      <c r="K27" s="3"/>
      <c r="L27" s="7">
        <f t="shared" si="2"/>
        <v>487.98</v>
      </c>
      <c r="M27" s="3"/>
      <c r="N27" s="8">
        <f t="shared" si="3"/>
        <v>0.35038414590364042</v>
      </c>
      <c r="O27" s="12"/>
      <c r="P27" s="7">
        <v>20059.64</v>
      </c>
      <c r="Q27" s="3"/>
      <c r="R27" s="8">
        <f t="shared" si="4"/>
        <v>0</v>
      </c>
      <c r="S27" s="3"/>
      <c r="T27" s="7">
        <v>11987.08</v>
      </c>
      <c r="U27" s="3"/>
      <c r="V27" s="8">
        <f t="shared" si="5"/>
        <v>0</v>
      </c>
      <c r="W27" s="3"/>
      <c r="X27" s="7">
        <f t="shared" si="6"/>
        <v>8072.5599999999995</v>
      </c>
      <c r="Y27" s="3"/>
      <c r="Z27" s="8">
        <f t="shared" si="7"/>
        <v>0.67343840201283378</v>
      </c>
    </row>
    <row r="28" spans="1:26" s="69" customFormat="1" ht="15" hidden="1" customHeight="1" outlineLevel="2" x14ac:dyDescent="0.25">
      <c r="A28" s="25"/>
      <c r="B28" s="12" t="str">
        <f>CONCATENATE("          ","6119"," - ","SICK LEAVE")</f>
        <v xml:space="preserve">          6119 - SICK LEAVE</v>
      </c>
      <c r="C28" s="12"/>
      <c r="D28" s="7">
        <v>1247.24</v>
      </c>
      <c r="E28" s="3"/>
      <c r="F28" s="8">
        <f t="shared" si="0"/>
        <v>0</v>
      </c>
      <c r="G28" s="3"/>
      <c r="H28" s="7">
        <v>908.12</v>
      </c>
      <c r="I28" s="3"/>
      <c r="J28" s="8">
        <f t="shared" si="1"/>
        <v>0</v>
      </c>
      <c r="K28" s="3"/>
      <c r="L28" s="7">
        <f t="shared" si="2"/>
        <v>339.12</v>
      </c>
      <c r="M28" s="3"/>
      <c r="N28" s="8">
        <f t="shared" si="3"/>
        <v>0.37343082412016032</v>
      </c>
      <c r="O28" s="12"/>
      <c r="P28" s="7">
        <v>16690.03</v>
      </c>
      <c r="Q28" s="3"/>
      <c r="R28" s="8">
        <f t="shared" si="4"/>
        <v>0</v>
      </c>
      <c r="S28" s="3"/>
      <c r="T28" s="7">
        <v>10897.44</v>
      </c>
      <c r="U28" s="3"/>
      <c r="V28" s="8">
        <f t="shared" si="5"/>
        <v>0</v>
      </c>
      <c r="W28" s="3"/>
      <c r="X28" s="7">
        <f t="shared" si="6"/>
        <v>5792.5899999999983</v>
      </c>
      <c r="Y28" s="3"/>
      <c r="Z28" s="8">
        <f t="shared" si="7"/>
        <v>0.53155511753219087</v>
      </c>
    </row>
    <row r="29" spans="1:26" s="69" customFormat="1" ht="15" hidden="1" customHeight="1" outlineLevel="2" x14ac:dyDescent="0.25">
      <c r="A29" s="25"/>
      <c r="B29" s="12" t="str">
        <f>CONCATENATE("          ","6156"," - ","EMPLOYEE MEALS")</f>
        <v xml:space="preserve">          6156 - EMPLOYEE MEALS</v>
      </c>
      <c r="C29" s="12"/>
      <c r="D29" s="7">
        <v>439.29</v>
      </c>
      <c r="E29" s="3"/>
      <c r="F29" s="8">
        <f t="shared" si="0"/>
        <v>0</v>
      </c>
      <c r="G29" s="3"/>
      <c r="H29" s="7"/>
      <c r="I29" s="3"/>
      <c r="J29" s="8">
        <f t="shared" si="1"/>
        <v>0</v>
      </c>
      <c r="K29" s="3"/>
      <c r="L29" s="7">
        <f t="shared" si="2"/>
        <v>439.29</v>
      </c>
      <c r="M29" s="3"/>
      <c r="N29" s="8">
        <f t="shared" si="3"/>
        <v>0</v>
      </c>
      <c r="O29" s="12"/>
      <c r="P29" s="7">
        <v>3029.18</v>
      </c>
      <c r="Q29" s="3"/>
      <c r="R29" s="8">
        <f t="shared" si="4"/>
        <v>0</v>
      </c>
      <c r="S29" s="3"/>
      <c r="T29" s="7">
        <v>339.83</v>
      </c>
      <c r="U29" s="3"/>
      <c r="V29" s="8">
        <f t="shared" si="5"/>
        <v>0</v>
      </c>
      <c r="W29" s="3"/>
      <c r="X29" s="7">
        <f t="shared" si="6"/>
        <v>2689.35</v>
      </c>
      <c r="Y29" s="3"/>
      <c r="Z29" s="8">
        <f t="shared" si="7"/>
        <v>7.9138098460995208</v>
      </c>
    </row>
    <row r="30" spans="1:26" s="68" customFormat="1" ht="15" customHeight="1" outlineLevel="1" collapsed="1" x14ac:dyDescent="0.25">
      <c r="A30" s="26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27710.469999999998</v>
      </c>
      <c r="E30" s="2"/>
      <c r="F30" s="6">
        <f t="shared" si="0"/>
        <v>0</v>
      </c>
      <c r="G30" s="2"/>
      <c r="H30" s="2">
        <f>SUM(OSRRefH22_1x_0)</f>
        <v>22992.420000000002</v>
      </c>
      <c r="I30" s="2"/>
      <c r="J30" s="6">
        <f t="shared" si="1"/>
        <v>0</v>
      </c>
      <c r="K30" s="2"/>
      <c r="L30" s="2">
        <f t="shared" si="2"/>
        <v>4718.0499999999956</v>
      </c>
      <c r="M30" s="2"/>
      <c r="N30" s="6">
        <f t="shared" si="3"/>
        <v>0.2052002355558917</v>
      </c>
      <c r="O30" s="14"/>
      <c r="P30" s="2">
        <f>SUM(OSRRefP22_1x_0)</f>
        <v>325566.01999999996</v>
      </c>
      <c r="Q30" s="2"/>
      <c r="R30" s="6">
        <f t="shared" si="4"/>
        <v>0</v>
      </c>
      <c r="S30" s="2"/>
      <c r="T30" s="2">
        <f>SUM(OSRRefT22_1x_0)</f>
        <v>282719.46999999997</v>
      </c>
      <c r="U30" s="2"/>
      <c r="V30" s="6">
        <f t="shared" si="5"/>
        <v>0</v>
      </c>
      <c r="W30" s="2"/>
      <c r="X30" s="2">
        <f t="shared" si="6"/>
        <v>42846.549999999988</v>
      </c>
      <c r="Y30" s="2"/>
      <c r="Z30" s="6">
        <f t="shared" si="7"/>
        <v>0.1515514654862645</v>
      </c>
    </row>
    <row r="31" spans="1:26" s="69" customFormat="1" ht="15" hidden="1" customHeight="1" outlineLevel="2" x14ac:dyDescent="0.25">
      <c r="A31" s="25"/>
      <c r="B31" s="12" t="str">
        <f>CONCATENATE("          ","6001"," - ","ADMINISTRATIVE SALARIES")</f>
        <v xml:space="preserve">          6001 - ADMINISTRATIVE SALARIES</v>
      </c>
      <c r="C31" s="12"/>
      <c r="D31" s="7">
        <v>10650.64</v>
      </c>
      <c r="E31" s="3"/>
      <c r="F31" s="8">
        <f t="shared" si="0"/>
        <v>0</v>
      </c>
      <c r="G31" s="3"/>
      <c r="H31" s="7">
        <v>8410.48</v>
      </c>
      <c r="I31" s="3"/>
      <c r="J31" s="8">
        <f t="shared" si="1"/>
        <v>0</v>
      </c>
      <c r="K31" s="3"/>
      <c r="L31" s="7">
        <f t="shared" si="2"/>
        <v>2240.16</v>
      </c>
      <c r="M31" s="3"/>
      <c r="N31" s="8">
        <f t="shared" si="3"/>
        <v>0.26635340670211449</v>
      </c>
      <c r="O31" s="12"/>
      <c r="P31" s="7">
        <v>129446.18</v>
      </c>
      <c r="Q31" s="3"/>
      <c r="R31" s="8">
        <f t="shared" si="4"/>
        <v>0</v>
      </c>
      <c r="S31" s="3"/>
      <c r="T31" s="7">
        <v>108571.76</v>
      </c>
      <c r="U31" s="3"/>
      <c r="V31" s="8">
        <f t="shared" si="5"/>
        <v>0</v>
      </c>
      <c r="W31" s="3"/>
      <c r="X31" s="7">
        <f t="shared" si="6"/>
        <v>20874.419999999998</v>
      </c>
      <c r="Y31" s="3"/>
      <c r="Z31" s="8">
        <f t="shared" si="7"/>
        <v>0.19226380782627084</v>
      </c>
    </row>
    <row r="32" spans="1:26" s="69" customFormat="1" ht="15" hidden="1" customHeight="1" outlineLevel="2" x14ac:dyDescent="0.25">
      <c r="A32" s="25"/>
      <c r="B32" s="12" t="str">
        <f>CONCATENATE("          ","6002"," - ","STAFF SALARIES")</f>
        <v xml:space="preserve">          6002 - STAFF SALARIES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18.5</v>
      </c>
      <c r="Q32" s="3"/>
      <c r="R32" s="8">
        <f t="shared" si="4"/>
        <v>0</v>
      </c>
      <c r="S32" s="3"/>
      <c r="T32" s="7"/>
      <c r="U32" s="3"/>
      <c r="V32" s="8">
        <f t="shared" si="5"/>
        <v>0</v>
      </c>
      <c r="W32" s="3"/>
      <c r="X32" s="7">
        <f t="shared" si="6"/>
        <v>18.5</v>
      </c>
      <c r="Y32" s="3"/>
      <c r="Z32" s="8">
        <f t="shared" si="7"/>
        <v>0</v>
      </c>
    </row>
    <row r="33" spans="1:26" s="69" customFormat="1" ht="15" hidden="1" customHeight="1" outlineLevel="2" x14ac:dyDescent="0.25">
      <c r="A33" s="25"/>
      <c r="B33" s="12" t="str">
        <f>CONCATENATE("          ","6004"," - ","STAFF HOURLY")</f>
        <v xml:space="preserve">          6004 - STAFF HOURLY</v>
      </c>
      <c r="C33" s="12"/>
      <c r="D33" s="7">
        <v>14935.24</v>
      </c>
      <c r="E33" s="3"/>
      <c r="F33" s="8">
        <f t="shared" si="0"/>
        <v>0</v>
      </c>
      <c r="G33" s="3"/>
      <c r="H33" s="7">
        <v>9711.81</v>
      </c>
      <c r="I33" s="3"/>
      <c r="J33" s="8">
        <f t="shared" si="1"/>
        <v>0</v>
      </c>
      <c r="K33" s="3"/>
      <c r="L33" s="7">
        <f t="shared" si="2"/>
        <v>5223.43</v>
      </c>
      <c r="M33" s="3"/>
      <c r="N33" s="8">
        <f t="shared" si="3"/>
        <v>0.53784310030776972</v>
      </c>
      <c r="O33" s="12"/>
      <c r="P33" s="7">
        <v>172659.66</v>
      </c>
      <c r="Q33" s="3"/>
      <c r="R33" s="8">
        <f t="shared" si="4"/>
        <v>0</v>
      </c>
      <c r="S33" s="3"/>
      <c r="T33" s="7">
        <v>116209.18</v>
      </c>
      <c r="U33" s="3"/>
      <c r="V33" s="8">
        <f t="shared" si="5"/>
        <v>0</v>
      </c>
      <c r="W33" s="3"/>
      <c r="X33" s="7">
        <f t="shared" si="6"/>
        <v>56450.48000000001</v>
      </c>
      <c r="Y33" s="3"/>
      <c r="Z33" s="8">
        <f t="shared" si="7"/>
        <v>0.48576609868514703</v>
      </c>
    </row>
    <row r="34" spans="1:26" s="69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7">
        <v>2124.59</v>
      </c>
      <c r="E34" s="3"/>
      <c r="F34" s="8">
        <f t="shared" si="0"/>
        <v>0</v>
      </c>
      <c r="G34" s="3"/>
      <c r="H34" s="7">
        <v>4870.13</v>
      </c>
      <c r="I34" s="3"/>
      <c r="J34" s="8">
        <f t="shared" si="1"/>
        <v>0</v>
      </c>
      <c r="K34" s="3"/>
      <c r="L34" s="7">
        <f t="shared" si="2"/>
        <v>-2745.54</v>
      </c>
      <c r="M34" s="3"/>
      <c r="N34" s="8">
        <f t="shared" si="3"/>
        <v>-0.56375086496664362</v>
      </c>
      <c r="O34" s="12"/>
      <c r="P34" s="7">
        <v>23441.68</v>
      </c>
      <c r="Q34" s="3"/>
      <c r="R34" s="8">
        <f t="shared" si="4"/>
        <v>0</v>
      </c>
      <c r="S34" s="3"/>
      <c r="T34" s="7">
        <v>57938.53</v>
      </c>
      <c r="U34" s="3"/>
      <c r="V34" s="8">
        <f t="shared" si="5"/>
        <v>0</v>
      </c>
      <c r="W34" s="3"/>
      <c r="X34" s="7">
        <f t="shared" si="6"/>
        <v>-34496.85</v>
      </c>
      <c r="Y34" s="3"/>
      <c r="Z34" s="8">
        <f t="shared" si="7"/>
        <v>-0.59540430176602688</v>
      </c>
    </row>
    <row r="35" spans="1:26" s="69" customFormat="1" ht="15" hidden="1" customHeight="1" outlineLevel="2" x14ac:dyDescent="0.25">
      <c r="A35" s="25"/>
      <c r="B35" s="12" t="str">
        <f>CONCATENATE("          ","6007"," - ","STUDENT HOURLY")</f>
        <v xml:space="preserve">          6007 - STUDENT HOURLY</v>
      </c>
      <c r="C35" s="12"/>
      <c r="D35" s="7"/>
      <c r="E35" s="3"/>
      <c r="F35" s="8">
        <f t="shared" si="0"/>
        <v>0</v>
      </c>
      <c r="G35" s="3"/>
      <c r="H35" s="7"/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>
        <v>0</v>
      </c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68" customFormat="1" ht="15" customHeight="1" outlineLevel="1" collapsed="1" x14ac:dyDescent="0.25">
      <c r="A36" s="26"/>
      <c r="B36" s="14" t="str">
        <f>CONCATENATE("     ","Advertising/Promo                                 ")</f>
        <v xml:space="preserve">     Advertising/Promo                                 </v>
      </c>
      <c r="C36" s="14"/>
      <c r="D36" s="2">
        <f>SUM(OSRRefD22_2x_0)</f>
        <v>0</v>
      </c>
      <c r="E36" s="2"/>
      <c r="F36" s="6">
        <f t="shared" si="0"/>
        <v>0</v>
      </c>
      <c r="G36" s="2"/>
      <c r="H36" s="2">
        <f>SUM(OSRRefH22_2x_0)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SUM(OSRRefP22_2x_0)</f>
        <v>646.46</v>
      </c>
      <c r="Q36" s="2"/>
      <c r="R36" s="6">
        <f t="shared" si="4"/>
        <v>0</v>
      </c>
      <c r="S36" s="2"/>
      <c r="T36" s="2">
        <f>SUM(OSRRefT22_2x_0)</f>
        <v>0</v>
      </c>
      <c r="U36" s="2"/>
      <c r="V36" s="6">
        <f t="shared" si="5"/>
        <v>0</v>
      </c>
      <c r="W36" s="2"/>
      <c r="X36" s="2">
        <f t="shared" si="6"/>
        <v>646.46</v>
      </c>
      <c r="Y36" s="2"/>
      <c r="Z36" s="6">
        <f t="shared" si="7"/>
        <v>0</v>
      </c>
    </row>
    <row r="37" spans="1:26" s="69" customFormat="1" ht="15" hidden="1" customHeight="1" outlineLevel="2" x14ac:dyDescent="0.25">
      <c r="A37" s="25"/>
      <c r="B37" s="12" t="str">
        <f>CONCATENATE("          ","6362"," - ","ADVERTISING EXPENSE")</f>
        <v xml:space="preserve">          6362 - ADVERTISING EXPENSE</v>
      </c>
      <c r="C37" s="12"/>
      <c r="D37" s="7"/>
      <c r="E37" s="3"/>
      <c r="F37" s="8">
        <f t="shared" si="0"/>
        <v>0</v>
      </c>
      <c r="G37" s="3"/>
      <c r="H37" s="7"/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>
        <v>646.46</v>
      </c>
      <c r="Q37" s="3"/>
      <c r="R37" s="8">
        <f t="shared" si="4"/>
        <v>0</v>
      </c>
      <c r="S37" s="3"/>
      <c r="T37" s="7"/>
      <c r="U37" s="3"/>
      <c r="V37" s="8">
        <f t="shared" si="5"/>
        <v>0</v>
      </c>
      <c r="W37" s="3"/>
      <c r="X37" s="7">
        <f t="shared" si="6"/>
        <v>646.46</v>
      </c>
      <c r="Y37" s="3"/>
      <c r="Z37" s="8">
        <f t="shared" si="7"/>
        <v>0</v>
      </c>
    </row>
    <row r="38" spans="1:26" s="68" customFormat="1" ht="15" customHeight="1" outlineLevel="1" collapsed="1" x14ac:dyDescent="0.25">
      <c r="A38" s="26"/>
      <c r="B38" s="14" t="str">
        <f>CONCATENATE("     ","Employees' Appreciation                           ")</f>
        <v xml:space="preserve">     Employees' Appreciation                           </v>
      </c>
      <c r="C38" s="14"/>
      <c r="D38" s="2">
        <f>SUM(OSRRefD22_3x_0)</f>
        <v>0</v>
      </c>
      <c r="E38" s="2"/>
      <c r="F38" s="6">
        <f t="shared" si="0"/>
        <v>0</v>
      </c>
      <c r="G38" s="2"/>
      <c r="H38" s="2">
        <f>SUM(OSRRefH22_3x_0)</f>
        <v>0</v>
      </c>
      <c r="I38" s="2"/>
      <c r="J38" s="6">
        <f t="shared" si="1"/>
        <v>0</v>
      </c>
      <c r="K38" s="2"/>
      <c r="L38" s="2">
        <f t="shared" si="2"/>
        <v>0</v>
      </c>
      <c r="M38" s="2"/>
      <c r="N38" s="6">
        <f t="shared" si="3"/>
        <v>0</v>
      </c>
      <c r="O38" s="14"/>
      <c r="P38" s="2">
        <f>SUM(OSRRefP22_3x_0)</f>
        <v>114.87</v>
      </c>
      <c r="Q38" s="2"/>
      <c r="R38" s="6">
        <f t="shared" si="4"/>
        <v>0</v>
      </c>
      <c r="S38" s="2"/>
      <c r="T38" s="2">
        <f>SUM(OSRRefT22_3x_0)</f>
        <v>81.56</v>
      </c>
      <c r="U38" s="2"/>
      <c r="V38" s="6">
        <f t="shared" si="5"/>
        <v>0</v>
      </c>
      <c r="W38" s="2"/>
      <c r="X38" s="2">
        <f t="shared" si="6"/>
        <v>33.31</v>
      </c>
      <c r="Y38" s="2"/>
      <c r="Z38" s="6">
        <f t="shared" si="7"/>
        <v>0.40841098577734186</v>
      </c>
    </row>
    <row r="39" spans="1:26" s="69" customFormat="1" ht="15" hidden="1" customHeight="1" outlineLevel="2" x14ac:dyDescent="0.25">
      <c r="A39" s="25"/>
      <c r="B39" s="12" t="str">
        <f>CONCATENATE("          ","6277"," - ","EMPLOYEE APPRECIATION")</f>
        <v xml:space="preserve">          6277 - EMPLOYEE APPRECIATION</v>
      </c>
      <c r="C39" s="12"/>
      <c r="D39" s="7"/>
      <c r="E39" s="3"/>
      <c r="F39" s="8">
        <f t="shared" si="0"/>
        <v>0</v>
      </c>
      <c r="G39" s="3"/>
      <c r="H39" s="7"/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>
        <v>114.87</v>
      </c>
      <c r="Q39" s="3"/>
      <c r="R39" s="8">
        <f t="shared" si="4"/>
        <v>0</v>
      </c>
      <c r="S39" s="3"/>
      <c r="T39" s="7">
        <v>81.56</v>
      </c>
      <c r="U39" s="3"/>
      <c r="V39" s="8">
        <f t="shared" si="5"/>
        <v>0</v>
      </c>
      <c r="W39" s="3"/>
      <c r="X39" s="7">
        <f t="shared" si="6"/>
        <v>33.31</v>
      </c>
      <c r="Y39" s="3"/>
      <c r="Z39" s="8">
        <f t="shared" si="7"/>
        <v>0.40841098577734186</v>
      </c>
    </row>
    <row r="40" spans="1:26" s="68" customFormat="1" ht="15" customHeight="1" outlineLevel="1" collapsed="1" x14ac:dyDescent="0.25">
      <c r="A40" s="26"/>
      <c r="B40" s="14" t="str">
        <f>CONCATENATE("     ","Freight out/Postage                               ")</f>
        <v xml:space="preserve">     Freight out/Postage                               </v>
      </c>
      <c r="C40" s="14"/>
      <c r="D40" s="2">
        <f>SUM(OSRRefD22_4x_0)</f>
        <v>5.37</v>
      </c>
      <c r="E40" s="2"/>
      <c r="F40" s="6">
        <f t="shared" si="0"/>
        <v>0</v>
      </c>
      <c r="G40" s="2"/>
      <c r="H40" s="2">
        <f>SUM(OSRRefH22_4x_0)</f>
        <v>2.2400000000000002</v>
      </c>
      <c r="I40" s="2"/>
      <c r="J40" s="6">
        <f t="shared" si="1"/>
        <v>0</v>
      </c>
      <c r="K40" s="2"/>
      <c r="L40" s="2">
        <f t="shared" si="2"/>
        <v>3.13</v>
      </c>
      <c r="M40" s="2"/>
      <c r="N40" s="6">
        <f t="shared" si="3"/>
        <v>1.3973214285714284</v>
      </c>
      <c r="O40" s="14"/>
      <c r="P40" s="2">
        <f>SUM(OSRRefP22_4x_0)</f>
        <v>214.98</v>
      </c>
      <c r="Q40" s="2"/>
      <c r="R40" s="6">
        <f t="shared" si="4"/>
        <v>0</v>
      </c>
      <c r="S40" s="2"/>
      <c r="T40" s="2">
        <f>SUM(OSRRefT22_4x_0)</f>
        <v>119.01</v>
      </c>
      <c r="U40" s="2"/>
      <c r="V40" s="6">
        <f t="shared" si="5"/>
        <v>0</v>
      </c>
      <c r="W40" s="2"/>
      <c r="X40" s="2">
        <f t="shared" si="6"/>
        <v>95.969999999999985</v>
      </c>
      <c r="Y40" s="2"/>
      <c r="Z40" s="6">
        <f t="shared" si="7"/>
        <v>0.80640282329216018</v>
      </c>
    </row>
    <row r="41" spans="1:26" s="69" customFormat="1" ht="15" hidden="1" customHeight="1" outlineLevel="2" x14ac:dyDescent="0.25">
      <c r="A41" s="25"/>
      <c r="B41" s="12" t="str">
        <f>CONCATENATE("          ","6307"," - ","POSTAGE")</f>
        <v xml:space="preserve">          6307 - POSTAGE</v>
      </c>
      <c r="C41" s="12"/>
      <c r="D41" s="7">
        <v>5.37</v>
      </c>
      <c r="E41" s="3"/>
      <c r="F41" s="8">
        <f t="shared" si="0"/>
        <v>0</v>
      </c>
      <c r="G41" s="3"/>
      <c r="H41" s="7">
        <v>2.2400000000000002</v>
      </c>
      <c r="I41" s="3"/>
      <c r="J41" s="8">
        <f t="shared" si="1"/>
        <v>0</v>
      </c>
      <c r="K41" s="3"/>
      <c r="L41" s="7">
        <f t="shared" si="2"/>
        <v>3.13</v>
      </c>
      <c r="M41" s="3"/>
      <c r="N41" s="8">
        <f t="shared" si="3"/>
        <v>1.3973214285714284</v>
      </c>
      <c r="O41" s="12"/>
      <c r="P41" s="7">
        <v>214.98</v>
      </c>
      <c r="Q41" s="3"/>
      <c r="R41" s="8">
        <f t="shared" si="4"/>
        <v>0</v>
      </c>
      <c r="S41" s="3"/>
      <c r="T41" s="7">
        <v>119.01</v>
      </c>
      <c r="U41" s="3"/>
      <c r="V41" s="8">
        <f t="shared" si="5"/>
        <v>0</v>
      </c>
      <c r="W41" s="3"/>
      <c r="X41" s="7">
        <f t="shared" si="6"/>
        <v>95.969999999999985</v>
      </c>
      <c r="Y41" s="3"/>
      <c r="Z41" s="8">
        <f t="shared" si="7"/>
        <v>0.80640282329216018</v>
      </c>
    </row>
    <row r="42" spans="1:26" s="68" customFormat="1" ht="15" customHeight="1" outlineLevel="1" collapsed="1" x14ac:dyDescent="0.25">
      <c r="A42" s="26"/>
      <c r="B42" s="14" t="str">
        <f>CONCATENATE("     ","General                                           ")</f>
        <v xml:space="preserve">     General                                           </v>
      </c>
      <c r="C42" s="14"/>
      <c r="D42" s="2">
        <f>SUM(OSRRefD22_5x_0)</f>
        <v>51.36</v>
      </c>
      <c r="E42" s="2"/>
      <c r="F42" s="6">
        <f t="shared" si="0"/>
        <v>0</v>
      </c>
      <c r="G42" s="2"/>
      <c r="H42" s="2">
        <f>SUM(OSRRefH22_5x_0)</f>
        <v>337</v>
      </c>
      <c r="I42" s="2"/>
      <c r="J42" s="6">
        <f t="shared" si="1"/>
        <v>0</v>
      </c>
      <c r="K42" s="2"/>
      <c r="L42" s="2">
        <f t="shared" si="2"/>
        <v>-285.64</v>
      </c>
      <c r="M42" s="2"/>
      <c r="N42" s="6">
        <f t="shared" si="3"/>
        <v>-0.8475964391691394</v>
      </c>
      <c r="O42" s="14"/>
      <c r="P42" s="2">
        <f>SUM(OSRRefP22_5x_0)</f>
        <v>2946.61</v>
      </c>
      <c r="Q42" s="2"/>
      <c r="R42" s="6">
        <f t="shared" si="4"/>
        <v>0</v>
      </c>
      <c r="S42" s="2"/>
      <c r="T42" s="2">
        <f>SUM(OSRRefT22_5x_0)</f>
        <v>618.14</v>
      </c>
      <c r="U42" s="2"/>
      <c r="V42" s="6">
        <f t="shared" si="5"/>
        <v>0</v>
      </c>
      <c r="W42" s="2"/>
      <c r="X42" s="2">
        <f t="shared" si="6"/>
        <v>2328.4700000000003</v>
      </c>
      <c r="Y42" s="2"/>
      <c r="Z42" s="6">
        <f t="shared" si="7"/>
        <v>3.766897466593329</v>
      </c>
    </row>
    <row r="43" spans="1:26" s="69" customFormat="1" ht="15" hidden="1" customHeight="1" outlineLevel="2" x14ac:dyDescent="0.25">
      <c r="A43" s="25"/>
      <c r="B43" s="12" t="str">
        <f>CONCATENATE("          ","6279"," - ","GENERAL EXPENSE")</f>
        <v xml:space="preserve">          6279 - GENERAL EXPENSE</v>
      </c>
      <c r="C43" s="12"/>
      <c r="D43" s="7">
        <v>51.36</v>
      </c>
      <c r="E43" s="3"/>
      <c r="F43" s="8">
        <f t="shared" si="0"/>
        <v>0</v>
      </c>
      <c r="G43" s="3"/>
      <c r="H43" s="7">
        <v>337</v>
      </c>
      <c r="I43" s="3"/>
      <c r="J43" s="8">
        <f t="shared" si="1"/>
        <v>0</v>
      </c>
      <c r="K43" s="3"/>
      <c r="L43" s="7">
        <f t="shared" si="2"/>
        <v>-285.64</v>
      </c>
      <c r="M43" s="3"/>
      <c r="N43" s="8">
        <f t="shared" si="3"/>
        <v>-0.8475964391691394</v>
      </c>
      <c r="O43" s="12"/>
      <c r="P43" s="7">
        <v>2946.61</v>
      </c>
      <c r="Q43" s="3"/>
      <c r="R43" s="8">
        <f t="shared" si="4"/>
        <v>0</v>
      </c>
      <c r="S43" s="3"/>
      <c r="T43" s="7">
        <v>618.14</v>
      </c>
      <c r="U43" s="3"/>
      <c r="V43" s="8">
        <f t="shared" si="5"/>
        <v>0</v>
      </c>
      <c r="W43" s="3"/>
      <c r="X43" s="7">
        <f t="shared" si="6"/>
        <v>2328.4700000000003</v>
      </c>
      <c r="Y43" s="3"/>
      <c r="Z43" s="8">
        <f t="shared" si="7"/>
        <v>3.766897466593329</v>
      </c>
    </row>
    <row r="44" spans="1:26" s="68" customFormat="1" ht="15" customHeight="1" outlineLevel="1" collapsed="1" x14ac:dyDescent="0.25">
      <c r="A44" s="26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SUM(OSRRefD22_6x_0)</f>
        <v>88.99</v>
      </c>
      <c r="E44" s="2"/>
      <c r="F44" s="6">
        <f t="shared" si="0"/>
        <v>0</v>
      </c>
      <c r="G44" s="2"/>
      <c r="H44" s="2">
        <f>SUM(OSRRefH22_6x_0)</f>
        <v>65.47</v>
      </c>
      <c r="I44" s="2"/>
      <c r="J44" s="6">
        <f t="shared" si="1"/>
        <v>0</v>
      </c>
      <c r="K44" s="2"/>
      <c r="L44" s="2">
        <f t="shared" si="2"/>
        <v>23.519999999999996</v>
      </c>
      <c r="M44" s="2"/>
      <c r="N44" s="6">
        <f t="shared" si="3"/>
        <v>0.35924851076829079</v>
      </c>
      <c r="O44" s="14"/>
      <c r="P44" s="2">
        <f>SUM(OSRRefP22_6x_0)</f>
        <v>978.89</v>
      </c>
      <c r="Q44" s="2"/>
      <c r="R44" s="6">
        <f t="shared" si="4"/>
        <v>0</v>
      </c>
      <c r="S44" s="2"/>
      <c r="T44" s="2">
        <f>SUM(OSRRefT22_6x_0)</f>
        <v>720.17</v>
      </c>
      <c r="U44" s="2"/>
      <c r="V44" s="6">
        <f t="shared" si="5"/>
        <v>0</v>
      </c>
      <c r="W44" s="2"/>
      <c r="X44" s="2">
        <f t="shared" si="6"/>
        <v>258.72000000000003</v>
      </c>
      <c r="Y44" s="2"/>
      <c r="Z44" s="6">
        <f t="shared" si="7"/>
        <v>0.3592485107682909</v>
      </c>
    </row>
    <row r="45" spans="1:26" s="69" customFormat="1" ht="15" hidden="1" customHeight="1" outlineLevel="2" x14ac:dyDescent="0.25">
      <c r="A45" s="25"/>
      <c r="B45" s="12" t="str">
        <f>CONCATENATE("          ","6314"," - ","LIABILITY INSURANCE")</f>
        <v xml:space="preserve">          6314 - LIABILITY INSURANCE</v>
      </c>
      <c r="C45" s="12"/>
      <c r="D45" s="7">
        <v>88.99</v>
      </c>
      <c r="E45" s="3"/>
      <c r="F45" s="8">
        <f t="shared" si="0"/>
        <v>0</v>
      </c>
      <c r="G45" s="3"/>
      <c r="H45" s="7">
        <v>65.47</v>
      </c>
      <c r="I45" s="3"/>
      <c r="J45" s="8">
        <f t="shared" si="1"/>
        <v>0</v>
      </c>
      <c r="K45" s="3"/>
      <c r="L45" s="7">
        <f t="shared" si="2"/>
        <v>23.519999999999996</v>
      </c>
      <c r="M45" s="3"/>
      <c r="N45" s="8">
        <f t="shared" si="3"/>
        <v>0.35924851076829079</v>
      </c>
      <c r="O45" s="12"/>
      <c r="P45" s="7">
        <v>978.89</v>
      </c>
      <c r="Q45" s="3"/>
      <c r="R45" s="8">
        <f t="shared" si="4"/>
        <v>0</v>
      </c>
      <c r="S45" s="3"/>
      <c r="T45" s="7">
        <v>720.17</v>
      </c>
      <c r="U45" s="3"/>
      <c r="V45" s="8">
        <f t="shared" si="5"/>
        <v>0</v>
      </c>
      <c r="W45" s="3"/>
      <c r="X45" s="7">
        <f t="shared" si="6"/>
        <v>258.72000000000003</v>
      </c>
      <c r="Y45" s="3"/>
      <c r="Z45" s="8">
        <f t="shared" si="7"/>
        <v>0.3592485107682909</v>
      </c>
    </row>
    <row r="46" spans="1:26" s="68" customFormat="1" ht="15" customHeight="1" outlineLevel="1" collapsed="1" x14ac:dyDescent="0.25">
      <c r="A46" s="26"/>
      <c r="B46" s="14" t="str">
        <f>CONCATENATE("     ","Professional Services                             ")</f>
        <v xml:space="preserve">     Professional Services                             </v>
      </c>
      <c r="C46" s="14"/>
      <c r="D46" s="2">
        <f>SUM(OSRRefD22_7x_0)</f>
        <v>8406.75</v>
      </c>
      <c r="E46" s="2"/>
      <c r="F46" s="6">
        <f t="shared" si="0"/>
        <v>0</v>
      </c>
      <c r="G46" s="2"/>
      <c r="H46" s="2">
        <f>SUM(OSRRefH22_7x_0)</f>
        <v>0</v>
      </c>
      <c r="I46" s="2"/>
      <c r="J46" s="6">
        <f t="shared" si="1"/>
        <v>0</v>
      </c>
      <c r="K46" s="2"/>
      <c r="L46" s="2">
        <f t="shared" si="2"/>
        <v>8406.75</v>
      </c>
      <c r="M46" s="2"/>
      <c r="N46" s="6">
        <f t="shared" si="3"/>
        <v>0</v>
      </c>
      <c r="O46" s="14"/>
      <c r="P46" s="2">
        <f>SUM(OSRRefP22_7x_0)</f>
        <v>19969.64</v>
      </c>
      <c r="Q46" s="2"/>
      <c r="R46" s="6">
        <f t="shared" si="4"/>
        <v>0</v>
      </c>
      <c r="S46" s="2"/>
      <c r="T46" s="2">
        <f>SUM(OSRRefT22_7x_0)</f>
        <v>10474.880000000001</v>
      </c>
      <c r="U46" s="2"/>
      <c r="V46" s="6">
        <f t="shared" si="5"/>
        <v>0</v>
      </c>
      <c r="W46" s="2"/>
      <c r="X46" s="2">
        <f t="shared" si="6"/>
        <v>9494.7599999999984</v>
      </c>
      <c r="Y46" s="2"/>
      <c r="Z46" s="6">
        <f t="shared" si="7"/>
        <v>0.90643138632614384</v>
      </c>
    </row>
    <row r="47" spans="1:26" s="69" customFormat="1" ht="15" hidden="1" customHeight="1" outlineLevel="2" x14ac:dyDescent="0.25">
      <c r="A47" s="25"/>
      <c r="B47" s="12" t="str">
        <f>CONCATENATE("          ","6334"," - ","LEGAL COUNCIL EXPENSE")</f>
        <v xml:space="preserve">          6334 - LEGAL COUNCIL EXPENSE</v>
      </c>
      <c r="C47" s="12"/>
      <c r="D47" s="7"/>
      <c r="E47" s="3"/>
      <c r="F47" s="8">
        <f t="shared" si="0"/>
        <v>0</v>
      </c>
      <c r="G47" s="3"/>
      <c r="H47" s="7"/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>
        <v>3255</v>
      </c>
      <c r="Q47" s="3"/>
      <c r="R47" s="8">
        <f t="shared" si="4"/>
        <v>0</v>
      </c>
      <c r="S47" s="3"/>
      <c r="T47" s="7">
        <v>2450</v>
      </c>
      <c r="U47" s="3"/>
      <c r="V47" s="8">
        <f t="shared" si="5"/>
        <v>0</v>
      </c>
      <c r="W47" s="3"/>
      <c r="X47" s="7">
        <f t="shared" si="6"/>
        <v>805</v>
      </c>
      <c r="Y47" s="3"/>
      <c r="Z47" s="8">
        <f t="shared" si="7"/>
        <v>0.32857142857142857</v>
      </c>
    </row>
    <row r="48" spans="1:26" s="69" customFormat="1" ht="15" hidden="1" customHeight="1" outlineLevel="2" x14ac:dyDescent="0.25">
      <c r="A48" s="25"/>
      <c r="B48" s="12" t="str">
        <f>CONCATENATE("          ","6336"," - ","PROFESSIONAL SERVICES")</f>
        <v xml:space="preserve">          6336 - PROFESSIONAL SERVICES</v>
      </c>
      <c r="C48" s="12"/>
      <c r="D48" s="7">
        <v>8406.75</v>
      </c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8406.75</v>
      </c>
      <c r="M48" s="3"/>
      <c r="N48" s="8">
        <f t="shared" si="3"/>
        <v>0</v>
      </c>
      <c r="O48" s="12"/>
      <c r="P48" s="7">
        <v>16714.64</v>
      </c>
      <c r="Q48" s="3"/>
      <c r="R48" s="8">
        <f t="shared" si="4"/>
        <v>0</v>
      </c>
      <c r="S48" s="3"/>
      <c r="T48" s="7">
        <v>8024.88</v>
      </c>
      <c r="U48" s="3"/>
      <c r="V48" s="8">
        <f t="shared" si="5"/>
        <v>0</v>
      </c>
      <c r="W48" s="3"/>
      <c r="X48" s="7">
        <f t="shared" si="6"/>
        <v>8689.7599999999984</v>
      </c>
      <c r="Y48" s="3"/>
      <c r="Z48" s="8">
        <f t="shared" si="7"/>
        <v>1.0828523292560135</v>
      </c>
    </row>
    <row r="49" spans="1:26" s="68" customFormat="1" ht="15" customHeight="1" outlineLevel="1" collapsed="1" x14ac:dyDescent="0.25">
      <c r="A49" s="26"/>
      <c r="B49" s="14" t="str">
        <f>CONCATENATE("     ","Repair and Maintenance                            ")</f>
        <v xml:space="preserve">     Repair and Maintenance                            </v>
      </c>
      <c r="C49" s="14"/>
      <c r="D49" s="2">
        <f>SUM(OSRRefD22_8x_0)</f>
        <v>8112.9699999999993</v>
      </c>
      <c r="E49" s="2"/>
      <c r="F49" s="6">
        <f t="shared" si="0"/>
        <v>0</v>
      </c>
      <c r="G49" s="2"/>
      <c r="H49" s="2">
        <f>SUM(OSRRefH22_8x_0)</f>
        <v>3975.2000000000003</v>
      </c>
      <c r="I49" s="2"/>
      <c r="J49" s="6">
        <f t="shared" si="1"/>
        <v>0</v>
      </c>
      <c r="K49" s="2"/>
      <c r="L49" s="2">
        <f t="shared" si="2"/>
        <v>4137.7699999999986</v>
      </c>
      <c r="M49" s="2"/>
      <c r="N49" s="6">
        <f t="shared" si="3"/>
        <v>1.0408960555443747</v>
      </c>
      <c r="O49" s="14"/>
      <c r="P49" s="2">
        <f>SUM(OSRRefP22_8x_0)</f>
        <v>75855.91</v>
      </c>
      <c r="Q49" s="2"/>
      <c r="R49" s="6">
        <f t="shared" si="4"/>
        <v>0</v>
      </c>
      <c r="S49" s="2"/>
      <c r="T49" s="2">
        <f>SUM(OSRRefT22_8x_0)</f>
        <v>50910.54</v>
      </c>
      <c r="U49" s="2"/>
      <c r="V49" s="6">
        <f t="shared" si="5"/>
        <v>0</v>
      </c>
      <c r="W49" s="2"/>
      <c r="X49" s="2">
        <f t="shared" si="6"/>
        <v>24945.370000000003</v>
      </c>
      <c r="Y49" s="2"/>
      <c r="Z49" s="6">
        <f t="shared" si="7"/>
        <v>0.48998439222997836</v>
      </c>
    </row>
    <row r="50" spans="1:26" s="69" customFormat="1" ht="15" hidden="1" customHeight="1" outlineLevel="2" x14ac:dyDescent="0.25">
      <c r="A50" s="25"/>
      <c r="B50" s="12" t="str">
        <f>CONCATENATE("          ","6371"," - ","COMPUTER SOFTWARE MAINTENANCE")</f>
        <v xml:space="preserve">          6371 - COMPUTER SOFTWARE MAINTENANCE</v>
      </c>
      <c r="C50" s="12"/>
      <c r="D50" s="7">
        <v>8006.28</v>
      </c>
      <c r="E50" s="3"/>
      <c r="F50" s="8">
        <f t="shared" si="0"/>
        <v>0</v>
      </c>
      <c r="G50" s="3"/>
      <c r="H50" s="7">
        <v>3942.07</v>
      </c>
      <c r="I50" s="3"/>
      <c r="J50" s="8">
        <f t="shared" si="1"/>
        <v>0</v>
      </c>
      <c r="K50" s="3"/>
      <c r="L50" s="7">
        <f t="shared" si="2"/>
        <v>4064.2099999999996</v>
      </c>
      <c r="M50" s="3"/>
      <c r="N50" s="8">
        <f t="shared" si="3"/>
        <v>1.0309837217502478</v>
      </c>
      <c r="O50" s="12"/>
      <c r="P50" s="7">
        <v>75316.59</v>
      </c>
      <c r="Q50" s="3"/>
      <c r="R50" s="8">
        <f t="shared" si="4"/>
        <v>0</v>
      </c>
      <c r="S50" s="3"/>
      <c r="T50" s="7">
        <v>50771.39</v>
      </c>
      <c r="U50" s="3"/>
      <c r="V50" s="8">
        <f t="shared" si="5"/>
        <v>0</v>
      </c>
      <c r="W50" s="3"/>
      <c r="X50" s="7">
        <f t="shared" si="6"/>
        <v>24545.199999999997</v>
      </c>
      <c r="Y50" s="3"/>
      <c r="Z50" s="8">
        <f t="shared" si="7"/>
        <v>0.48344549952246724</v>
      </c>
    </row>
    <row r="51" spans="1:26" s="69" customFormat="1" ht="15" hidden="1" customHeight="1" outlineLevel="2" x14ac:dyDescent="0.25">
      <c r="A51" s="25"/>
      <c r="B51" s="12" t="str">
        <f>CONCATENATE("          ","6373"," - ","MAINTENANCE CONTRACTS")</f>
        <v xml:space="preserve">          6373 - MAINTENANCE CONTRACTS</v>
      </c>
      <c r="C51" s="12"/>
      <c r="D51" s="7">
        <v>106.69</v>
      </c>
      <c r="E51" s="3"/>
      <c r="F51" s="8">
        <f t="shared" si="0"/>
        <v>0</v>
      </c>
      <c r="G51" s="3"/>
      <c r="H51" s="7">
        <v>33.130000000000003</v>
      </c>
      <c r="I51" s="3"/>
      <c r="J51" s="8">
        <f t="shared" si="1"/>
        <v>0</v>
      </c>
      <c r="K51" s="3"/>
      <c r="L51" s="7">
        <f t="shared" si="2"/>
        <v>73.56</v>
      </c>
      <c r="M51" s="3"/>
      <c r="N51" s="8">
        <f t="shared" si="3"/>
        <v>2.220344099003924</v>
      </c>
      <c r="O51" s="12"/>
      <c r="P51" s="7">
        <v>539.32000000000005</v>
      </c>
      <c r="Q51" s="3"/>
      <c r="R51" s="8">
        <f t="shared" si="4"/>
        <v>0</v>
      </c>
      <c r="S51" s="3"/>
      <c r="T51" s="7">
        <v>139.15</v>
      </c>
      <c r="U51" s="3"/>
      <c r="V51" s="8">
        <f t="shared" si="5"/>
        <v>0</v>
      </c>
      <c r="W51" s="3"/>
      <c r="X51" s="7">
        <f t="shared" si="6"/>
        <v>400.17000000000007</v>
      </c>
      <c r="Y51" s="3"/>
      <c r="Z51" s="8">
        <f t="shared" si="7"/>
        <v>2.8758174631692421</v>
      </c>
    </row>
    <row r="52" spans="1:26" s="68" customFormat="1" ht="15" customHeight="1" outlineLevel="1" collapsed="1" x14ac:dyDescent="0.25">
      <c r="A52" s="26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SUM(OSRRefD22_9x_0)</f>
        <v>0</v>
      </c>
      <c r="E52" s="2"/>
      <c r="F52" s="6">
        <f t="shared" si="0"/>
        <v>0</v>
      </c>
      <c r="G52" s="2"/>
      <c r="H52" s="2">
        <f>SUM(OSRRefH22_9x_0)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SUM(OSRRefP22_9x_0)</f>
        <v>2730.9</v>
      </c>
      <c r="Q52" s="2"/>
      <c r="R52" s="6">
        <f t="shared" si="4"/>
        <v>0</v>
      </c>
      <c r="S52" s="2"/>
      <c r="T52" s="2">
        <f>SUM(OSRRefT22_9x_0)</f>
        <v>1329.99</v>
      </c>
      <c r="U52" s="2"/>
      <c r="V52" s="6">
        <f t="shared" si="5"/>
        <v>0</v>
      </c>
      <c r="W52" s="2"/>
      <c r="X52" s="2">
        <f t="shared" si="6"/>
        <v>1400.91</v>
      </c>
      <c r="Y52" s="2"/>
      <c r="Z52" s="6">
        <f t="shared" si="7"/>
        <v>1.0533237092008212</v>
      </c>
    </row>
    <row r="53" spans="1:26" s="69" customFormat="1" ht="15" hidden="1" customHeight="1" outlineLevel="2" x14ac:dyDescent="0.25">
      <c r="A53" s="25"/>
      <c r="B53" s="12" t="str">
        <f>CONCATENATE("          ","6258"," - ","MEMBERSHIP DUES")</f>
        <v xml:space="preserve">          6258 - MEMBERSHIP DUES</v>
      </c>
      <c r="C53" s="12"/>
      <c r="D53" s="7"/>
      <c r="E53" s="3"/>
      <c r="F53" s="8">
        <f t="shared" si="0"/>
        <v>0</v>
      </c>
      <c r="G53" s="3"/>
      <c r="H53" s="7"/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>
        <v>1452</v>
      </c>
      <c r="Q53" s="3"/>
      <c r="R53" s="8">
        <f t="shared" si="4"/>
        <v>0</v>
      </c>
      <c r="S53" s="3"/>
      <c r="T53" s="7">
        <v>1329.99</v>
      </c>
      <c r="U53" s="3"/>
      <c r="V53" s="8">
        <f t="shared" si="5"/>
        <v>0</v>
      </c>
      <c r="W53" s="3"/>
      <c r="X53" s="7">
        <f t="shared" si="6"/>
        <v>122.00999999999999</v>
      </c>
      <c r="Y53" s="3"/>
      <c r="Z53" s="8">
        <f t="shared" si="7"/>
        <v>9.1737531861141808E-2</v>
      </c>
    </row>
    <row r="54" spans="1:26" s="69" customFormat="1" ht="15" hidden="1" customHeight="1" outlineLevel="2" x14ac:dyDescent="0.25">
      <c r="A54" s="25"/>
      <c r="B54" s="12" t="str">
        <f>CONCATENATE("          ","6275"," - ","SUBSCRIPTIONS")</f>
        <v xml:space="preserve">          6275 - SUBSCRIPTIONS</v>
      </c>
      <c r="C54" s="12"/>
      <c r="D54" s="7"/>
      <c r="E54" s="3"/>
      <c r="F54" s="8">
        <f t="shared" si="0"/>
        <v>0</v>
      </c>
      <c r="G54" s="3"/>
      <c r="H54" s="7"/>
      <c r="I54" s="3"/>
      <c r="J54" s="8">
        <f t="shared" si="1"/>
        <v>0</v>
      </c>
      <c r="K54" s="3"/>
      <c r="L54" s="7">
        <f t="shared" si="2"/>
        <v>0</v>
      </c>
      <c r="M54" s="3"/>
      <c r="N54" s="8">
        <f t="shared" si="3"/>
        <v>0</v>
      </c>
      <c r="O54" s="12"/>
      <c r="P54" s="7">
        <v>1278.9000000000001</v>
      </c>
      <c r="Q54" s="3"/>
      <c r="R54" s="8">
        <f t="shared" si="4"/>
        <v>0</v>
      </c>
      <c r="S54" s="3"/>
      <c r="T54" s="7"/>
      <c r="U54" s="3"/>
      <c r="V54" s="8">
        <f t="shared" si="5"/>
        <v>0</v>
      </c>
      <c r="W54" s="3"/>
      <c r="X54" s="7">
        <f t="shared" si="6"/>
        <v>1278.9000000000001</v>
      </c>
      <c r="Y54" s="3"/>
      <c r="Z54" s="8">
        <f t="shared" si="7"/>
        <v>0</v>
      </c>
    </row>
    <row r="55" spans="1:26" s="68" customFormat="1" ht="15" customHeight="1" outlineLevel="1" collapsed="1" x14ac:dyDescent="0.25">
      <c r="A55" s="26"/>
      <c r="B55" s="14" t="str">
        <f>CONCATENATE("     ","Supplies                                          ")</f>
        <v xml:space="preserve">     Supplies                                          </v>
      </c>
      <c r="C55" s="14"/>
      <c r="D55" s="2">
        <f>SUM(OSRRefD22_10x_0)</f>
        <v>180.17000000000002</v>
      </c>
      <c r="E55" s="2"/>
      <c r="F55" s="6">
        <f t="shared" si="0"/>
        <v>0</v>
      </c>
      <c r="G55" s="2"/>
      <c r="H55" s="2">
        <f>SUM(OSRRefH22_10x_0)</f>
        <v>0</v>
      </c>
      <c r="I55" s="2"/>
      <c r="J55" s="6">
        <f t="shared" si="1"/>
        <v>0</v>
      </c>
      <c r="K55" s="2"/>
      <c r="L55" s="2">
        <f t="shared" si="2"/>
        <v>180.17000000000002</v>
      </c>
      <c r="M55" s="2"/>
      <c r="N55" s="6">
        <f t="shared" si="3"/>
        <v>0</v>
      </c>
      <c r="O55" s="14"/>
      <c r="P55" s="2">
        <f>SUM(OSRRefP22_10x_0)</f>
        <v>18394.79</v>
      </c>
      <c r="Q55" s="2"/>
      <c r="R55" s="6">
        <f t="shared" si="4"/>
        <v>0</v>
      </c>
      <c r="S55" s="2"/>
      <c r="T55" s="2">
        <f>SUM(OSRRefT22_10x_0)</f>
        <v>2537.37</v>
      </c>
      <c r="U55" s="2"/>
      <c r="V55" s="6">
        <f t="shared" si="5"/>
        <v>0</v>
      </c>
      <c r="W55" s="2"/>
      <c r="X55" s="2">
        <f t="shared" si="6"/>
        <v>15857.420000000002</v>
      </c>
      <c r="Y55" s="2"/>
      <c r="Z55" s="6">
        <f t="shared" si="7"/>
        <v>6.2495497306265948</v>
      </c>
    </row>
    <row r="56" spans="1:26" s="69" customFormat="1" ht="15" hidden="1" customHeight="1" outlineLevel="2" x14ac:dyDescent="0.25">
      <c r="A56" s="25"/>
      <c r="B56" s="12" t="str">
        <f>CONCATENATE("          ","6235"," - ","COVID-19 EXPENSES")</f>
        <v xml:space="preserve">          6235 - COVID-19 EXPENSES</v>
      </c>
      <c r="C56" s="12"/>
      <c r="D56" s="7"/>
      <c r="E56" s="3"/>
      <c r="F56" s="8">
        <f t="shared" si="0"/>
        <v>0</v>
      </c>
      <c r="G56" s="3"/>
      <c r="H56" s="7"/>
      <c r="I56" s="3"/>
      <c r="J56" s="8">
        <f t="shared" si="1"/>
        <v>0</v>
      </c>
      <c r="K56" s="3"/>
      <c r="L56" s="7">
        <f t="shared" si="2"/>
        <v>0</v>
      </c>
      <c r="M56" s="3"/>
      <c r="N56" s="8">
        <f t="shared" si="3"/>
        <v>0</v>
      </c>
      <c r="O56" s="12"/>
      <c r="P56" s="7">
        <v>2636.13</v>
      </c>
      <c r="Q56" s="3"/>
      <c r="R56" s="8">
        <f t="shared" si="4"/>
        <v>0</v>
      </c>
      <c r="S56" s="3"/>
      <c r="T56" s="7">
        <v>210.58</v>
      </c>
      <c r="U56" s="3"/>
      <c r="V56" s="8">
        <f t="shared" si="5"/>
        <v>0</v>
      </c>
      <c r="W56" s="3"/>
      <c r="X56" s="7">
        <f t="shared" si="6"/>
        <v>2425.5500000000002</v>
      </c>
      <c r="Y56" s="3"/>
      <c r="Z56" s="8">
        <f t="shared" si="7"/>
        <v>11.518425301548106</v>
      </c>
    </row>
    <row r="57" spans="1:26" s="69" customFormat="1" ht="15" hidden="1" customHeight="1" outlineLevel="2" x14ac:dyDescent="0.25">
      <c r="A57" s="25"/>
      <c r="B57" s="12" t="str">
        <f>CONCATENATE("          ","6241"," - ","OFFICE EXPENSE")</f>
        <v xml:space="preserve">          6241 - OFFICE EXPENSE</v>
      </c>
      <c r="C57" s="12"/>
      <c r="D57" s="7">
        <v>87.81</v>
      </c>
      <c r="E57" s="3"/>
      <c r="F57" s="8">
        <f t="shared" si="0"/>
        <v>0</v>
      </c>
      <c r="G57" s="3"/>
      <c r="H57" s="7"/>
      <c r="I57" s="3"/>
      <c r="J57" s="8">
        <f t="shared" si="1"/>
        <v>0</v>
      </c>
      <c r="K57" s="3"/>
      <c r="L57" s="7">
        <f t="shared" si="2"/>
        <v>87.81</v>
      </c>
      <c r="M57" s="3"/>
      <c r="N57" s="8">
        <f t="shared" si="3"/>
        <v>0</v>
      </c>
      <c r="O57" s="12"/>
      <c r="P57" s="7">
        <v>2658.87</v>
      </c>
      <c r="Q57" s="3"/>
      <c r="R57" s="8">
        <f t="shared" si="4"/>
        <v>0</v>
      </c>
      <c r="S57" s="3"/>
      <c r="T57" s="7">
        <v>2104.08</v>
      </c>
      <c r="U57" s="3"/>
      <c r="V57" s="8">
        <f t="shared" si="5"/>
        <v>0</v>
      </c>
      <c r="W57" s="3"/>
      <c r="X57" s="7">
        <f t="shared" si="6"/>
        <v>554.79</v>
      </c>
      <c r="Y57" s="3"/>
      <c r="Z57" s="8">
        <f t="shared" si="7"/>
        <v>0.26367343447017222</v>
      </c>
    </row>
    <row r="58" spans="1:26" s="69" customFormat="1" ht="15" hidden="1" customHeight="1" outlineLevel="2" x14ac:dyDescent="0.25">
      <c r="A58" s="25"/>
      <c r="B58" s="12" t="str">
        <f>CONCATENATE("          ","6244"," - ","SAFETY SUPPLY EXPENSE")</f>
        <v xml:space="preserve">          6244 - SAFETY SUPPLY EXPENSE</v>
      </c>
      <c r="C58" s="12"/>
      <c r="D58" s="7">
        <v>92.36</v>
      </c>
      <c r="E58" s="3"/>
      <c r="F58" s="8">
        <f t="shared" si="0"/>
        <v>0</v>
      </c>
      <c r="G58" s="3"/>
      <c r="H58" s="7"/>
      <c r="I58" s="3"/>
      <c r="J58" s="8">
        <f t="shared" si="1"/>
        <v>0</v>
      </c>
      <c r="K58" s="3"/>
      <c r="L58" s="7">
        <f t="shared" si="2"/>
        <v>92.36</v>
      </c>
      <c r="M58" s="3"/>
      <c r="N58" s="8">
        <f t="shared" si="3"/>
        <v>0</v>
      </c>
      <c r="O58" s="12"/>
      <c r="P58" s="7">
        <v>1253.6300000000001</v>
      </c>
      <c r="Q58" s="3"/>
      <c r="R58" s="8">
        <f t="shared" si="4"/>
        <v>0</v>
      </c>
      <c r="S58" s="3"/>
      <c r="T58" s="7">
        <v>222.71</v>
      </c>
      <c r="U58" s="3"/>
      <c r="V58" s="8">
        <f t="shared" si="5"/>
        <v>0</v>
      </c>
      <c r="W58" s="3"/>
      <c r="X58" s="7">
        <f t="shared" si="6"/>
        <v>1030.92</v>
      </c>
      <c r="Y58" s="3"/>
      <c r="Z58" s="8">
        <f t="shared" si="7"/>
        <v>4.6289793902384266</v>
      </c>
    </row>
    <row r="59" spans="1:26" s="69" customFormat="1" ht="15" hidden="1" customHeight="1" outlineLevel="2" x14ac:dyDescent="0.25">
      <c r="A59" s="25"/>
      <c r="B59" s="12" t="str">
        <f>CONCATENATE("          ","6248"," - ","UNIFORMS")</f>
        <v xml:space="preserve">          6248 - UNIFORMS</v>
      </c>
      <c r="C59" s="12"/>
      <c r="D59" s="7"/>
      <c r="E59" s="3"/>
      <c r="F59" s="8">
        <f t="shared" si="0"/>
        <v>0</v>
      </c>
      <c r="G59" s="3"/>
      <c r="H59" s="7"/>
      <c r="I59" s="3"/>
      <c r="J59" s="8">
        <f t="shared" si="1"/>
        <v>0</v>
      </c>
      <c r="K59" s="3"/>
      <c r="L59" s="7">
        <f t="shared" si="2"/>
        <v>0</v>
      </c>
      <c r="M59" s="3"/>
      <c r="N59" s="8">
        <f t="shared" si="3"/>
        <v>0</v>
      </c>
      <c r="O59" s="12"/>
      <c r="P59" s="7">
        <v>11846.16</v>
      </c>
      <c r="Q59" s="3"/>
      <c r="R59" s="8">
        <f t="shared" si="4"/>
        <v>0</v>
      </c>
      <c r="S59" s="3"/>
      <c r="T59" s="7"/>
      <c r="U59" s="3"/>
      <c r="V59" s="8">
        <f t="shared" si="5"/>
        <v>0</v>
      </c>
      <c r="W59" s="3"/>
      <c r="X59" s="7">
        <f t="shared" si="6"/>
        <v>11846.16</v>
      </c>
      <c r="Y59" s="3"/>
      <c r="Z59" s="8">
        <f t="shared" si="7"/>
        <v>0</v>
      </c>
    </row>
    <row r="60" spans="1:26" s="68" customFormat="1" ht="15" customHeight="1" outlineLevel="1" collapsed="1" x14ac:dyDescent="0.25">
      <c r="A60" s="26"/>
      <c r="B60" s="14" t="str">
        <f>CONCATENATE("     ","Telephone/Data Lines                              ")</f>
        <v xml:space="preserve">     Telephone/Data Lines                              </v>
      </c>
      <c r="C60" s="14"/>
      <c r="D60" s="2">
        <f>SUM(OSRRefD22_11x_0)</f>
        <v>579.85</v>
      </c>
      <c r="E60" s="2"/>
      <c r="F60" s="6">
        <f t="shared" si="0"/>
        <v>0</v>
      </c>
      <c r="G60" s="2"/>
      <c r="H60" s="2">
        <f>SUM(OSRRefH22_11x_0)</f>
        <v>344</v>
      </c>
      <c r="I60" s="2"/>
      <c r="J60" s="6">
        <f t="shared" si="1"/>
        <v>0</v>
      </c>
      <c r="K60" s="2"/>
      <c r="L60" s="2">
        <f t="shared" si="2"/>
        <v>235.85000000000002</v>
      </c>
      <c r="M60" s="2"/>
      <c r="N60" s="6">
        <f t="shared" si="3"/>
        <v>0.6856104651162791</v>
      </c>
      <c r="O60" s="14"/>
      <c r="P60" s="2">
        <f>SUM(OSRRefP22_11x_0)</f>
        <v>6011.75</v>
      </c>
      <c r="Q60" s="2"/>
      <c r="R60" s="6">
        <f t="shared" si="4"/>
        <v>0</v>
      </c>
      <c r="S60" s="2"/>
      <c r="T60" s="2">
        <f>SUM(OSRRefT22_11x_0)</f>
        <v>3418.25</v>
      </c>
      <c r="U60" s="2"/>
      <c r="V60" s="6">
        <f t="shared" si="5"/>
        <v>0</v>
      </c>
      <c r="W60" s="2"/>
      <c r="X60" s="2">
        <f t="shared" si="6"/>
        <v>2593.5</v>
      </c>
      <c r="Y60" s="2"/>
      <c r="Z60" s="6">
        <f t="shared" si="7"/>
        <v>0.75872156805382873</v>
      </c>
    </row>
    <row r="61" spans="1:26" s="69" customFormat="1" ht="15" hidden="1" customHeight="1" outlineLevel="2" x14ac:dyDescent="0.25">
      <c r="A61" s="25"/>
      <c r="B61" s="12" t="str">
        <f>CONCATENATE("          ","6309"," - ","TELEPHONE")</f>
        <v xml:space="preserve">          6309 - TELEPHONE</v>
      </c>
      <c r="C61" s="12"/>
      <c r="D61" s="7">
        <v>579.85</v>
      </c>
      <c r="E61" s="3"/>
      <c r="F61" s="8">
        <f t="shared" si="0"/>
        <v>0</v>
      </c>
      <c r="G61" s="3"/>
      <c r="H61" s="7">
        <v>344</v>
      </c>
      <c r="I61" s="3"/>
      <c r="J61" s="8">
        <f t="shared" si="1"/>
        <v>0</v>
      </c>
      <c r="K61" s="3"/>
      <c r="L61" s="7">
        <f t="shared" si="2"/>
        <v>235.85000000000002</v>
      </c>
      <c r="M61" s="3"/>
      <c r="N61" s="8">
        <f t="shared" si="3"/>
        <v>0.6856104651162791</v>
      </c>
      <c r="O61" s="12"/>
      <c r="P61" s="7">
        <v>6011.75</v>
      </c>
      <c r="Q61" s="3"/>
      <c r="R61" s="8">
        <f t="shared" si="4"/>
        <v>0</v>
      </c>
      <c r="S61" s="3"/>
      <c r="T61" s="7">
        <v>3418.25</v>
      </c>
      <c r="U61" s="3"/>
      <c r="V61" s="8">
        <f t="shared" si="5"/>
        <v>0</v>
      </c>
      <c r="W61" s="3"/>
      <c r="X61" s="7">
        <f t="shared" si="6"/>
        <v>2593.5</v>
      </c>
      <c r="Y61" s="3"/>
      <c r="Z61" s="8">
        <f t="shared" si="7"/>
        <v>0.75872156805382873</v>
      </c>
    </row>
    <row r="62" spans="1:26" s="68" customFormat="1" ht="15" customHeight="1" outlineLevel="1" collapsed="1" x14ac:dyDescent="0.25">
      <c r="A62" s="26"/>
      <c r="B62" s="14" t="str">
        <f>CONCATENATE("     ","Training                                          ")</f>
        <v xml:space="preserve">     Training                                          </v>
      </c>
      <c r="C62" s="14"/>
      <c r="D62" s="2">
        <f>SUM(OSRRefD22_12x_0)</f>
        <v>0</v>
      </c>
      <c r="E62" s="2"/>
      <c r="F62" s="6">
        <f t="shared" si="0"/>
        <v>0</v>
      </c>
      <c r="G62" s="2"/>
      <c r="H62" s="2">
        <f>SUM(OSRRefH22_12x_0)</f>
        <v>0</v>
      </c>
      <c r="I62" s="2"/>
      <c r="J62" s="6">
        <f t="shared" si="1"/>
        <v>0</v>
      </c>
      <c r="K62" s="2"/>
      <c r="L62" s="2">
        <f t="shared" si="2"/>
        <v>0</v>
      </c>
      <c r="M62" s="2"/>
      <c r="N62" s="6">
        <f t="shared" si="3"/>
        <v>0</v>
      </c>
      <c r="O62" s="14"/>
      <c r="P62" s="2">
        <f>SUM(OSRRefP22_12x_0)</f>
        <v>475</v>
      </c>
      <c r="Q62" s="2"/>
      <c r="R62" s="6">
        <f t="shared" si="4"/>
        <v>0</v>
      </c>
      <c r="S62" s="2"/>
      <c r="T62" s="2">
        <f>SUM(OSRRefT22_12x_0)</f>
        <v>-97</v>
      </c>
      <c r="U62" s="2"/>
      <c r="V62" s="6">
        <f t="shared" si="5"/>
        <v>0</v>
      </c>
      <c r="W62" s="2"/>
      <c r="X62" s="2">
        <f t="shared" si="6"/>
        <v>572</v>
      </c>
      <c r="Y62" s="2"/>
      <c r="Z62" s="6">
        <f t="shared" si="7"/>
        <v>-5.8969072164948457</v>
      </c>
    </row>
    <row r="63" spans="1:26" s="69" customFormat="1" ht="15" hidden="1" customHeight="1" outlineLevel="2" x14ac:dyDescent="0.25">
      <c r="A63" s="25"/>
      <c r="B63" s="12" t="str">
        <f>CONCATENATE("          ","6376"," - ","TRAINING")</f>
        <v xml:space="preserve">          6376 - TRAINING</v>
      </c>
      <c r="C63" s="12"/>
      <c r="D63" s="7"/>
      <c r="E63" s="3"/>
      <c r="F63" s="8">
        <f t="shared" si="0"/>
        <v>0</v>
      </c>
      <c r="G63" s="3"/>
      <c r="H63" s="7"/>
      <c r="I63" s="3"/>
      <c r="J63" s="8">
        <f t="shared" si="1"/>
        <v>0</v>
      </c>
      <c r="K63" s="3"/>
      <c r="L63" s="7">
        <f t="shared" si="2"/>
        <v>0</v>
      </c>
      <c r="M63" s="3"/>
      <c r="N63" s="8">
        <f t="shared" si="3"/>
        <v>0</v>
      </c>
      <c r="O63" s="12"/>
      <c r="P63" s="7">
        <v>475</v>
      </c>
      <c r="Q63" s="3"/>
      <c r="R63" s="8">
        <f t="shared" si="4"/>
        <v>0</v>
      </c>
      <c r="S63" s="3"/>
      <c r="T63" s="7">
        <v>-97</v>
      </c>
      <c r="U63" s="3"/>
      <c r="V63" s="8">
        <f t="shared" si="5"/>
        <v>0</v>
      </c>
      <c r="W63" s="3"/>
      <c r="X63" s="7">
        <f t="shared" si="6"/>
        <v>572</v>
      </c>
      <c r="Y63" s="3"/>
      <c r="Z63" s="8">
        <f t="shared" si="7"/>
        <v>-5.8969072164948457</v>
      </c>
    </row>
    <row r="64" spans="1:26" s="68" customFormat="1" ht="15" customHeight="1" outlineLevel="1" collapsed="1" x14ac:dyDescent="0.25">
      <c r="A64" s="26"/>
      <c r="B64" s="14" t="str">
        <f>CONCATENATE("     ","Travel                                            ")</f>
        <v xml:space="preserve">     Travel                                            </v>
      </c>
      <c r="C64" s="14"/>
      <c r="D64" s="2">
        <f>SUM(OSRRefD22_13x_0)</f>
        <v>0</v>
      </c>
      <c r="E64" s="2"/>
      <c r="F64" s="6">
        <f t="shared" si="0"/>
        <v>0</v>
      </c>
      <c r="G64" s="2"/>
      <c r="H64" s="2">
        <f>SUM(OSRRefH22_13x_0)</f>
        <v>0</v>
      </c>
      <c r="I64" s="2"/>
      <c r="J64" s="6">
        <f t="shared" si="1"/>
        <v>0</v>
      </c>
      <c r="K64" s="2"/>
      <c r="L64" s="2">
        <f t="shared" si="2"/>
        <v>0</v>
      </c>
      <c r="M64" s="2"/>
      <c r="N64" s="6">
        <f t="shared" si="3"/>
        <v>0</v>
      </c>
      <c r="O64" s="14"/>
      <c r="P64" s="2">
        <f>SUM(OSRRefP22_13x_0)</f>
        <v>0</v>
      </c>
      <c r="Q64" s="2"/>
      <c r="R64" s="6">
        <f t="shared" si="4"/>
        <v>0</v>
      </c>
      <c r="S64" s="2"/>
      <c r="T64" s="2">
        <f>SUM(OSRRefT22_13x_0)</f>
        <v>720</v>
      </c>
      <c r="U64" s="2"/>
      <c r="V64" s="6">
        <f t="shared" si="5"/>
        <v>0</v>
      </c>
      <c r="W64" s="2"/>
      <c r="X64" s="2">
        <f t="shared" si="6"/>
        <v>-720</v>
      </c>
      <c r="Y64" s="2"/>
      <c r="Z64" s="6">
        <f t="shared" si="7"/>
        <v>-1</v>
      </c>
    </row>
    <row r="65" spans="1:26" s="69" customFormat="1" ht="15" hidden="1" customHeight="1" outlineLevel="2" x14ac:dyDescent="0.25">
      <c r="A65" s="25"/>
      <c r="B65" s="12" t="str">
        <f>CONCATENATE("          ","6292"," - ","TRAVEL/CONFERENCE")</f>
        <v xml:space="preserve">          6292 - TRAVEL/CONFERENCE</v>
      </c>
      <c r="C65" s="12"/>
      <c r="D65" s="7"/>
      <c r="E65" s="3"/>
      <c r="F65" s="8">
        <f t="shared" si="0"/>
        <v>0</v>
      </c>
      <c r="G65" s="3"/>
      <c r="H65" s="7"/>
      <c r="I65" s="3"/>
      <c r="J65" s="8">
        <f t="shared" si="1"/>
        <v>0</v>
      </c>
      <c r="K65" s="3"/>
      <c r="L65" s="7">
        <f t="shared" si="2"/>
        <v>0</v>
      </c>
      <c r="M65" s="3"/>
      <c r="N65" s="8">
        <f t="shared" si="3"/>
        <v>0</v>
      </c>
      <c r="O65" s="12"/>
      <c r="P65" s="7"/>
      <c r="Q65" s="3"/>
      <c r="R65" s="8">
        <f t="shared" si="4"/>
        <v>0</v>
      </c>
      <c r="S65" s="3"/>
      <c r="T65" s="7">
        <v>720</v>
      </c>
      <c r="U65" s="3"/>
      <c r="V65" s="8">
        <f t="shared" si="5"/>
        <v>0</v>
      </c>
      <c r="W65" s="3"/>
      <c r="X65" s="7">
        <f t="shared" si="6"/>
        <v>-720</v>
      </c>
      <c r="Y65" s="3"/>
      <c r="Z65" s="8">
        <f t="shared" si="7"/>
        <v>-1</v>
      </c>
    </row>
    <row r="66" spans="1:26" s="64" customFormat="1" ht="15" customHeight="1" x14ac:dyDescent="0.25">
      <c r="A66" s="36"/>
      <c r="B66" s="36"/>
      <c r="C66" s="36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3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62" customFormat="1" ht="15" customHeight="1" x14ac:dyDescent="0.25">
      <c r="A67" s="11"/>
      <c r="B67" s="28" t="s">
        <v>290</v>
      </c>
      <c r="C67" s="11"/>
      <c r="D67" s="5">
        <f>SUM(0)</f>
        <v>0</v>
      </c>
      <c r="E67" s="5"/>
      <c r="F67" s="13">
        <f>IF(D$12=0,0,D67/D$12)</f>
        <v>0</v>
      </c>
      <c r="G67" s="5"/>
      <c r="H67" s="5">
        <f>SUM(0)</f>
        <v>0</v>
      </c>
      <c r="I67" s="5"/>
      <c r="J67" s="13">
        <f>IF(H$12=0,0,H67/H$12)</f>
        <v>0</v>
      </c>
      <c r="K67" s="5"/>
      <c r="L67" s="5">
        <f>+D67-H67</f>
        <v>0</v>
      </c>
      <c r="M67" s="5"/>
      <c r="N67" s="13">
        <f>IF(H67=0,0,L67/H67)</f>
        <v>0</v>
      </c>
      <c r="O67" s="11"/>
      <c r="P67" s="5">
        <f>SUM(0)</f>
        <v>0</v>
      </c>
      <c r="Q67" s="5"/>
      <c r="R67" s="13">
        <f>IF(P$12=0,0,P67/P$12)</f>
        <v>0</v>
      </c>
      <c r="S67" s="5"/>
      <c r="T67" s="5">
        <f>SUM(0)</f>
        <v>0</v>
      </c>
      <c r="U67" s="5"/>
      <c r="V67" s="13">
        <f>IF(T$12=0,0,T67/T$12)</f>
        <v>0</v>
      </c>
      <c r="W67" s="5"/>
      <c r="X67" s="5">
        <f>+P67-T67</f>
        <v>0</v>
      </c>
      <c r="Y67" s="5"/>
      <c r="Z67" s="13">
        <f>IF(T67=0,0,X67/T67)</f>
        <v>0</v>
      </c>
    </row>
    <row r="68" spans="1:26" ht="15" customHeight="1" x14ac:dyDescent="0.25">
      <c r="A68" s="10"/>
      <c r="B68" s="11"/>
      <c r="C68" s="11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O68" s="11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25">
      <c r="A69" s="11"/>
      <c r="B69" s="27" t="s">
        <v>291</v>
      </c>
      <c r="C69" s="27"/>
      <c r="D69" s="22">
        <f>+D16-D18+D67</f>
        <v>-59203.969999999994</v>
      </c>
      <c r="E69" s="15"/>
      <c r="F69" s="23">
        <f>IF(D$12=0,0,D69/D$12)</f>
        <v>0</v>
      </c>
      <c r="G69" s="15"/>
      <c r="H69" s="22">
        <f>+H16-H18+H67</f>
        <v>-44624.069999999992</v>
      </c>
      <c r="I69" s="15"/>
      <c r="J69" s="23">
        <f>IF(H$12=0,0,H69/H$12)</f>
        <v>0</v>
      </c>
      <c r="K69" s="16"/>
      <c r="L69" s="22">
        <f>+D69-H69</f>
        <v>-14579.900000000001</v>
      </c>
      <c r="M69" s="16"/>
      <c r="N69" s="23">
        <f>IF(H69=0,0,L69/H69)</f>
        <v>0.32672725728513791</v>
      </c>
      <c r="O69" s="28"/>
      <c r="P69" s="22">
        <f>+P16-P18+P67</f>
        <v>-627423.51</v>
      </c>
      <c r="Q69" s="15"/>
      <c r="R69" s="23">
        <f>IF(P$12=0,0,P69/P$12)</f>
        <v>0</v>
      </c>
      <c r="S69" s="15"/>
      <c r="T69" s="22">
        <f>+T16-T18+T67</f>
        <v>-494632.03000000009</v>
      </c>
      <c r="U69" s="15"/>
      <c r="V69" s="23">
        <f>IF(T$12=0,0,T69/T$12)</f>
        <v>0</v>
      </c>
      <c r="W69" s="16"/>
      <c r="X69" s="22">
        <f>+P69-T69</f>
        <v>-132791.47999999992</v>
      </c>
      <c r="Y69" s="16"/>
      <c r="Z69" s="23">
        <f>IF(T69=0,0,X69/T69)</f>
        <v>0.26846518613038445</v>
      </c>
    </row>
    <row r="70" spans="1:26" ht="15" customHeight="1" x14ac:dyDescent="0.25">
      <c r="A70" s="10"/>
      <c r="B70" s="11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25">
      <c r="A71" s="48"/>
      <c r="B71" s="11" t="s">
        <v>292</v>
      </c>
      <c r="C71" s="11"/>
      <c r="D71" s="5"/>
      <c r="E71" s="5"/>
      <c r="F71" s="13">
        <f>IF(D$12=0,0,D71/D$12)</f>
        <v>0</v>
      </c>
      <c r="G71" s="5"/>
      <c r="H71" s="5"/>
      <c r="I71" s="5"/>
      <c r="J71" s="13">
        <f>IF(H$12=0,0,H71/H$12)</f>
        <v>0</v>
      </c>
      <c r="K71" s="5"/>
      <c r="L71" s="5">
        <f>+D71-H71</f>
        <v>0</v>
      </c>
      <c r="M71" s="5"/>
      <c r="N71" s="13">
        <f>IF(H71=0,0,L71/H71)</f>
        <v>0</v>
      </c>
      <c r="O71" s="11"/>
      <c r="P71" s="5"/>
      <c r="Q71" s="5"/>
      <c r="R71" s="13">
        <f>IF(P$12=0,0,P71/P$12)</f>
        <v>0</v>
      </c>
      <c r="S71" s="5"/>
      <c r="T71" s="5"/>
      <c r="U71" s="5"/>
      <c r="V71" s="13">
        <f>IF(T$12=0,0,T71/T$12)</f>
        <v>0</v>
      </c>
      <c r="W71" s="5"/>
      <c r="X71" s="5">
        <f>+P71-T71</f>
        <v>0</v>
      </c>
      <c r="Y71" s="5"/>
      <c r="Z71" s="13">
        <f>IF(T71=0,0,X71/T71)</f>
        <v>0</v>
      </c>
    </row>
    <row r="72" spans="1:26" ht="15" customHeight="1" x14ac:dyDescent="0.25">
      <c r="A72" s="10"/>
      <c r="B72" s="11"/>
      <c r="C72" s="11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O72" s="11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s="62" customFormat="1" ht="15" customHeight="1" x14ac:dyDescent="0.25">
      <c r="A73" s="11"/>
      <c r="B73" s="27" t="s">
        <v>293</v>
      </c>
      <c r="C73" s="27"/>
      <c r="D73" s="35">
        <f>+D69-D71</f>
        <v>-59203.969999999994</v>
      </c>
      <c r="E73" s="15"/>
      <c r="F73" s="30">
        <f>IF(D$12=0,0,D73/D$12)</f>
        <v>0</v>
      </c>
      <c r="G73" s="15"/>
      <c r="H73" s="35">
        <f>+H69-H71</f>
        <v>-44624.069999999992</v>
      </c>
      <c r="I73" s="15"/>
      <c r="J73" s="30">
        <f>IF(H$12=0,0,H73/H$12)</f>
        <v>0</v>
      </c>
      <c r="K73" s="16"/>
      <c r="L73" s="35">
        <f>D73-H73</f>
        <v>-14579.900000000001</v>
      </c>
      <c r="M73" s="16"/>
      <c r="N73" s="30">
        <f>IF(H73=0,0,L73/H73)</f>
        <v>0.32672725728513791</v>
      </c>
      <c r="O73" s="28"/>
      <c r="P73" s="35">
        <f>+P69-P71</f>
        <v>-627423.51</v>
      </c>
      <c r="Q73" s="15"/>
      <c r="R73" s="30">
        <f>IF(P$12=0,0,P73/P$12)</f>
        <v>0</v>
      </c>
      <c r="S73" s="15"/>
      <c r="T73" s="35">
        <f>+T69-T71</f>
        <v>-494632.03000000009</v>
      </c>
      <c r="U73" s="15"/>
      <c r="V73" s="30">
        <f>IF(T$12=0,0,T73/T$12)</f>
        <v>0</v>
      </c>
      <c r="W73" s="16"/>
      <c r="X73" s="35">
        <f>P73-T73</f>
        <v>-132791.47999999992</v>
      </c>
      <c r="Y73" s="16"/>
      <c r="Z73" s="30">
        <f>IF(T73=0,0,X73/T73)</f>
        <v>0.26846518613038445</v>
      </c>
    </row>
    <row r="74" spans="1:26" ht="15" customHeight="1" x14ac:dyDescent="0.25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ht="15" customHeight="1" x14ac:dyDescent="0.25">
      <c r="A75" s="10"/>
      <c r="B75" s="10"/>
      <c r="C75" s="10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2" customFormat="1" ht="15" customHeight="1" x14ac:dyDescent="0.25">
      <c r="A76" s="11"/>
      <c r="B76" s="27" t="s">
        <v>296</v>
      </c>
      <c r="C76" s="27"/>
      <c r="D76" s="32">
        <f>SUM(D73:D75)</f>
        <v>-59203.969999999994</v>
      </c>
      <c r="E76" s="15"/>
      <c r="F76" s="34">
        <f>IF(D$12=0,0,D76/D$12)</f>
        <v>0</v>
      </c>
      <c r="G76" s="15"/>
      <c r="H76" s="32">
        <f>SUM(H73:H75)</f>
        <v>-44624.069999999992</v>
      </c>
      <c r="I76" s="15"/>
      <c r="J76" s="34">
        <f>IF(H$12=0,0,H76/H$12)</f>
        <v>0</v>
      </c>
      <c r="K76" s="16"/>
      <c r="L76" s="32">
        <f>+D76-H76</f>
        <v>-14579.900000000001</v>
      </c>
      <c r="M76" s="16"/>
      <c r="N76" s="34">
        <f>IF(H76=0,0,L76/H76)</f>
        <v>0.32672725728513791</v>
      </c>
      <c r="O76" s="28"/>
      <c r="P76" s="32">
        <f>SUM(P73:P75)</f>
        <v>-627423.51</v>
      </c>
      <c r="Q76" s="15"/>
      <c r="R76" s="34">
        <f>IF(P$12=0,0,P76/P$12)</f>
        <v>0</v>
      </c>
      <c r="S76" s="15"/>
      <c r="T76" s="32">
        <f>SUM(T73:T75)</f>
        <v>-494632.03000000009</v>
      </c>
      <c r="U76" s="15"/>
      <c r="V76" s="34">
        <f>IF(T$12=0,0,T76/T$12)</f>
        <v>0</v>
      </c>
      <c r="W76" s="16"/>
      <c r="X76" s="32">
        <f>+P76-T76</f>
        <v>-132791.47999999992</v>
      </c>
      <c r="Y76" s="16"/>
      <c r="Z76" s="34">
        <f>IF(T76=0,0,X76/T76)</f>
        <v>0.26846518613038445</v>
      </c>
    </row>
    <row r="77" spans="1:26" ht="15" customHeight="1" x14ac:dyDescent="0.25">
      <c r="A77" s="10"/>
      <c r="C77" s="10"/>
      <c r="D77" s="18"/>
      <c r="E77" s="18"/>
      <c r="G77" s="18"/>
      <c r="H77" s="18"/>
      <c r="I77" s="18"/>
      <c r="J77" s="41"/>
      <c r="K77" s="18"/>
      <c r="L77" s="18"/>
      <c r="M77" s="18"/>
      <c r="P77" s="18"/>
      <c r="Q77" s="18"/>
      <c r="R77" s="41"/>
      <c r="S77" s="18"/>
      <c r="T77" s="18"/>
      <c r="U77" s="18"/>
      <c r="V77" s="41"/>
      <c r="W77" s="18"/>
      <c r="X77" s="18"/>
    </row>
    <row r="78" spans="1:26" ht="15" customHeight="1" x14ac:dyDescent="0.25">
      <c r="A78" s="10"/>
      <c r="B78" s="50">
        <v>44727.879654085649</v>
      </c>
      <c r="D78" s="18"/>
      <c r="E78" s="18"/>
      <c r="G78" s="18"/>
      <c r="H78" s="18"/>
      <c r="I78" s="18"/>
      <c r="J78" s="41"/>
      <c r="K78" s="18"/>
      <c r="L78" s="18"/>
      <c r="M78" s="18"/>
      <c r="P78" s="18"/>
      <c r="Q78" s="18"/>
      <c r="R78" s="41"/>
      <c r="S78" s="18"/>
      <c r="T78" s="18"/>
      <c r="U78" s="18"/>
      <c r="V78" s="41"/>
      <c r="W78" s="18"/>
      <c r="X78" s="18"/>
    </row>
    <row r="79" spans="1:26" ht="15" customHeight="1" x14ac:dyDescent="0.25">
      <c r="A79" s="10"/>
      <c r="B79" s="53" t="s">
        <v>297</v>
      </c>
      <c r="D79" s="18"/>
      <c r="E79" s="18"/>
      <c r="G79" s="18"/>
      <c r="H79" s="18"/>
      <c r="I79" s="18"/>
      <c r="J79" s="41"/>
      <c r="K79" s="18"/>
      <c r="L79" s="18"/>
      <c r="M79" s="18"/>
      <c r="P79" s="18"/>
      <c r="Q79" s="18"/>
      <c r="R79" s="41"/>
      <c r="S79" s="18"/>
      <c r="T79" s="18"/>
      <c r="U79" s="18"/>
      <c r="V79" s="41"/>
      <c r="W79" s="18"/>
      <c r="X79" s="18"/>
    </row>
    <row r="80" spans="1:26" ht="15" customHeight="1" x14ac:dyDescent="0.25">
      <c r="A80" s="10"/>
      <c r="B80" s="55"/>
      <c r="D80" s="18"/>
      <c r="E80" s="18"/>
      <c r="G80" s="18"/>
      <c r="H80" s="18"/>
      <c r="I80" s="18"/>
      <c r="J80" s="41"/>
      <c r="K80" s="18"/>
      <c r="L80" s="18"/>
      <c r="M80" s="18"/>
      <c r="P80" s="18"/>
      <c r="Q80" s="18"/>
      <c r="R80" s="41"/>
      <c r="S80" s="18"/>
      <c r="T80" s="18"/>
      <c r="U80" s="18"/>
      <c r="V80" s="41"/>
      <c r="W80" s="18"/>
      <c r="X80" s="18"/>
    </row>
    <row r="81" spans="4:24" ht="15" customHeight="1" x14ac:dyDescent="0.25">
      <c r="D81" s="18"/>
      <c r="E81" s="18"/>
      <c r="G81" s="18"/>
      <c r="H81" s="18"/>
      <c r="I81" s="18"/>
      <c r="J81" s="41"/>
      <c r="K81" s="18"/>
      <c r="L81" s="18"/>
      <c r="M81" s="18"/>
      <c r="P81" s="18"/>
      <c r="Q81" s="18"/>
      <c r="R81" s="41"/>
      <c r="S81" s="18"/>
      <c r="T81" s="18"/>
      <c r="U81" s="18"/>
      <c r="V81" s="41"/>
      <c r="W81" s="18"/>
      <c r="X8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33FA9-3AD1-5148-7924-5A380A620CE1}">
  <sheetPr>
    <tabColor rgb="FF92D050"/>
    <outlinePr summaryBelow="0" summaryRight="0"/>
  </sheetPr>
  <dimension ref="A2:Z6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","204"," - ","Information Technology")</f>
        <v>Department 204 - Information Technology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41261.939999999995</v>
      </c>
      <c r="E18" s="21"/>
      <c r="F18" s="31">
        <f t="shared" ref="F18:F52" si="0">IF(D$12=0,0,D18/D$12)</f>
        <v>0</v>
      </c>
      <c r="G18" s="21"/>
      <c r="H18" s="21" cm="1">
        <f t="array" ref="H18">SUM(OSRRefH22x_0)</f>
        <v>47434.39</v>
      </c>
      <c r="I18" s="21"/>
      <c r="J18" s="31">
        <f t="shared" ref="J18:J52" si="1">IF(H$12=0,0,H18/H$12)</f>
        <v>0</v>
      </c>
      <c r="K18" s="5"/>
      <c r="L18" s="21">
        <f t="shared" ref="L18:L52" si="2">+D18-H18</f>
        <v>-6172.4500000000044</v>
      </c>
      <c r="M18" s="5"/>
      <c r="N18" s="31">
        <f t="shared" ref="N18:N52" si="3">IF(H18=0,0,L18/H18)</f>
        <v>-0.13012605411390352</v>
      </c>
      <c r="O18" s="11"/>
      <c r="P18" s="21" cm="1">
        <f t="array" ref="P18">SUM(OSRRefP22x_0)</f>
        <v>497891.36999999994</v>
      </c>
      <c r="Q18" s="21"/>
      <c r="R18" s="31">
        <f t="shared" ref="R18:R52" si="4">IF(P$12=0,0,P18/P$12)</f>
        <v>0</v>
      </c>
      <c r="S18" s="21"/>
      <c r="T18" s="21" cm="1">
        <f t="array" ref="T18">SUM(OSRRefT22x_0)</f>
        <v>556182.88000000012</v>
      </c>
      <c r="U18" s="21"/>
      <c r="V18" s="31">
        <f t="shared" ref="V18:V52" si="5">IF(T$12=0,0,T18/T$12)</f>
        <v>0</v>
      </c>
      <c r="W18" s="5"/>
      <c r="X18" s="21">
        <f t="shared" ref="X18:X52" si="6">+P18-T18</f>
        <v>-58291.510000000184</v>
      </c>
      <c r="Y18" s="5"/>
      <c r="Z18" s="31">
        <f t="shared" ref="Z18:Z52" si="7">IF(T18=0,0,X18/T18)</f>
        <v>-0.10480637232127708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11054.21</v>
      </c>
      <c r="E19" s="2"/>
      <c r="F19" s="6">
        <f t="shared" si="0"/>
        <v>0</v>
      </c>
      <c r="G19" s="2"/>
      <c r="H19" s="2">
        <f>SUM(OSRRefH22_0x_0)</f>
        <v>10571.32</v>
      </c>
      <c r="I19" s="2"/>
      <c r="J19" s="6">
        <f t="shared" si="1"/>
        <v>0</v>
      </c>
      <c r="K19" s="2"/>
      <c r="L19" s="2">
        <f t="shared" si="2"/>
        <v>482.88999999999942</v>
      </c>
      <c r="M19" s="2"/>
      <c r="N19" s="6">
        <f t="shared" si="3"/>
        <v>4.5679252922056983E-2</v>
      </c>
      <c r="O19" s="14"/>
      <c r="P19" s="2">
        <f>SUM(OSRRefP22_0x_0)</f>
        <v>126426.34</v>
      </c>
      <c r="Q19" s="2"/>
      <c r="R19" s="6">
        <f t="shared" si="4"/>
        <v>0</v>
      </c>
      <c r="S19" s="2"/>
      <c r="T19" s="2">
        <f>SUM(OSRRefT22_0x_0)</f>
        <v>131934.01</v>
      </c>
      <c r="U19" s="2"/>
      <c r="V19" s="6">
        <f t="shared" si="5"/>
        <v>0</v>
      </c>
      <c r="W19" s="2"/>
      <c r="X19" s="2">
        <f t="shared" si="6"/>
        <v>-5507.6700000000128</v>
      </c>
      <c r="Y19" s="2"/>
      <c r="Z19" s="6">
        <f t="shared" si="7"/>
        <v>-4.1745642385917117E-2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>
        <v>1474.55</v>
      </c>
      <c r="E20" s="3"/>
      <c r="F20" s="8">
        <f t="shared" si="0"/>
        <v>0</v>
      </c>
      <c r="G20" s="3"/>
      <c r="H20" s="7">
        <v>1417.14</v>
      </c>
      <c r="I20" s="3"/>
      <c r="J20" s="8">
        <f t="shared" si="1"/>
        <v>0</v>
      </c>
      <c r="K20" s="3"/>
      <c r="L20" s="7">
        <f t="shared" si="2"/>
        <v>57.409999999999854</v>
      </c>
      <c r="M20" s="3"/>
      <c r="N20" s="8">
        <f t="shared" si="3"/>
        <v>4.051117038542406E-2</v>
      </c>
      <c r="O20" s="12"/>
      <c r="P20" s="7">
        <v>17462.66</v>
      </c>
      <c r="Q20" s="3"/>
      <c r="R20" s="8">
        <f t="shared" si="4"/>
        <v>0</v>
      </c>
      <c r="S20" s="3"/>
      <c r="T20" s="7">
        <v>19093.45</v>
      </c>
      <c r="U20" s="3"/>
      <c r="V20" s="8">
        <f t="shared" si="5"/>
        <v>0</v>
      </c>
      <c r="W20" s="3"/>
      <c r="X20" s="7">
        <f t="shared" si="6"/>
        <v>-1630.7900000000009</v>
      </c>
      <c r="Y20" s="3"/>
      <c r="Z20" s="8">
        <f t="shared" si="7"/>
        <v>-8.5410965540538814E-2</v>
      </c>
    </row>
    <row r="21" spans="1:26" s="69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7">
        <v>374.55</v>
      </c>
      <c r="E21" s="3"/>
      <c r="F21" s="8">
        <f t="shared" si="0"/>
        <v>0</v>
      </c>
      <c r="G21" s="3"/>
      <c r="H21" s="7">
        <v>92.07</v>
      </c>
      <c r="I21" s="3"/>
      <c r="J21" s="8">
        <f t="shared" si="1"/>
        <v>0</v>
      </c>
      <c r="K21" s="3"/>
      <c r="L21" s="7">
        <f t="shared" si="2"/>
        <v>282.48</v>
      </c>
      <c r="M21" s="3"/>
      <c r="N21" s="8">
        <f t="shared" si="3"/>
        <v>3.0681003584229396</v>
      </c>
      <c r="O21" s="12"/>
      <c r="P21" s="7">
        <v>2937.46</v>
      </c>
      <c r="Q21" s="3"/>
      <c r="R21" s="8">
        <f t="shared" si="4"/>
        <v>0</v>
      </c>
      <c r="S21" s="3"/>
      <c r="T21" s="7">
        <v>876.05</v>
      </c>
      <c r="U21" s="3"/>
      <c r="V21" s="8">
        <f t="shared" si="5"/>
        <v>0</v>
      </c>
      <c r="W21" s="3"/>
      <c r="X21" s="7">
        <f t="shared" si="6"/>
        <v>2061.41</v>
      </c>
      <c r="Y21" s="3"/>
      <c r="Z21" s="8">
        <f t="shared" si="7"/>
        <v>2.3530734547114891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>
        <v>4446.67</v>
      </c>
      <c r="E22" s="3"/>
      <c r="F22" s="8">
        <f t="shared" si="0"/>
        <v>0</v>
      </c>
      <c r="G22" s="3"/>
      <c r="H22" s="7">
        <v>4844.5200000000004</v>
      </c>
      <c r="I22" s="3"/>
      <c r="J22" s="8">
        <f t="shared" si="1"/>
        <v>0</v>
      </c>
      <c r="K22" s="3"/>
      <c r="L22" s="7">
        <f t="shared" si="2"/>
        <v>-397.85000000000036</v>
      </c>
      <c r="M22" s="3"/>
      <c r="N22" s="8">
        <f t="shared" si="3"/>
        <v>-8.2123719171352444E-2</v>
      </c>
      <c r="O22" s="12"/>
      <c r="P22" s="7">
        <v>51266.720000000001</v>
      </c>
      <c r="Q22" s="3"/>
      <c r="R22" s="8">
        <f t="shared" si="4"/>
        <v>0</v>
      </c>
      <c r="S22" s="3"/>
      <c r="T22" s="7">
        <v>57602.98</v>
      </c>
      <c r="U22" s="3"/>
      <c r="V22" s="8">
        <f t="shared" si="5"/>
        <v>0</v>
      </c>
      <c r="W22" s="3"/>
      <c r="X22" s="7">
        <f t="shared" si="6"/>
        <v>-6336.260000000002</v>
      </c>
      <c r="Y22" s="3"/>
      <c r="Z22" s="8">
        <f t="shared" si="7"/>
        <v>-0.10999882297756126</v>
      </c>
    </row>
    <row r="23" spans="1:26" s="69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7">
        <v>75.489999999999995</v>
      </c>
      <c r="E23" s="3"/>
      <c r="F23" s="8">
        <f t="shared" si="0"/>
        <v>0</v>
      </c>
      <c r="G23" s="3"/>
      <c r="H23" s="7">
        <v>72.540000000000006</v>
      </c>
      <c r="I23" s="3"/>
      <c r="J23" s="8">
        <f t="shared" si="1"/>
        <v>0</v>
      </c>
      <c r="K23" s="3"/>
      <c r="L23" s="7">
        <f t="shared" si="2"/>
        <v>2.9499999999999886</v>
      </c>
      <c r="M23" s="3"/>
      <c r="N23" s="8">
        <f t="shared" si="3"/>
        <v>4.0667218086572768E-2</v>
      </c>
      <c r="O23" s="12"/>
      <c r="P23" s="7">
        <v>592.04999999999995</v>
      </c>
      <c r="Q23" s="3"/>
      <c r="R23" s="8">
        <f t="shared" si="4"/>
        <v>0</v>
      </c>
      <c r="S23" s="3"/>
      <c r="T23" s="7">
        <v>651.04</v>
      </c>
      <c r="U23" s="3"/>
      <c r="V23" s="8">
        <f t="shared" si="5"/>
        <v>0</v>
      </c>
      <c r="W23" s="3"/>
      <c r="X23" s="7">
        <f t="shared" si="6"/>
        <v>-58.990000000000009</v>
      </c>
      <c r="Y23" s="3"/>
      <c r="Z23" s="8">
        <f t="shared" si="7"/>
        <v>-9.0608871958712228E-2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>
        <v>1850.99</v>
      </c>
      <c r="E24" s="3"/>
      <c r="F24" s="8">
        <f t="shared" si="0"/>
        <v>0</v>
      </c>
      <c r="G24" s="3"/>
      <c r="H24" s="7">
        <v>1861.21</v>
      </c>
      <c r="I24" s="3"/>
      <c r="J24" s="8">
        <f t="shared" si="1"/>
        <v>0</v>
      </c>
      <c r="K24" s="3"/>
      <c r="L24" s="7">
        <f t="shared" si="2"/>
        <v>-10.220000000000027</v>
      </c>
      <c r="M24" s="3"/>
      <c r="N24" s="8">
        <f t="shared" si="3"/>
        <v>-5.4910515202475953E-3</v>
      </c>
      <c r="O24" s="12"/>
      <c r="P24" s="7">
        <v>21959.49</v>
      </c>
      <c r="Q24" s="3"/>
      <c r="R24" s="8">
        <f t="shared" si="4"/>
        <v>0</v>
      </c>
      <c r="S24" s="3"/>
      <c r="T24" s="7">
        <v>23789.74</v>
      </c>
      <c r="U24" s="3"/>
      <c r="V24" s="8">
        <f t="shared" si="5"/>
        <v>0</v>
      </c>
      <c r="W24" s="3"/>
      <c r="X24" s="7">
        <f t="shared" si="6"/>
        <v>-1830.25</v>
      </c>
      <c r="Y24" s="3"/>
      <c r="Z24" s="8">
        <f t="shared" si="7"/>
        <v>-7.6934426353545679E-2</v>
      </c>
    </row>
    <row r="25" spans="1:26" s="69" customFormat="1" ht="15" hidden="1" customHeight="1" outlineLevel="2" x14ac:dyDescent="0.25">
      <c r="A25" s="25"/>
      <c r="B25" s="12" t="str">
        <f>CONCATENATE("          ","6117"," - ","RETIREMENT STAFF HOURLY")</f>
        <v xml:space="preserve">          6117 - RETIREMENT STAFF HOURLY</v>
      </c>
      <c r="C25" s="12"/>
      <c r="D25" s="7">
        <v>93.23</v>
      </c>
      <c r="E25" s="3"/>
      <c r="F25" s="8">
        <f t="shared" si="0"/>
        <v>0</v>
      </c>
      <c r="G25" s="3"/>
      <c r="H25" s="7"/>
      <c r="I25" s="3"/>
      <c r="J25" s="8">
        <f t="shared" si="1"/>
        <v>0</v>
      </c>
      <c r="K25" s="3"/>
      <c r="L25" s="7">
        <f t="shared" si="2"/>
        <v>93.23</v>
      </c>
      <c r="M25" s="3"/>
      <c r="N25" s="8">
        <f t="shared" si="3"/>
        <v>0</v>
      </c>
      <c r="O25" s="12"/>
      <c r="P25" s="7">
        <v>93.23</v>
      </c>
      <c r="Q25" s="3"/>
      <c r="R25" s="8">
        <f t="shared" si="4"/>
        <v>0</v>
      </c>
      <c r="S25" s="3"/>
      <c r="T25" s="7">
        <v>912.28</v>
      </c>
      <c r="U25" s="3"/>
      <c r="V25" s="8">
        <f t="shared" si="5"/>
        <v>0</v>
      </c>
      <c r="W25" s="3"/>
      <c r="X25" s="7">
        <f t="shared" si="6"/>
        <v>-819.05</v>
      </c>
      <c r="Y25" s="3"/>
      <c r="Z25" s="8">
        <f t="shared" si="7"/>
        <v>-0.8978054983119218</v>
      </c>
    </row>
    <row r="26" spans="1:26" s="69" customFormat="1" ht="15" hidden="1" customHeight="1" outlineLevel="2" x14ac:dyDescent="0.25">
      <c r="A26" s="25"/>
      <c r="B26" s="12" t="str">
        <f>CONCATENATE("          ","6118"," - ","VACATION")</f>
        <v xml:space="preserve">          6118 - VACATION</v>
      </c>
      <c r="C26" s="12"/>
      <c r="D26" s="7">
        <v>1493.96</v>
      </c>
      <c r="E26" s="3"/>
      <c r="F26" s="8">
        <f t="shared" si="0"/>
        <v>0</v>
      </c>
      <c r="G26" s="3"/>
      <c r="H26" s="7">
        <v>1345.28</v>
      </c>
      <c r="I26" s="3"/>
      <c r="J26" s="8">
        <f t="shared" si="1"/>
        <v>0</v>
      </c>
      <c r="K26" s="3"/>
      <c r="L26" s="7">
        <f t="shared" si="2"/>
        <v>148.68000000000006</v>
      </c>
      <c r="M26" s="3"/>
      <c r="N26" s="8">
        <f t="shared" si="3"/>
        <v>0.11051974310180786</v>
      </c>
      <c r="O26" s="12"/>
      <c r="P26" s="7">
        <v>17929.169999999998</v>
      </c>
      <c r="Q26" s="3"/>
      <c r="R26" s="8">
        <f t="shared" si="4"/>
        <v>0</v>
      </c>
      <c r="S26" s="3"/>
      <c r="T26" s="7">
        <v>16434.939999999999</v>
      </c>
      <c r="U26" s="3"/>
      <c r="V26" s="8">
        <f t="shared" si="5"/>
        <v>0</v>
      </c>
      <c r="W26" s="3"/>
      <c r="X26" s="7">
        <f t="shared" si="6"/>
        <v>1494.2299999999996</v>
      </c>
      <c r="Y26" s="3"/>
      <c r="Z26" s="8">
        <f t="shared" si="7"/>
        <v>9.0917885918658639E-2</v>
      </c>
    </row>
    <row r="27" spans="1:26" s="69" customFormat="1" ht="15" hidden="1" customHeight="1" outlineLevel="2" x14ac:dyDescent="0.25">
      <c r="A27" s="25"/>
      <c r="B27" s="12" t="str">
        <f>CONCATENATE("          ","6119"," - ","SICK LEAVE")</f>
        <v xml:space="preserve">          6119 - SICK LEAVE</v>
      </c>
      <c r="C27" s="12"/>
      <c r="D27" s="7">
        <v>877.84</v>
      </c>
      <c r="E27" s="3"/>
      <c r="F27" s="8">
        <f t="shared" si="0"/>
        <v>0</v>
      </c>
      <c r="G27" s="3"/>
      <c r="H27" s="7">
        <v>844.06</v>
      </c>
      <c r="I27" s="3"/>
      <c r="J27" s="8">
        <f t="shared" si="1"/>
        <v>0</v>
      </c>
      <c r="K27" s="3"/>
      <c r="L27" s="7">
        <f t="shared" si="2"/>
        <v>33.780000000000086</v>
      </c>
      <c r="M27" s="3"/>
      <c r="N27" s="8">
        <f t="shared" si="3"/>
        <v>4.002085159822772E-2</v>
      </c>
      <c r="O27" s="12"/>
      <c r="P27" s="7">
        <v>11277.43</v>
      </c>
      <c r="Q27" s="3"/>
      <c r="R27" s="8">
        <f t="shared" si="4"/>
        <v>0</v>
      </c>
      <c r="S27" s="3"/>
      <c r="T27" s="7">
        <v>10903.62</v>
      </c>
      <c r="U27" s="3"/>
      <c r="V27" s="8">
        <f t="shared" si="5"/>
        <v>0</v>
      </c>
      <c r="W27" s="3"/>
      <c r="X27" s="7">
        <f t="shared" si="6"/>
        <v>373.80999999999949</v>
      </c>
      <c r="Y27" s="3"/>
      <c r="Z27" s="8">
        <f t="shared" si="7"/>
        <v>3.4283109646154164E-2</v>
      </c>
    </row>
    <row r="28" spans="1:26" s="69" customFormat="1" ht="15" hidden="1" customHeight="1" outlineLevel="2" x14ac:dyDescent="0.25">
      <c r="A28" s="25"/>
      <c r="B28" s="12" t="str">
        <f>CONCATENATE("          ","6156"," - ","EMPLOYEE MEALS")</f>
        <v xml:space="preserve">          6156 - EMPLOYEE MEALS</v>
      </c>
      <c r="C28" s="12"/>
      <c r="D28" s="7">
        <v>366.93</v>
      </c>
      <c r="E28" s="3"/>
      <c r="F28" s="8">
        <f t="shared" si="0"/>
        <v>0</v>
      </c>
      <c r="G28" s="3"/>
      <c r="H28" s="7">
        <v>94.5</v>
      </c>
      <c r="I28" s="3"/>
      <c r="J28" s="8">
        <f t="shared" si="1"/>
        <v>0</v>
      </c>
      <c r="K28" s="3"/>
      <c r="L28" s="7">
        <f t="shared" si="2"/>
        <v>272.43</v>
      </c>
      <c r="M28" s="3"/>
      <c r="N28" s="8">
        <f t="shared" si="3"/>
        <v>2.882857142857143</v>
      </c>
      <c r="O28" s="12"/>
      <c r="P28" s="7">
        <v>2908.13</v>
      </c>
      <c r="Q28" s="3"/>
      <c r="R28" s="8">
        <f t="shared" si="4"/>
        <v>0</v>
      </c>
      <c r="S28" s="3"/>
      <c r="T28" s="7">
        <v>1669.91</v>
      </c>
      <c r="U28" s="3"/>
      <c r="V28" s="8">
        <f t="shared" si="5"/>
        <v>0</v>
      </c>
      <c r="W28" s="3"/>
      <c r="X28" s="7">
        <f t="shared" si="6"/>
        <v>1238.22</v>
      </c>
      <c r="Y28" s="3"/>
      <c r="Z28" s="8">
        <f t="shared" si="7"/>
        <v>0.74148906228479372</v>
      </c>
    </row>
    <row r="29" spans="1:26" s="68" customFormat="1" ht="15" customHeight="1" outlineLevel="1" collapsed="1" x14ac:dyDescent="0.25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16984.599999999999</v>
      </c>
      <c r="E29" s="2"/>
      <c r="F29" s="6">
        <f t="shared" si="0"/>
        <v>0</v>
      </c>
      <c r="G29" s="2"/>
      <c r="H29" s="2">
        <f>SUM(OSRRefH22_1x_0)</f>
        <v>17243.78</v>
      </c>
      <c r="I29" s="2"/>
      <c r="J29" s="6">
        <f t="shared" si="1"/>
        <v>0</v>
      </c>
      <c r="K29" s="2"/>
      <c r="L29" s="2">
        <f t="shared" si="2"/>
        <v>-259.18000000000029</v>
      </c>
      <c r="M29" s="2"/>
      <c r="N29" s="6">
        <f t="shared" si="3"/>
        <v>-1.5030347174459446E-2</v>
      </c>
      <c r="O29" s="14"/>
      <c r="P29" s="2">
        <f>SUM(OSRRefP22_1x_0)</f>
        <v>206500.24</v>
      </c>
      <c r="Q29" s="2"/>
      <c r="R29" s="6">
        <f t="shared" si="4"/>
        <v>0</v>
      </c>
      <c r="S29" s="2"/>
      <c r="T29" s="2">
        <f>SUM(OSRRefT22_1x_0)</f>
        <v>218970.69999999998</v>
      </c>
      <c r="U29" s="2"/>
      <c r="V29" s="6">
        <f t="shared" si="5"/>
        <v>0</v>
      </c>
      <c r="W29" s="2"/>
      <c r="X29" s="2">
        <f t="shared" si="6"/>
        <v>-12470.459999999992</v>
      </c>
      <c r="Y29" s="2"/>
      <c r="Z29" s="6">
        <f t="shared" si="7"/>
        <v>-5.6950359111972479E-2</v>
      </c>
    </row>
    <row r="30" spans="1:26" s="69" customFormat="1" ht="15" hidden="1" customHeight="1" outlineLevel="2" x14ac:dyDescent="0.25">
      <c r="A30" s="25"/>
      <c r="B30" s="12" t="str">
        <f>CONCATENATE("          ","6002"," - ","STAFF SALARIES")</f>
        <v xml:space="preserve">          6002 - STAFF SALARIES</v>
      </c>
      <c r="C30" s="12"/>
      <c r="D30" s="7">
        <v>16984.599999999999</v>
      </c>
      <c r="E30" s="3"/>
      <c r="F30" s="8">
        <f t="shared" si="0"/>
        <v>0</v>
      </c>
      <c r="G30" s="3"/>
      <c r="H30" s="7">
        <v>17243.78</v>
      </c>
      <c r="I30" s="3"/>
      <c r="J30" s="8">
        <f t="shared" si="1"/>
        <v>0</v>
      </c>
      <c r="K30" s="3"/>
      <c r="L30" s="7">
        <f t="shared" si="2"/>
        <v>-259.18000000000029</v>
      </c>
      <c r="M30" s="3"/>
      <c r="N30" s="8">
        <f t="shared" si="3"/>
        <v>-1.5030347174459446E-2</v>
      </c>
      <c r="O30" s="12"/>
      <c r="P30" s="7">
        <v>206500.24</v>
      </c>
      <c r="Q30" s="3"/>
      <c r="R30" s="8">
        <f t="shared" si="4"/>
        <v>0</v>
      </c>
      <c r="S30" s="3"/>
      <c r="T30" s="7">
        <v>204757.46</v>
      </c>
      <c r="U30" s="3"/>
      <c r="V30" s="8">
        <f t="shared" si="5"/>
        <v>0</v>
      </c>
      <c r="W30" s="3"/>
      <c r="X30" s="7">
        <f t="shared" si="6"/>
        <v>1742.7799999999988</v>
      </c>
      <c r="Y30" s="3"/>
      <c r="Z30" s="8">
        <f t="shared" si="7"/>
        <v>8.5114359203322752E-3</v>
      </c>
    </row>
    <row r="31" spans="1:26" s="69" customFormat="1" ht="15" hidden="1" customHeight="1" outlineLevel="2" x14ac:dyDescent="0.25">
      <c r="A31" s="25"/>
      <c r="B31" s="12" t="str">
        <f>CONCATENATE("          ","6004"," - ","STAFF HOURLY")</f>
        <v xml:space="preserve">          6004 - STAFF HOURLY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/>
      <c r="Q31" s="3"/>
      <c r="R31" s="8">
        <f t="shared" si="4"/>
        <v>0</v>
      </c>
      <c r="S31" s="3"/>
      <c r="T31" s="7">
        <v>14213.24</v>
      </c>
      <c r="U31" s="3"/>
      <c r="V31" s="8">
        <f t="shared" si="5"/>
        <v>0</v>
      </c>
      <c r="W31" s="3"/>
      <c r="X31" s="7">
        <f t="shared" si="6"/>
        <v>-14213.24</v>
      </c>
      <c r="Y31" s="3"/>
      <c r="Z31" s="8">
        <f t="shared" si="7"/>
        <v>-1</v>
      </c>
    </row>
    <row r="32" spans="1:26" s="69" customFormat="1" ht="15" hidden="1" customHeight="1" outlineLevel="2" x14ac:dyDescent="0.25">
      <c r="A32" s="25"/>
      <c r="B32" s="12" t="str">
        <f>CONCATENATE("          ","6007"," - ","STUDENT HOURLY")</f>
        <v xml:space="preserve">          6007 - STUDENT HOURLY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0</v>
      </c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68" customFormat="1" ht="15" customHeight="1" outlineLevel="1" collapsed="1" x14ac:dyDescent="0.25">
      <c r="A33" s="26"/>
      <c r="B33" s="14" t="str">
        <f>CONCATENATE("     ","Depreciation                                      ")</f>
        <v xml:space="preserve">     Depreciation                                      </v>
      </c>
      <c r="C33" s="14"/>
      <c r="D33" s="2">
        <f>SUM(OSRRefD22_2x_0)</f>
        <v>2140.89</v>
      </c>
      <c r="E33" s="2"/>
      <c r="F33" s="6">
        <f t="shared" si="0"/>
        <v>0</v>
      </c>
      <c r="G33" s="2"/>
      <c r="H33" s="2">
        <f>SUM(OSRRefH22_2x_0)</f>
        <v>4890.8100000000004</v>
      </c>
      <c r="I33" s="2"/>
      <c r="J33" s="6">
        <f t="shared" si="1"/>
        <v>0</v>
      </c>
      <c r="K33" s="2"/>
      <c r="L33" s="2">
        <f t="shared" si="2"/>
        <v>-2749.9200000000005</v>
      </c>
      <c r="M33" s="2"/>
      <c r="N33" s="6">
        <f t="shared" si="3"/>
        <v>-0.56226269268280715</v>
      </c>
      <c r="O33" s="14"/>
      <c r="P33" s="2">
        <f>SUM(OSRRefP22_2x_0)</f>
        <v>32422.23</v>
      </c>
      <c r="Q33" s="2"/>
      <c r="R33" s="6">
        <f t="shared" si="4"/>
        <v>0</v>
      </c>
      <c r="S33" s="2"/>
      <c r="T33" s="2">
        <f>SUM(OSRRefT22_2x_0)</f>
        <v>56401.61</v>
      </c>
      <c r="U33" s="2"/>
      <c r="V33" s="6">
        <f t="shared" si="5"/>
        <v>0</v>
      </c>
      <c r="W33" s="2"/>
      <c r="X33" s="2">
        <f t="shared" si="6"/>
        <v>-23979.38</v>
      </c>
      <c r="Y33" s="2"/>
      <c r="Z33" s="6">
        <f t="shared" si="7"/>
        <v>-0.42515417556342811</v>
      </c>
    </row>
    <row r="34" spans="1:26" s="69" customFormat="1" ht="15" hidden="1" customHeight="1" outlineLevel="2" x14ac:dyDescent="0.25">
      <c r="A34" s="25"/>
      <c r="B34" s="12" t="str">
        <f>CONCATENATE("          ","6322"," - ","EQUIPMENT DEPRECIATION EXPENSE")</f>
        <v xml:space="preserve">          6322 - EQUIPMENT DEPRECIATION EXPENSE</v>
      </c>
      <c r="C34" s="12"/>
      <c r="D34" s="7">
        <v>2140.89</v>
      </c>
      <c r="E34" s="3"/>
      <c r="F34" s="8">
        <f t="shared" si="0"/>
        <v>0</v>
      </c>
      <c r="G34" s="3"/>
      <c r="H34" s="7">
        <v>4890.8100000000004</v>
      </c>
      <c r="I34" s="3"/>
      <c r="J34" s="8">
        <f t="shared" si="1"/>
        <v>0</v>
      </c>
      <c r="K34" s="3"/>
      <c r="L34" s="7">
        <f t="shared" si="2"/>
        <v>-2749.9200000000005</v>
      </c>
      <c r="M34" s="3"/>
      <c r="N34" s="8">
        <f t="shared" si="3"/>
        <v>-0.56226269268280715</v>
      </c>
      <c r="O34" s="12"/>
      <c r="P34" s="7">
        <v>32422.23</v>
      </c>
      <c r="Q34" s="3"/>
      <c r="R34" s="8">
        <f t="shared" si="4"/>
        <v>0</v>
      </c>
      <c r="S34" s="3"/>
      <c r="T34" s="7">
        <v>56401.61</v>
      </c>
      <c r="U34" s="3"/>
      <c r="V34" s="8">
        <f t="shared" si="5"/>
        <v>0</v>
      </c>
      <c r="W34" s="3"/>
      <c r="X34" s="7">
        <f t="shared" si="6"/>
        <v>-23979.38</v>
      </c>
      <c r="Y34" s="3"/>
      <c r="Z34" s="8">
        <f t="shared" si="7"/>
        <v>-0.42515417556342811</v>
      </c>
    </row>
    <row r="35" spans="1:26" s="68" customFormat="1" ht="15" customHeight="1" outlineLevel="1" collapsed="1" x14ac:dyDescent="0.25">
      <c r="A35" s="26"/>
      <c r="B35" s="14" t="str">
        <f>CONCATENATE("     ","Freight out/Postage                               ")</f>
        <v xml:space="preserve">     Freight out/Postage                               </v>
      </c>
      <c r="C35" s="14"/>
      <c r="D35" s="2">
        <f>SUM(OSRRefD22_3x_0)</f>
        <v>0</v>
      </c>
      <c r="E35" s="2"/>
      <c r="F35" s="6">
        <f t="shared" si="0"/>
        <v>0</v>
      </c>
      <c r="G35" s="2"/>
      <c r="H35" s="2">
        <f>SUM(OSRRefH22_3x_0)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0</v>
      </c>
      <c r="Q35" s="2"/>
      <c r="R35" s="6">
        <f t="shared" si="4"/>
        <v>0</v>
      </c>
      <c r="S35" s="2"/>
      <c r="T35" s="2">
        <f>SUM(OSRRefT22_3x_0)</f>
        <v>5.7</v>
      </c>
      <c r="U35" s="2"/>
      <c r="V35" s="6">
        <f t="shared" si="5"/>
        <v>0</v>
      </c>
      <c r="W35" s="2"/>
      <c r="X35" s="2">
        <f t="shared" si="6"/>
        <v>-5.7</v>
      </c>
      <c r="Y35" s="2"/>
      <c r="Z35" s="6">
        <f t="shared" si="7"/>
        <v>-1</v>
      </c>
    </row>
    <row r="36" spans="1:26" s="69" customFormat="1" ht="15" hidden="1" customHeight="1" outlineLevel="2" x14ac:dyDescent="0.25">
      <c r="A36" s="25"/>
      <c r="B36" s="12" t="str">
        <f>CONCATENATE("          ","6307"," - ","POSTAGE")</f>
        <v xml:space="preserve">          6307 - POSTAGE</v>
      </c>
      <c r="C36" s="12"/>
      <c r="D36" s="7"/>
      <c r="E36" s="3"/>
      <c r="F36" s="8">
        <f t="shared" si="0"/>
        <v>0</v>
      </c>
      <c r="G36" s="3"/>
      <c r="H36" s="7"/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5.7</v>
      </c>
      <c r="U36" s="3"/>
      <c r="V36" s="8">
        <f t="shared" si="5"/>
        <v>0</v>
      </c>
      <c r="W36" s="3"/>
      <c r="X36" s="7">
        <f t="shared" si="6"/>
        <v>-5.7</v>
      </c>
      <c r="Y36" s="3"/>
      <c r="Z36" s="8">
        <f t="shared" si="7"/>
        <v>-1</v>
      </c>
    </row>
    <row r="37" spans="1:26" s="68" customFormat="1" ht="15" customHeight="1" outlineLevel="1" collapsed="1" x14ac:dyDescent="0.25">
      <c r="A37" s="26"/>
      <c r="B37" s="14" t="str">
        <f>CONCATENATE("     ","Insurance                                         ")</f>
        <v xml:space="preserve">     Insurance                                         </v>
      </c>
      <c r="C37" s="14"/>
      <c r="D37" s="2">
        <f>SUM(OSRRefD22_4x_0)</f>
        <v>76.569999999999993</v>
      </c>
      <c r="E37" s="2"/>
      <c r="F37" s="6">
        <f t="shared" si="0"/>
        <v>0</v>
      </c>
      <c r="G37" s="2"/>
      <c r="H37" s="2">
        <f>SUM(OSRRefH22_4x_0)</f>
        <v>56.34</v>
      </c>
      <c r="I37" s="2"/>
      <c r="J37" s="6">
        <f t="shared" si="1"/>
        <v>0</v>
      </c>
      <c r="K37" s="2"/>
      <c r="L37" s="2">
        <f t="shared" si="2"/>
        <v>20.22999999999999</v>
      </c>
      <c r="M37" s="2"/>
      <c r="N37" s="6">
        <f t="shared" si="3"/>
        <v>0.35906993255236047</v>
      </c>
      <c r="O37" s="14"/>
      <c r="P37" s="2">
        <f>SUM(OSRRefP22_4x_0)</f>
        <v>842.27</v>
      </c>
      <c r="Q37" s="2"/>
      <c r="R37" s="6">
        <f t="shared" si="4"/>
        <v>0</v>
      </c>
      <c r="S37" s="2"/>
      <c r="T37" s="2">
        <f>SUM(OSRRefT22_4x_0)</f>
        <v>619.74</v>
      </c>
      <c r="U37" s="2"/>
      <c r="V37" s="6">
        <f t="shared" si="5"/>
        <v>0</v>
      </c>
      <c r="W37" s="2"/>
      <c r="X37" s="2">
        <f t="shared" si="6"/>
        <v>222.52999999999997</v>
      </c>
      <c r="Y37" s="2"/>
      <c r="Z37" s="6">
        <f t="shared" si="7"/>
        <v>0.35906993255236064</v>
      </c>
    </row>
    <row r="38" spans="1:26" s="69" customFormat="1" ht="15" hidden="1" customHeight="1" outlineLevel="2" x14ac:dyDescent="0.25">
      <c r="A38" s="25"/>
      <c r="B38" s="12" t="str">
        <f>CONCATENATE("          ","6314"," - ","LIABILITY INSURANCE")</f>
        <v xml:space="preserve">          6314 - LIABILITY INSURANCE</v>
      </c>
      <c r="C38" s="12"/>
      <c r="D38" s="7">
        <v>76.569999999999993</v>
      </c>
      <c r="E38" s="3"/>
      <c r="F38" s="8">
        <f t="shared" si="0"/>
        <v>0</v>
      </c>
      <c r="G38" s="3"/>
      <c r="H38" s="7">
        <v>56.34</v>
      </c>
      <c r="I38" s="3"/>
      <c r="J38" s="8">
        <f t="shared" si="1"/>
        <v>0</v>
      </c>
      <c r="K38" s="3"/>
      <c r="L38" s="7">
        <f t="shared" si="2"/>
        <v>20.22999999999999</v>
      </c>
      <c r="M38" s="3"/>
      <c r="N38" s="8">
        <f t="shared" si="3"/>
        <v>0.35906993255236047</v>
      </c>
      <c r="O38" s="12"/>
      <c r="P38" s="7">
        <v>842.27</v>
      </c>
      <c r="Q38" s="3"/>
      <c r="R38" s="8">
        <f t="shared" si="4"/>
        <v>0</v>
      </c>
      <c r="S38" s="3"/>
      <c r="T38" s="7">
        <v>619.74</v>
      </c>
      <c r="U38" s="3"/>
      <c r="V38" s="8">
        <f t="shared" si="5"/>
        <v>0</v>
      </c>
      <c r="W38" s="3"/>
      <c r="X38" s="7">
        <f t="shared" si="6"/>
        <v>222.52999999999997</v>
      </c>
      <c r="Y38" s="3"/>
      <c r="Z38" s="8">
        <f t="shared" si="7"/>
        <v>0.35906993255236064</v>
      </c>
    </row>
    <row r="39" spans="1:26" s="68" customFormat="1" ht="15" customHeight="1" outlineLevel="1" collapsed="1" x14ac:dyDescent="0.25">
      <c r="A39" s="26"/>
      <c r="B39" s="14" t="str">
        <f>CONCATENATE("     ","Repair and Maintenance                            ")</f>
        <v xml:space="preserve">     Repair and Maintenance                            </v>
      </c>
      <c r="C39" s="14"/>
      <c r="D39" s="2">
        <f>SUM(OSRRefD22_5x_0)</f>
        <v>9466</v>
      </c>
      <c r="E39" s="2"/>
      <c r="F39" s="6">
        <f t="shared" si="0"/>
        <v>0</v>
      </c>
      <c r="G39" s="2"/>
      <c r="H39" s="2">
        <f>SUM(OSRRefH22_5x_0)</f>
        <v>13842</v>
      </c>
      <c r="I39" s="2"/>
      <c r="J39" s="6">
        <f t="shared" si="1"/>
        <v>0</v>
      </c>
      <c r="K39" s="2"/>
      <c r="L39" s="2">
        <f t="shared" si="2"/>
        <v>-4376</v>
      </c>
      <c r="M39" s="2"/>
      <c r="N39" s="6">
        <f t="shared" si="3"/>
        <v>-0.31613928623031357</v>
      </c>
      <c r="O39" s="14"/>
      <c r="P39" s="2">
        <f>SUM(OSRRefP22_5x_0)</f>
        <v>99522.3</v>
      </c>
      <c r="Q39" s="2"/>
      <c r="R39" s="6">
        <f t="shared" si="4"/>
        <v>0</v>
      </c>
      <c r="S39" s="2"/>
      <c r="T39" s="2">
        <f>SUM(OSRRefT22_5x_0)</f>
        <v>141390.98000000001</v>
      </c>
      <c r="U39" s="2"/>
      <c r="V39" s="6">
        <f t="shared" si="5"/>
        <v>0</v>
      </c>
      <c r="W39" s="2"/>
      <c r="X39" s="2">
        <f t="shared" si="6"/>
        <v>-41868.680000000008</v>
      </c>
      <c r="Y39" s="2"/>
      <c r="Z39" s="6">
        <f t="shared" si="7"/>
        <v>-0.29611987978299609</v>
      </c>
    </row>
    <row r="40" spans="1:26" s="69" customFormat="1" ht="15" hidden="1" customHeight="1" outlineLevel="2" x14ac:dyDescent="0.25">
      <c r="A40" s="25"/>
      <c r="B40" s="12" t="str">
        <f>CONCATENATE("          ","6371"," - ","COMPUTER SOFTWARE MAINTENANCE")</f>
        <v xml:space="preserve">          6371 - COMPUTER SOFTWARE MAINTENANCE</v>
      </c>
      <c r="C40" s="12"/>
      <c r="D40" s="7"/>
      <c r="E40" s="3"/>
      <c r="F40" s="8">
        <f t="shared" si="0"/>
        <v>0</v>
      </c>
      <c r="G40" s="3"/>
      <c r="H40" s="7">
        <v>1650</v>
      </c>
      <c r="I40" s="3"/>
      <c r="J40" s="8">
        <f t="shared" si="1"/>
        <v>0</v>
      </c>
      <c r="K40" s="3"/>
      <c r="L40" s="7">
        <f t="shared" si="2"/>
        <v>-1650</v>
      </c>
      <c r="M40" s="3"/>
      <c r="N40" s="8">
        <f t="shared" si="3"/>
        <v>-1</v>
      </c>
      <c r="O40" s="12"/>
      <c r="P40" s="7">
        <v>2423.8200000000002</v>
      </c>
      <c r="Q40" s="3"/>
      <c r="R40" s="8">
        <f t="shared" si="4"/>
        <v>0</v>
      </c>
      <c r="S40" s="3"/>
      <c r="T40" s="7">
        <v>7713.98</v>
      </c>
      <c r="U40" s="3"/>
      <c r="V40" s="8">
        <f t="shared" si="5"/>
        <v>0</v>
      </c>
      <c r="W40" s="3"/>
      <c r="X40" s="7">
        <f t="shared" si="6"/>
        <v>-5290.16</v>
      </c>
      <c r="Y40" s="3"/>
      <c r="Z40" s="8">
        <f t="shared" si="7"/>
        <v>-0.68578865903204311</v>
      </c>
    </row>
    <row r="41" spans="1:26" s="69" customFormat="1" ht="15" hidden="1" customHeight="1" outlineLevel="2" x14ac:dyDescent="0.25">
      <c r="A41" s="25"/>
      <c r="B41" s="12" t="str">
        <f>CONCATENATE("          ","6372"," - ","COMPUTER HARDWARE MAINTENANCE")</f>
        <v xml:space="preserve">          6372 - COMPUTER HARDWARE MAINTENANCE</v>
      </c>
      <c r="C41" s="12"/>
      <c r="D41" s="7"/>
      <c r="E41" s="3"/>
      <c r="F41" s="8">
        <f t="shared" si="0"/>
        <v>0</v>
      </c>
      <c r="G41" s="3"/>
      <c r="H41" s="7"/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>
        <v>4760.47</v>
      </c>
      <c r="Q41" s="3"/>
      <c r="R41" s="8">
        <f t="shared" si="4"/>
        <v>0</v>
      </c>
      <c r="S41" s="3"/>
      <c r="T41" s="7"/>
      <c r="U41" s="3"/>
      <c r="V41" s="8">
        <f t="shared" si="5"/>
        <v>0</v>
      </c>
      <c r="W41" s="3"/>
      <c r="X41" s="7">
        <f t="shared" si="6"/>
        <v>4760.47</v>
      </c>
      <c r="Y41" s="3"/>
      <c r="Z41" s="8">
        <f t="shared" si="7"/>
        <v>0</v>
      </c>
    </row>
    <row r="42" spans="1:26" s="69" customFormat="1" ht="15" hidden="1" customHeight="1" outlineLevel="2" x14ac:dyDescent="0.25">
      <c r="A42" s="25"/>
      <c r="B42" s="12" t="str">
        <f>CONCATENATE("          ","6373"," - ","MAINTENANCE CONTRACTS")</f>
        <v xml:space="preserve">          6373 - MAINTENANCE CONTRACTS</v>
      </c>
      <c r="C42" s="12"/>
      <c r="D42" s="7">
        <v>9466</v>
      </c>
      <c r="E42" s="3"/>
      <c r="F42" s="8">
        <f t="shared" si="0"/>
        <v>0</v>
      </c>
      <c r="G42" s="3"/>
      <c r="H42" s="7">
        <v>12192</v>
      </c>
      <c r="I42" s="3"/>
      <c r="J42" s="8">
        <f t="shared" si="1"/>
        <v>0</v>
      </c>
      <c r="K42" s="3"/>
      <c r="L42" s="7">
        <f t="shared" si="2"/>
        <v>-2726</v>
      </c>
      <c r="M42" s="3"/>
      <c r="N42" s="8">
        <f t="shared" si="3"/>
        <v>-0.22358923884514437</v>
      </c>
      <c r="O42" s="12"/>
      <c r="P42" s="7">
        <v>92290.49</v>
      </c>
      <c r="Q42" s="3"/>
      <c r="R42" s="8">
        <f t="shared" si="4"/>
        <v>0</v>
      </c>
      <c r="S42" s="3"/>
      <c r="T42" s="7">
        <v>133677</v>
      </c>
      <c r="U42" s="3"/>
      <c r="V42" s="8">
        <f t="shared" si="5"/>
        <v>0</v>
      </c>
      <c r="W42" s="3"/>
      <c r="X42" s="7">
        <f t="shared" si="6"/>
        <v>-41386.509999999995</v>
      </c>
      <c r="Y42" s="3"/>
      <c r="Z42" s="8">
        <f t="shared" si="7"/>
        <v>-0.30960082886360402</v>
      </c>
    </row>
    <row r="43" spans="1:26" s="69" customFormat="1" ht="15" hidden="1" customHeight="1" outlineLevel="2" x14ac:dyDescent="0.25">
      <c r="A43" s="25"/>
      <c r="B43" s="12" t="str">
        <f>CONCATENATE("          ","6375"," - ","OUTSIDE REPAIRS &amp; MAINTENANCE")</f>
        <v xml:space="preserve">          6375 - OUTSIDE REPAIRS &amp; MAINTENANCE</v>
      </c>
      <c r="C43" s="12"/>
      <c r="D43" s="7"/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>
        <v>47.52</v>
      </c>
      <c r="Q43" s="3"/>
      <c r="R43" s="8">
        <f t="shared" si="4"/>
        <v>0</v>
      </c>
      <c r="S43" s="3"/>
      <c r="T43" s="7"/>
      <c r="U43" s="3"/>
      <c r="V43" s="8">
        <f t="shared" si="5"/>
        <v>0</v>
      </c>
      <c r="W43" s="3"/>
      <c r="X43" s="7">
        <f t="shared" si="6"/>
        <v>47.52</v>
      </c>
      <c r="Y43" s="3"/>
      <c r="Z43" s="8">
        <f t="shared" si="7"/>
        <v>0</v>
      </c>
    </row>
    <row r="44" spans="1:26" s="68" customFormat="1" ht="15" customHeight="1" outlineLevel="1" collapsed="1" x14ac:dyDescent="0.25">
      <c r="A44" s="26"/>
      <c r="B44" s="14" t="str">
        <f>CONCATENATE("     ","Supplies                                          ")</f>
        <v xml:space="preserve">     Supplies                                          </v>
      </c>
      <c r="C44" s="14"/>
      <c r="D44" s="2">
        <f>SUM(OSRRefD22_6x_0)</f>
        <v>360.7</v>
      </c>
      <c r="E44" s="2"/>
      <c r="F44" s="6">
        <f t="shared" si="0"/>
        <v>0</v>
      </c>
      <c r="G44" s="2"/>
      <c r="H44" s="2">
        <f>SUM(OSRRefH22_6x_0)</f>
        <v>100</v>
      </c>
      <c r="I44" s="2"/>
      <c r="J44" s="6">
        <f t="shared" si="1"/>
        <v>0</v>
      </c>
      <c r="K44" s="2"/>
      <c r="L44" s="2">
        <f t="shared" si="2"/>
        <v>260.7</v>
      </c>
      <c r="M44" s="2"/>
      <c r="N44" s="6">
        <f t="shared" si="3"/>
        <v>2.6069999999999998</v>
      </c>
      <c r="O44" s="14"/>
      <c r="P44" s="2">
        <f>SUM(OSRRefP22_6x_0)</f>
        <v>21935.78</v>
      </c>
      <c r="Q44" s="2"/>
      <c r="R44" s="6">
        <f t="shared" si="4"/>
        <v>0</v>
      </c>
      <c r="S44" s="2"/>
      <c r="T44" s="2">
        <f>SUM(OSRRefT22_6x_0)</f>
        <v>-1628.07</v>
      </c>
      <c r="U44" s="2"/>
      <c r="V44" s="6">
        <f t="shared" si="5"/>
        <v>0</v>
      </c>
      <c r="W44" s="2"/>
      <c r="X44" s="2">
        <f t="shared" si="6"/>
        <v>23563.85</v>
      </c>
      <c r="Y44" s="2"/>
      <c r="Z44" s="6">
        <f t="shared" si="7"/>
        <v>-14.473487012229203</v>
      </c>
    </row>
    <row r="45" spans="1:26" s="69" customFormat="1" ht="15" hidden="1" customHeight="1" outlineLevel="2" x14ac:dyDescent="0.25">
      <c r="A45" s="25"/>
      <c r="B45" s="12" t="str">
        <f>CONCATENATE("          ","6241"," - ","OFFICE EXPENSE")</f>
        <v xml:space="preserve">          6241 - OFFICE EXPENSE</v>
      </c>
      <c r="C45" s="12"/>
      <c r="D45" s="7">
        <v>360.7</v>
      </c>
      <c r="E45" s="3"/>
      <c r="F45" s="8">
        <f t="shared" si="0"/>
        <v>0</v>
      </c>
      <c r="G45" s="3"/>
      <c r="H45" s="7">
        <v>100</v>
      </c>
      <c r="I45" s="3"/>
      <c r="J45" s="8">
        <f t="shared" si="1"/>
        <v>0</v>
      </c>
      <c r="K45" s="3"/>
      <c r="L45" s="7">
        <f t="shared" si="2"/>
        <v>260.7</v>
      </c>
      <c r="M45" s="3"/>
      <c r="N45" s="8">
        <f t="shared" si="3"/>
        <v>2.6069999999999998</v>
      </c>
      <c r="O45" s="12"/>
      <c r="P45" s="7">
        <v>21935.78</v>
      </c>
      <c r="Q45" s="3"/>
      <c r="R45" s="8">
        <f t="shared" si="4"/>
        <v>0</v>
      </c>
      <c r="S45" s="3"/>
      <c r="T45" s="7">
        <v>-1628.07</v>
      </c>
      <c r="U45" s="3"/>
      <c r="V45" s="8">
        <f t="shared" si="5"/>
        <v>0</v>
      </c>
      <c r="W45" s="3"/>
      <c r="X45" s="7">
        <f t="shared" si="6"/>
        <v>23563.85</v>
      </c>
      <c r="Y45" s="3"/>
      <c r="Z45" s="8">
        <f t="shared" si="7"/>
        <v>-14.473487012229203</v>
      </c>
    </row>
    <row r="46" spans="1:26" s="68" customFormat="1" ht="15" customHeight="1" outlineLevel="1" collapsed="1" x14ac:dyDescent="0.25">
      <c r="A46" s="26"/>
      <c r="B46" s="14" t="str">
        <f>CONCATENATE("     ","Telephone/Data Lines                              ")</f>
        <v xml:space="preserve">     Telephone/Data Lines                              </v>
      </c>
      <c r="C46" s="14"/>
      <c r="D46" s="2">
        <f>SUM(OSRRefD22_7x_0)</f>
        <v>938.98</v>
      </c>
      <c r="E46" s="2"/>
      <c r="F46" s="6">
        <f t="shared" si="0"/>
        <v>0</v>
      </c>
      <c r="G46" s="2"/>
      <c r="H46" s="2">
        <f>SUM(OSRRefH22_7x_0)</f>
        <v>730.14</v>
      </c>
      <c r="I46" s="2"/>
      <c r="J46" s="6">
        <f t="shared" si="1"/>
        <v>0</v>
      </c>
      <c r="K46" s="2"/>
      <c r="L46" s="2">
        <f t="shared" si="2"/>
        <v>208.84000000000003</v>
      </c>
      <c r="M46" s="2"/>
      <c r="N46" s="6">
        <f t="shared" si="3"/>
        <v>0.28602733722299839</v>
      </c>
      <c r="O46" s="14"/>
      <c r="P46" s="2">
        <f>SUM(OSRRefP22_7x_0)</f>
        <v>9504.2199999999993</v>
      </c>
      <c r="Q46" s="2"/>
      <c r="R46" s="6">
        <f t="shared" si="4"/>
        <v>0</v>
      </c>
      <c r="S46" s="2"/>
      <c r="T46" s="2">
        <f>SUM(OSRRefT22_7x_0)</f>
        <v>7990.2099999999991</v>
      </c>
      <c r="U46" s="2"/>
      <c r="V46" s="6">
        <f t="shared" si="5"/>
        <v>0</v>
      </c>
      <c r="W46" s="2"/>
      <c r="X46" s="2">
        <f t="shared" si="6"/>
        <v>1514.0100000000002</v>
      </c>
      <c r="Y46" s="2"/>
      <c r="Z46" s="6">
        <f t="shared" si="7"/>
        <v>0.18948312998031347</v>
      </c>
    </row>
    <row r="47" spans="1:26" s="69" customFormat="1" ht="15" hidden="1" customHeight="1" outlineLevel="2" x14ac:dyDescent="0.25">
      <c r="A47" s="25"/>
      <c r="B47" s="12" t="str">
        <f>CONCATENATE("          ","6303"," - ","DATA PHONE LINES")</f>
        <v xml:space="preserve">          6303 - DATA PHONE LINES</v>
      </c>
      <c r="C47" s="12"/>
      <c r="D47" s="7">
        <v>176.98</v>
      </c>
      <c r="E47" s="3"/>
      <c r="F47" s="8">
        <f t="shared" si="0"/>
        <v>0</v>
      </c>
      <c r="G47" s="3"/>
      <c r="H47" s="7">
        <v>81.99</v>
      </c>
      <c r="I47" s="3"/>
      <c r="J47" s="8">
        <f t="shared" si="1"/>
        <v>0</v>
      </c>
      <c r="K47" s="3"/>
      <c r="L47" s="7">
        <f t="shared" si="2"/>
        <v>94.99</v>
      </c>
      <c r="M47" s="3"/>
      <c r="N47" s="8">
        <f t="shared" si="3"/>
        <v>1.1585559214538359</v>
      </c>
      <c r="O47" s="12"/>
      <c r="P47" s="7">
        <v>1867.77</v>
      </c>
      <c r="Q47" s="3"/>
      <c r="R47" s="8">
        <f t="shared" si="4"/>
        <v>0</v>
      </c>
      <c r="S47" s="3"/>
      <c r="T47" s="7">
        <v>1485.81</v>
      </c>
      <c r="U47" s="3"/>
      <c r="V47" s="8">
        <f t="shared" si="5"/>
        <v>0</v>
      </c>
      <c r="W47" s="3"/>
      <c r="X47" s="7">
        <f t="shared" si="6"/>
        <v>381.96000000000004</v>
      </c>
      <c r="Y47" s="3"/>
      <c r="Z47" s="8">
        <f t="shared" si="7"/>
        <v>0.25707190017566178</v>
      </c>
    </row>
    <row r="48" spans="1:26" s="69" customFormat="1" ht="15" hidden="1" customHeight="1" outlineLevel="2" x14ac:dyDescent="0.25">
      <c r="A48" s="25"/>
      <c r="B48" s="12" t="str">
        <f>CONCATENATE("          ","6309"," - ","TELEPHONE")</f>
        <v xml:space="preserve">          6309 - TELEPHONE</v>
      </c>
      <c r="C48" s="12"/>
      <c r="D48" s="7">
        <v>762</v>
      </c>
      <c r="E48" s="3"/>
      <c r="F48" s="8">
        <f t="shared" si="0"/>
        <v>0</v>
      </c>
      <c r="G48" s="3"/>
      <c r="H48" s="7">
        <v>648.15</v>
      </c>
      <c r="I48" s="3"/>
      <c r="J48" s="8">
        <f t="shared" si="1"/>
        <v>0</v>
      </c>
      <c r="K48" s="3"/>
      <c r="L48" s="7">
        <f t="shared" si="2"/>
        <v>113.85000000000002</v>
      </c>
      <c r="M48" s="3"/>
      <c r="N48" s="8">
        <f t="shared" si="3"/>
        <v>0.1756537838463319</v>
      </c>
      <c r="O48" s="12"/>
      <c r="P48" s="7">
        <v>7636.45</v>
      </c>
      <c r="Q48" s="3"/>
      <c r="R48" s="8">
        <f t="shared" si="4"/>
        <v>0</v>
      </c>
      <c r="S48" s="3"/>
      <c r="T48" s="7">
        <v>6504.4</v>
      </c>
      <c r="U48" s="3"/>
      <c r="V48" s="8">
        <f t="shared" si="5"/>
        <v>0</v>
      </c>
      <c r="W48" s="3"/>
      <c r="X48" s="7">
        <f t="shared" si="6"/>
        <v>1132.0500000000002</v>
      </c>
      <c r="Y48" s="3"/>
      <c r="Z48" s="8">
        <f t="shared" si="7"/>
        <v>0.17404372424820125</v>
      </c>
    </row>
    <row r="49" spans="1:26" s="68" customFormat="1" ht="15" customHeight="1" outlineLevel="1" collapsed="1" x14ac:dyDescent="0.25">
      <c r="A49" s="26"/>
      <c r="B49" s="14" t="str">
        <f>CONCATENATE("     ","Training                                          ")</f>
        <v xml:space="preserve">     Training                                          </v>
      </c>
      <c r="C49" s="14"/>
      <c r="D49" s="2">
        <f>SUM(OSRRefD22_8x_0)</f>
        <v>239.99</v>
      </c>
      <c r="E49" s="2"/>
      <c r="F49" s="6">
        <f t="shared" si="0"/>
        <v>0</v>
      </c>
      <c r="G49" s="2"/>
      <c r="H49" s="2">
        <f>SUM(OSRRefH22_8x_0)</f>
        <v>0</v>
      </c>
      <c r="I49" s="2"/>
      <c r="J49" s="6">
        <f t="shared" si="1"/>
        <v>0</v>
      </c>
      <c r="K49" s="2"/>
      <c r="L49" s="2">
        <f t="shared" si="2"/>
        <v>239.99</v>
      </c>
      <c r="M49" s="2"/>
      <c r="N49" s="6">
        <f t="shared" si="3"/>
        <v>0</v>
      </c>
      <c r="O49" s="14"/>
      <c r="P49" s="2">
        <f>SUM(OSRRefP22_8x_0)</f>
        <v>737.99</v>
      </c>
      <c r="Q49" s="2"/>
      <c r="R49" s="6">
        <f t="shared" si="4"/>
        <v>0</v>
      </c>
      <c r="S49" s="2"/>
      <c r="T49" s="2">
        <f>SUM(OSRRefT22_8x_0)</f>
        <v>498</v>
      </c>
      <c r="U49" s="2"/>
      <c r="V49" s="6">
        <f t="shared" si="5"/>
        <v>0</v>
      </c>
      <c r="W49" s="2"/>
      <c r="X49" s="2">
        <f t="shared" si="6"/>
        <v>239.99</v>
      </c>
      <c r="Y49" s="2"/>
      <c r="Z49" s="6">
        <f t="shared" si="7"/>
        <v>0.48190763052208835</v>
      </c>
    </row>
    <row r="50" spans="1:26" s="69" customFormat="1" ht="15" hidden="1" customHeight="1" outlineLevel="2" x14ac:dyDescent="0.25">
      <c r="A50" s="25"/>
      <c r="B50" s="12" t="str">
        <f>CONCATENATE("          ","6376"," - ","TRAINING")</f>
        <v xml:space="preserve">          6376 - TRAINING</v>
      </c>
      <c r="C50" s="12"/>
      <c r="D50" s="7">
        <v>239.99</v>
      </c>
      <c r="E50" s="3"/>
      <c r="F50" s="8">
        <f t="shared" si="0"/>
        <v>0</v>
      </c>
      <c r="G50" s="3"/>
      <c r="H50" s="7"/>
      <c r="I50" s="3"/>
      <c r="J50" s="8">
        <f t="shared" si="1"/>
        <v>0</v>
      </c>
      <c r="K50" s="3"/>
      <c r="L50" s="7">
        <f t="shared" si="2"/>
        <v>239.99</v>
      </c>
      <c r="M50" s="3"/>
      <c r="N50" s="8">
        <f t="shared" si="3"/>
        <v>0</v>
      </c>
      <c r="O50" s="12"/>
      <c r="P50" s="7">
        <v>737.99</v>
      </c>
      <c r="Q50" s="3"/>
      <c r="R50" s="8">
        <f t="shared" si="4"/>
        <v>0</v>
      </c>
      <c r="S50" s="3"/>
      <c r="T50" s="7">
        <v>498</v>
      </c>
      <c r="U50" s="3"/>
      <c r="V50" s="8">
        <f t="shared" si="5"/>
        <v>0</v>
      </c>
      <c r="W50" s="3"/>
      <c r="X50" s="7">
        <f t="shared" si="6"/>
        <v>239.99</v>
      </c>
      <c r="Y50" s="3"/>
      <c r="Z50" s="8">
        <f t="shared" si="7"/>
        <v>0.48190763052208835</v>
      </c>
    </row>
    <row r="51" spans="1:26" s="68" customFormat="1" ht="15" customHeight="1" outlineLevel="1" collapsed="1" x14ac:dyDescent="0.25">
      <c r="A51" s="26"/>
      <c r="B51" s="14" t="str">
        <f>CONCATENATE("     ","Travel                                            ")</f>
        <v xml:space="preserve">     Travel                                            </v>
      </c>
      <c r="C51" s="14"/>
      <c r="D51" s="2">
        <f>SUM(OSRRefD22_9x_0)</f>
        <v>0</v>
      </c>
      <c r="E51" s="2"/>
      <c r="F51" s="6">
        <f t="shared" si="0"/>
        <v>0</v>
      </c>
      <c r="G51" s="2"/>
      <c r="H51" s="2">
        <f>SUM(OSRRefH22_9x_0)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SUM(OSRRefP22_9x_0)</f>
        <v>0</v>
      </c>
      <c r="Q51" s="2"/>
      <c r="R51" s="6">
        <f t="shared" si="4"/>
        <v>0</v>
      </c>
      <c r="S51" s="2"/>
      <c r="T51" s="2">
        <f>SUM(OSRRefT22_9x_0)</f>
        <v>0</v>
      </c>
      <c r="U51" s="2"/>
      <c r="V51" s="6">
        <f t="shared" si="5"/>
        <v>0</v>
      </c>
      <c r="W51" s="2"/>
      <c r="X51" s="2">
        <f t="shared" si="6"/>
        <v>0</v>
      </c>
      <c r="Y51" s="2"/>
      <c r="Z51" s="6">
        <f t="shared" si="7"/>
        <v>0</v>
      </c>
    </row>
    <row r="52" spans="1:26" s="69" customFormat="1" ht="15" hidden="1" customHeight="1" outlineLevel="2" x14ac:dyDescent="0.25">
      <c r="A52" s="25"/>
      <c r="B52" s="12" t="str">
        <f>CONCATENATE("          ","6292"," - ","TRAVEL/CONFERENCE")</f>
        <v xml:space="preserve">          6292 - TRAVEL/CONFERENCE</v>
      </c>
      <c r="C52" s="12"/>
      <c r="D52" s="7"/>
      <c r="E52" s="3"/>
      <c r="F52" s="8">
        <f t="shared" si="0"/>
        <v>0</v>
      </c>
      <c r="G52" s="3"/>
      <c r="H52" s="7"/>
      <c r="I52" s="3"/>
      <c r="J52" s="8">
        <f t="shared" si="1"/>
        <v>0</v>
      </c>
      <c r="K52" s="3"/>
      <c r="L52" s="7">
        <f t="shared" si="2"/>
        <v>0</v>
      </c>
      <c r="M52" s="3"/>
      <c r="N52" s="8">
        <f t="shared" si="3"/>
        <v>0</v>
      </c>
      <c r="O52" s="12"/>
      <c r="P52" s="7">
        <v>0</v>
      </c>
      <c r="Q52" s="3"/>
      <c r="R52" s="8">
        <f t="shared" si="4"/>
        <v>0</v>
      </c>
      <c r="S52" s="3"/>
      <c r="T52" s="7"/>
      <c r="U52" s="3"/>
      <c r="V52" s="8">
        <f t="shared" si="5"/>
        <v>0</v>
      </c>
      <c r="W52" s="3"/>
      <c r="X52" s="7">
        <f t="shared" si="6"/>
        <v>0</v>
      </c>
      <c r="Y52" s="3"/>
      <c r="Z52" s="8">
        <f t="shared" si="7"/>
        <v>0</v>
      </c>
    </row>
    <row r="53" spans="1:26" s="64" customFormat="1" ht="15" customHeight="1" x14ac:dyDescent="0.25">
      <c r="A53" s="36"/>
      <c r="B53" s="36"/>
      <c r="C53" s="36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3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62" customFormat="1" ht="15" customHeight="1" x14ac:dyDescent="0.25">
      <c r="A54" s="11"/>
      <c r="B54" s="28" t="s">
        <v>290</v>
      </c>
      <c r="C54" s="11"/>
      <c r="D54" s="5">
        <f>SUM(0)</f>
        <v>0</v>
      </c>
      <c r="E54" s="5"/>
      <c r="F54" s="13">
        <f>IF(D$12=0,0,D54/D$12)</f>
        <v>0</v>
      </c>
      <c r="G54" s="5"/>
      <c r="H54" s="5">
        <f>SUM(0)</f>
        <v>0</v>
      </c>
      <c r="I54" s="5"/>
      <c r="J54" s="13">
        <f>IF(H$12=0,0,H54/H$12)</f>
        <v>0</v>
      </c>
      <c r="K54" s="5"/>
      <c r="L54" s="5">
        <f>+D54-H54</f>
        <v>0</v>
      </c>
      <c r="M54" s="5"/>
      <c r="N54" s="13">
        <f>IF(H54=0,0,L54/H54)</f>
        <v>0</v>
      </c>
      <c r="O54" s="11"/>
      <c r="P54" s="5">
        <f>SUM(0)</f>
        <v>0</v>
      </c>
      <c r="Q54" s="5"/>
      <c r="R54" s="13">
        <f>IF(P$12=0,0,P54/P$12)</f>
        <v>0</v>
      </c>
      <c r="S54" s="5"/>
      <c r="T54" s="5">
        <f>SUM(0)</f>
        <v>0</v>
      </c>
      <c r="U54" s="5"/>
      <c r="V54" s="13">
        <f>IF(T$12=0,0,T54/T$12)</f>
        <v>0</v>
      </c>
      <c r="W54" s="5"/>
      <c r="X54" s="5">
        <f>+P54-T54</f>
        <v>0</v>
      </c>
      <c r="Y54" s="5"/>
      <c r="Z54" s="13">
        <f>IF(T54=0,0,X54/T54)</f>
        <v>0</v>
      </c>
    </row>
    <row r="55" spans="1:26" ht="15" customHeight="1" x14ac:dyDescent="0.25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x14ac:dyDescent="0.25">
      <c r="A56" s="11"/>
      <c r="B56" s="27" t="s">
        <v>291</v>
      </c>
      <c r="C56" s="27"/>
      <c r="D56" s="22">
        <f>+D16-D18+D54</f>
        <v>-41261.939999999995</v>
      </c>
      <c r="E56" s="15"/>
      <c r="F56" s="23">
        <f>IF(D$12=0,0,D56/D$12)</f>
        <v>0</v>
      </c>
      <c r="G56" s="15"/>
      <c r="H56" s="22">
        <f>+H16-H18+H54</f>
        <v>-47434.39</v>
      </c>
      <c r="I56" s="15"/>
      <c r="J56" s="23">
        <f>IF(H$12=0,0,H56/H$12)</f>
        <v>0</v>
      </c>
      <c r="K56" s="16"/>
      <c r="L56" s="22">
        <f>+D56-H56</f>
        <v>6172.4500000000044</v>
      </c>
      <c r="M56" s="16"/>
      <c r="N56" s="23">
        <f>IF(H56=0,0,L56/H56)</f>
        <v>-0.13012605411390352</v>
      </c>
      <c r="O56" s="28"/>
      <c r="P56" s="22">
        <f>+P16-P18+P54</f>
        <v>-497891.36999999994</v>
      </c>
      <c r="Q56" s="15"/>
      <c r="R56" s="23">
        <f>IF(P$12=0,0,P56/P$12)</f>
        <v>0</v>
      </c>
      <c r="S56" s="15"/>
      <c r="T56" s="22">
        <f>+T16-T18+T54</f>
        <v>-556182.88000000012</v>
      </c>
      <c r="U56" s="15"/>
      <c r="V56" s="23">
        <f>IF(T$12=0,0,T56/T$12)</f>
        <v>0</v>
      </c>
      <c r="W56" s="16"/>
      <c r="X56" s="22">
        <f>+P56-T56</f>
        <v>58291.510000000184</v>
      </c>
      <c r="Y56" s="16"/>
      <c r="Z56" s="23">
        <f>IF(T56=0,0,X56/T56)</f>
        <v>-0.10480637232127708</v>
      </c>
    </row>
    <row r="57" spans="1:26" ht="15" customHeight="1" x14ac:dyDescent="0.25">
      <c r="A57" s="10"/>
      <c r="B57" s="11"/>
      <c r="C57" s="10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2" customFormat="1" ht="15" customHeight="1" x14ac:dyDescent="0.25">
      <c r="A58" s="48"/>
      <c r="B58" s="11" t="s">
        <v>292</v>
      </c>
      <c r="C58" s="11"/>
      <c r="D58" s="5"/>
      <c r="E58" s="5"/>
      <c r="F58" s="13">
        <f>IF(D$12=0,0,D58/D$12)</f>
        <v>0</v>
      </c>
      <c r="G58" s="5"/>
      <c r="H58" s="5"/>
      <c r="I58" s="5"/>
      <c r="J58" s="13">
        <f>IF(H$12=0,0,H58/H$12)</f>
        <v>0</v>
      </c>
      <c r="K58" s="5"/>
      <c r="L58" s="5">
        <f>+D58-H58</f>
        <v>0</v>
      </c>
      <c r="M58" s="5"/>
      <c r="N58" s="13">
        <f>IF(H58=0,0,L58/H58)</f>
        <v>0</v>
      </c>
      <c r="O58" s="11"/>
      <c r="P58" s="5"/>
      <c r="Q58" s="5"/>
      <c r="R58" s="13">
        <f>IF(P$12=0,0,P58/P$12)</f>
        <v>0</v>
      </c>
      <c r="S58" s="5"/>
      <c r="T58" s="5"/>
      <c r="U58" s="5"/>
      <c r="V58" s="13">
        <f>IF(T$12=0,0,T58/T$12)</f>
        <v>0</v>
      </c>
      <c r="W58" s="5"/>
      <c r="X58" s="5">
        <f>+P58-T58</f>
        <v>0</v>
      </c>
      <c r="Y58" s="5"/>
      <c r="Z58" s="13">
        <f>IF(T58=0,0,X58/T58)</f>
        <v>0</v>
      </c>
    </row>
    <row r="59" spans="1:26" ht="15" customHeight="1" x14ac:dyDescent="0.25">
      <c r="A59" s="10"/>
      <c r="B59" s="11"/>
      <c r="C59" s="11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O59" s="11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2" customFormat="1" ht="15" customHeight="1" x14ac:dyDescent="0.25">
      <c r="A60" s="11"/>
      <c r="B60" s="27" t="s">
        <v>293</v>
      </c>
      <c r="C60" s="27"/>
      <c r="D60" s="35">
        <f>+D56-D58</f>
        <v>-41261.939999999995</v>
      </c>
      <c r="E60" s="15"/>
      <c r="F60" s="30">
        <f>IF(D$12=0,0,D60/D$12)</f>
        <v>0</v>
      </c>
      <c r="G60" s="15"/>
      <c r="H60" s="35">
        <f>+H56-H58</f>
        <v>-47434.39</v>
      </c>
      <c r="I60" s="15"/>
      <c r="J60" s="30">
        <f>IF(H$12=0,0,H60/H$12)</f>
        <v>0</v>
      </c>
      <c r="K60" s="16"/>
      <c r="L60" s="35">
        <f>D60-H60</f>
        <v>6172.4500000000044</v>
      </c>
      <c r="M60" s="16"/>
      <c r="N60" s="30">
        <f>IF(H60=0,0,L60/H60)</f>
        <v>-0.13012605411390352</v>
      </c>
      <c r="O60" s="28"/>
      <c r="P60" s="35">
        <f>+P56-P58</f>
        <v>-497891.36999999994</v>
      </c>
      <c r="Q60" s="15"/>
      <c r="R60" s="30">
        <f>IF(P$12=0,0,P60/P$12)</f>
        <v>0</v>
      </c>
      <c r="S60" s="15"/>
      <c r="T60" s="35">
        <f>+T56-T58</f>
        <v>-556182.88000000012</v>
      </c>
      <c r="U60" s="15"/>
      <c r="V60" s="30">
        <f>IF(T$12=0,0,T60/T$12)</f>
        <v>0</v>
      </c>
      <c r="W60" s="16"/>
      <c r="X60" s="35">
        <f>P60-T60</f>
        <v>58291.510000000184</v>
      </c>
      <c r="Y60" s="16"/>
      <c r="Z60" s="30">
        <f>IF(T60=0,0,X60/T60)</f>
        <v>-0.10480637232127708</v>
      </c>
    </row>
    <row r="61" spans="1:26" ht="15" customHeight="1" x14ac:dyDescent="0.25">
      <c r="A61" s="10"/>
      <c r="B61" s="10"/>
      <c r="C61" s="10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ht="15" customHeight="1" x14ac:dyDescent="0.25">
      <c r="A62" s="10"/>
      <c r="B62" s="10"/>
      <c r="C62" s="10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2" customFormat="1" ht="15" customHeight="1" x14ac:dyDescent="0.25">
      <c r="A63" s="11"/>
      <c r="B63" s="27" t="s">
        <v>296</v>
      </c>
      <c r="C63" s="27"/>
      <c r="D63" s="32">
        <f>SUM(D60:D62)</f>
        <v>-41261.939999999995</v>
      </c>
      <c r="E63" s="15"/>
      <c r="F63" s="34">
        <f>IF(D$12=0,0,D63/D$12)</f>
        <v>0</v>
      </c>
      <c r="G63" s="15"/>
      <c r="H63" s="32">
        <f>SUM(H60:H62)</f>
        <v>-47434.39</v>
      </c>
      <c r="I63" s="15"/>
      <c r="J63" s="34">
        <f>IF(H$12=0,0,H63/H$12)</f>
        <v>0</v>
      </c>
      <c r="K63" s="16"/>
      <c r="L63" s="32">
        <f>+D63-H63</f>
        <v>6172.4500000000044</v>
      </c>
      <c r="M63" s="16"/>
      <c r="N63" s="34">
        <f>IF(H63=0,0,L63/H63)</f>
        <v>-0.13012605411390352</v>
      </c>
      <c r="O63" s="28"/>
      <c r="P63" s="32">
        <f>SUM(P60:P62)</f>
        <v>-497891.36999999994</v>
      </c>
      <c r="Q63" s="15"/>
      <c r="R63" s="34">
        <f>IF(P$12=0,0,P63/P$12)</f>
        <v>0</v>
      </c>
      <c r="S63" s="15"/>
      <c r="T63" s="32">
        <f>SUM(T60:T62)</f>
        <v>-556182.88000000012</v>
      </c>
      <c r="U63" s="15"/>
      <c r="V63" s="34">
        <f>IF(T$12=0,0,T63/T$12)</f>
        <v>0</v>
      </c>
      <c r="W63" s="16"/>
      <c r="X63" s="32">
        <f>+P63-T63</f>
        <v>58291.510000000184</v>
      </c>
      <c r="Y63" s="16"/>
      <c r="Z63" s="34">
        <f>IF(T63=0,0,X63/T63)</f>
        <v>-0.10480637232127708</v>
      </c>
    </row>
    <row r="64" spans="1:26" ht="15" customHeight="1" x14ac:dyDescent="0.25">
      <c r="A64" s="10"/>
      <c r="C64" s="10"/>
      <c r="D64" s="18"/>
      <c r="E64" s="18"/>
      <c r="G64" s="18"/>
      <c r="H64" s="18"/>
      <c r="I64" s="18"/>
      <c r="J64" s="41"/>
      <c r="K64" s="18"/>
      <c r="L64" s="18"/>
      <c r="M64" s="18"/>
      <c r="P64" s="18"/>
      <c r="Q64" s="18"/>
      <c r="R64" s="41"/>
      <c r="S64" s="18"/>
      <c r="T64" s="18"/>
      <c r="U64" s="18"/>
      <c r="V64" s="41"/>
      <c r="W64" s="18"/>
      <c r="X64" s="18"/>
    </row>
    <row r="65" spans="1:24" ht="15" customHeight="1" x14ac:dyDescent="0.25">
      <c r="A65" s="10"/>
      <c r="B65" s="50">
        <v>44727.879654085649</v>
      </c>
      <c r="D65" s="18"/>
      <c r="E65" s="18"/>
      <c r="G65" s="18"/>
      <c r="H65" s="18"/>
      <c r="I65" s="18"/>
      <c r="J65" s="41"/>
      <c r="K65" s="18"/>
      <c r="L65" s="18"/>
      <c r="M65" s="18"/>
      <c r="P65" s="18"/>
      <c r="Q65" s="18"/>
      <c r="R65" s="41"/>
      <c r="S65" s="18"/>
      <c r="T65" s="18"/>
      <c r="U65" s="18"/>
      <c r="V65" s="41"/>
      <c r="W65" s="18"/>
      <c r="X65" s="18"/>
    </row>
    <row r="66" spans="1:24" ht="15" customHeight="1" x14ac:dyDescent="0.25">
      <c r="A66" s="10"/>
      <c r="B66" s="53" t="s">
        <v>297</v>
      </c>
      <c r="D66" s="18"/>
      <c r="E66" s="18"/>
      <c r="G66" s="18"/>
      <c r="H66" s="18"/>
      <c r="I66" s="18"/>
      <c r="J66" s="41"/>
      <c r="K66" s="18"/>
      <c r="L66" s="18"/>
      <c r="M66" s="18"/>
      <c r="P66" s="18"/>
      <c r="Q66" s="18"/>
      <c r="R66" s="41"/>
      <c r="S66" s="18"/>
      <c r="T66" s="18"/>
      <c r="U66" s="18"/>
      <c r="V66" s="41"/>
      <c r="W66" s="18"/>
      <c r="X66" s="18"/>
    </row>
    <row r="67" spans="1:24" ht="15" customHeight="1" x14ac:dyDescent="0.25">
      <c r="A67" s="10"/>
      <c r="B67" s="55"/>
      <c r="D67" s="18"/>
      <c r="E67" s="18"/>
      <c r="G67" s="18"/>
      <c r="H67" s="18"/>
      <c r="I67" s="18"/>
      <c r="J67" s="41"/>
      <c r="K67" s="18"/>
      <c r="L67" s="18"/>
      <c r="M67" s="18"/>
      <c r="P67" s="18"/>
      <c r="Q67" s="18"/>
      <c r="R67" s="41"/>
      <c r="S67" s="18"/>
      <c r="T67" s="18"/>
      <c r="U67" s="18"/>
      <c r="V67" s="41"/>
      <c r="W67" s="18"/>
      <c r="X67" s="18"/>
    </row>
    <row r="68" spans="1:24" ht="15" customHeight="1" x14ac:dyDescent="0.25">
      <c r="D68" s="18"/>
      <c r="E68" s="18"/>
      <c r="G68" s="18"/>
      <c r="H68" s="18"/>
      <c r="I68" s="18"/>
      <c r="J68" s="41"/>
      <c r="K68" s="18"/>
      <c r="L68" s="18"/>
      <c r="M68" s="18"/>
      <c r="P68" s="18"/>
      <c r="Q68" s="18"/>
      <c r="R68" s="41"/>
      <c r="S68" s="18"/>
      <c r="T68" s="18"/>
      <c r="U68" s="18"/>
      <c r="V68" s="41"/>
      <c r="W68" s="18"/>
      <c r="X6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EA207-628D-876D-DA79-A77D4A3B7CDC}">
  <sheetPr>
    <tabColor rgb="FF92D050"/>
    <outlinePr summaryBelow="0" summaryRight="0"/>
  </sheetPr>
  <dimension ref="A2:Z5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","205"," - ","Maintenance")</f>
        <v>Department 205 - Maintenance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13585.849999999999</v>
      </c>
      <c r="E18" s="21"/>
      <c r="F18" s="31">
        <f t="shared" ref="F18:F43" si="0">IF(D$12=0,0,D18/D$12)</f>
        <v>0</v>
      </c>
      <c r="G18" s="21"/>
      <c r="H18" s="21" cm="1">
        <f t="array" ref="H18">SUM(OSRRefH22x_0)</f>
        <v>12938.990000000002</v>
      </c>
      <c r="I18" s="21"/>
      <c r="J18" s="31">
        <f t="shared" ref="J18:J43" si="1">IF(H$12=0,0,H18/H$12)</f>
        <v>0</v>
      </c>
      <c r="K18" s="5"/>
      <c r="L18" s="21">
        <f t="shared" ref="L18:L43" si="2">+D18-H18</f>
        <v>646.85999999999694</v>
      </c>
      <c r="M18" s="5"/>
      <c r="N18" s="31">
        <f t="shared" ref="N18:N43" si="3">IF(H18=0,0,L18/H18)</f>
        <v>4.9993082922237121E-2</v>
      </c>
      <c r="O18" s="11"/>
      <c r="P18" s="21" cm="1">
        <f t="array" ref="P18">SUM(OSRRefP22x_0)</f>
        <v>94527.72</v>
      </c>
      <c r="Q18" s="21"/>
      <c r="R18" s="31">
        <f t="shared" ref="R18:R43" si="4">IF(P$12=0,0,P18/P$12)</f>
        <v>0</v>
      </c>
      <c r="S18" s="21"/>
      <c r="T18" s="21" cm="1">
        <f t="array" ref="T18">SUM(OSRRefT22x_0)</f>
        <v>91512.839999999982</v>
      </c>
      <c r="U18" s="21"/>
      <c r="V18" s="31">
        <f t="shared" ref="V18:V43" si="5">IF(T$12=0,0,T18/T$12)</f>
        <v>0</v>
      </c>
      <c r="W18" s="5"/>
      <c r="X18" s="21">
        <f t="shared" ref="X18:X43" si="6">+P18-T18</f>
        <v>3014.8800000000192</v>
      </c>
      <c r="Y18" s="5"/>
      <c r="Z18" s="31">
        <f t="shared" ref="Z18:Z43" si="7">IF(T18=0,0,X18/T18)</f>
        <v>3.2944885111204282E-2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2707.1</v>
      </c>
      <c r="E19" s="2"/>
      <c r="F19" s="6">
        <f t="shared" si="0"/>
        <v>0</v>
      </c>
      <c r="G19" s="2"/>
      <c r="H19" s="2">
        <f>SUM(OSRRefH22_0x_0)</f>
        <v>2704.14</v>
      </c>
      <c r="I19" s="2"/>
      <c r="J19" s="6">
        <f t="shared" si="1"/>
        <v>0</v>
      </c>
      <c r="K19" s="2"/>
      <c r="L19" s="2">
        <f t="shared" si="2"/>
        <v>2.9600000000000364</v>
      </c>
      <c r="M19" s="2"/>
      <c r="N19" s="6">
        <f t="shared" si="3"/>
        <v>1.0946178822102541E-3</v>
      </c>
      <c r="O19" s="14"/>
      <c r="P19" s="2">
        <f>SUM(OSRRefP22_0x_0)</f>
        <v>30010.809999999998</v>
      </c>
      <c r="Q19" s="2"/>
      <c r="R19" s="6">
        <f t="shared" si="4"/>
        <v>0</v>
      </c>
      <c r="S19" s="2"/>
      <c r="T19" s="2">
        <f>SUM(OSRRefT22_0x_0)</f>
        <v>28155.78</v>
      </c>
      <c r="U19" s="2"/>
      <c r="V19" s="6">
        <f t="shared" si="5"/>
        <v>0</v>
      </c>
      <c r="W19" s="2"/>
      <c r="X19" s="2">
        <f t="shared" si="6"/>
        <v>1855.0299999999988</v>
      </c>
      <c r="Y19" s="2"/>
      <c r="Z19" s="6">
        <f t="shared" si="7"/>
        <v>6.588451820549808E-2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>
        <v>343</v>
      </c>
      <c r="E20" s="3"/>
      <c r="F20" s="8">
        <f t="shared" si="0"/>
        <v>0</v>
      </c>
      <c r="G20" s="3"/>
      <c r="H20" s="7">
        <v>325.31</v>
      </c>
      <c r="I20" s="3"/>
      <c r="J20" s="8">
        <f t="shared" si="1"/>
        <v>0</v>
      </c>
      <c r="K20" s="3"/>
      <c r="L20" s="7">
        <f t="shared" si="2"/>
        <v>17.689999999999998</v>
      </c>
      <c r="M20" s="3"/>
      <c r="N20" s="8">
        <f t="shared" si="3"/>
        <v>5.4378900126033622E-2</v>
      </c>
      <c r="O20" s="12"/>
      <c r="P20" s="7">
        <v>4032.59</v>
      </c>
      <c r="Q20" s="3"/>
      <c r="R20" s="8">
        <f t="shared" si="4"/>
        <v>0</v>
      </c>
      <c r="S20" s="3"/>
      <c r="T20" s="7">
        <v>3839.5</v>
      </c>
      <c r="U20" s="3"/>
      <c r="V20" s="8">
        <f t="shared" si="5"/>
        <v>0</v>
      </c>
      <c r="W20" s="3"/>
      <c r="X20" s="7">
        <f t="shared" si="6"/>
        <v>193.09000000000015</v>
      </c>
      <c r="Y20" s="3"/>
      <c r="Z20" s="8">
        <f t="shared" si="7"/>
        <v>5.0290402396145371E-2</v>
      </c>
    </row>
    <row r="21" spans="1:26" s="69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7">
        <v>372.11</v>
      </c>
      <c r="E21" s="3"/>
      <c r="F21" s="8">
        <f t="shared" si="0"/>
        <v>0</v>
      </c>
      <c r="G21" s="3"/>
      <c r="H21" s="7">
        <v>442.37</v>
      </c>
      <c r="I21" s="3"/>
      <c r="J21" s="8">
        <f t="shared" si="1"/>
        <v>0</v>
      </c>
      <c r="K21" s="3"/>
      <c r="L21" s="7">
        <f t="shared" si="2"/>
        <v>-70.259999999999991</v>
      </c>
      <c r="M21" s="3"/>
      <c r="N21" s="8">
        <f t="shared" si="3"/>
        <v>-0.15882632185726878</v>
      </c>
      <c r="O21" s="12"/>
      <c r="P21" s="7">
        <v>2904.54</v>
      </c>
      <c r="Q21" s="3"/>
      <c r="R21" s="8">
        <f t="shared" si="4"/>
        <v>0</v>
      </c>
      <c r="S21" s="3"/>
      <c r="T21" s="7">
        <v>3475.92</v>
      </c>
      <c r="U21" s="3"/>
      <c r="V21" s="8">
        <f t="shared" si="5"/>
        <v>0</v>
      </c>
      <c r="W21" s="3"/>
      <c r="X21" s="7">
        <f t="shared" si="6"/>
        <v>-571.38000000000011</v>
      </c>
      <c r="Y21" s="3"/>
      <c r="Z21" s="8">
        <f t="shared" si="7"/>
        <v>-0.16438237934129671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>
        <v>694.36</v>
      </c>
      <c r="E22" s="3"/>
      <c r="F22" s="8">
        <f t="shared" si="0"/>
        <v>0</v>
      </c>
      <c r="G22" s="3"/>
      <c r="H22" s="7">
        <v>699.91</v>
      </c>
      <c r="I22" s="3"/>
      <c r="J22" s="8">
        <f t="shared" si="1"/>
        <v>0</v>
      </c>
      <c r="K22" s="3"/>
      <c r="L22" s="7">
        <f t="shared" si="2"/>
        <v>-5.5499999999999545</v>
      </c>
      <c r="M22" s="3"/>
      <c r="N22" s="8">
        <f t="shared" si="3"/>
        <v>-7.92959094740746E-3</v>
      </c>
      <c r="O22" s="12"/>
      <c r="P22" s="7">
        <v>7660.01</v>
      </c>
      <c r="Q22" s="3"/>
      <c r="R22" s="8">
        <f t="shared" si="4"/>
        <v>0</v>
      </c>
      <c r="S22" s="3"/>
      <c r="T22" s="7">
        <v>7676.51</v>
      </c>
      <c r="U22" s="3"/>
      <c r="V22" s="8">
        <f t="shared" si="5"/>
        <v>0</v>
      </c>
      <c r="W22" s="3"/>
      <c r="X22" s="7">
        <f t="shared" si="6"/>
        <v>-16.5</v>
      </c>
      <c r="Y22" s="3"/>
      <c r="Z22" s="8">
        <f t="shared" si="7"/>
        <v>-2.1494142520494339E-3</v>
      </c>
    </row>
    <row r="23" spans="1:26" s="69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7">
        <v>17.5</v>
      </c>
      <c r="E23" s="3"/>
      <c r="F23" s="8">
        <f t="shared" si="0"/>
        <v>0</v>
      </c>
      <c r="G23" s="3"/>
      <c r="H23" s="7">
        <v>16.600000000000001</v>
      </c>
      <c r="I23" s="3"/>
      <c r="J23" s="8">
        <f t="shared" si="1"/>
        <v>0</v>
      </c>
      <c r="K23" s="3"/>
      <c r="L23" s="7">
        <f t="shared" si="2"/>
        <v>0.89999999999999858</v>
      </c>
      <c r="M23" s="3"/>
      <c r="N23" s="8">
        <f t="shared" si="3"/>
        <v>5.4216867469879429E-2</v>
      </c>
      <c r="O23" s="12"/>
      <c r="P23" s="7">
        <v>136.56</v>
      </c>
      <c r="Q23" s="3"/>
      <c r="R23" s="8">
        <f t="shared" si="4"/>
        <v>0</v>
      </c>
      <c r="S23" s="3"/>
      <c r="T23" s="7">
        <v>130.43</v>
      </c>
      <c r="U23" s="3"/>
      <c r="V23" s="8">
        <f t="shared" si="5"/>
        <v>0</v>
      </c>
      <c r="W23" s="3"/>
      <c r="X23" s="7">
        <f t="shared" si="6"/>
        <v>6.1299999999999955</v>
      </c>
      <c r="Y23" s="3"/>
      <c r="Z23" s="8">
        <f t="shared" si="7"/>
        <v>4.6998389940964468E-2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>
        <v>475.21</v>
      </c>
      <c r="E24" s="3"/>
      <c r="F24" s="8">
        <f t="shared" si="0"/>
        <v>0</v>
      </c>
      <c r="G24" s="3"/>
      <c r="H24" s="7">
        <v>463.27</v>
      </c>
      <c r="I24" s="3"/>
      <c r="J24" s="8">
        <f t="shared" si="1"/>
        <v>0</v>
      </c>
      <c r="K24" s="3"/>
      <c r="L24" s="7">
        <f t="shared" si="2"/>
        <v>11.939999999999998</v>
      </c>
      <c r="M24" s="3"/>
      <c r="N24" s="8">
        <f t="shared" si="3"/>
        <v>2.5773307142702956E-2</v>
      </c>
      <c r="O24" s="12"/>
      <c r="P24" s="7">
        <v>5572.74</v>
      </c>
      <c r="Q24" s="3"/>
      <c r="R24" s="8">
        <f t="shared" si="4"/>
        <v>0</v>
      </c>
      <c r="S24" s="3"/>
      <c r="T24" s="7">
        <v>5559.25</v>
      </c>
      <c r="U24" s="3"/>
      <c r="V24" s="8">
        <f t="shared" si="5"/>
        <v>0</v>
      </c>
      <c r="W24" s="3"/>
      <c r="X24" s="7">
        <f t="shared" si="6"/>
        <v>13.489999999999782</v>
      </c>
      <c r="Y24" s="3"/>
      <c r="Z24" s="8">
        <f t="shared" si="7"/>
        <v>2.4265863200970961E-3</v>
      </c>
    </row>
    <row r="25" spans="1:26" s="69" customFormat="1" ht="15" hidden="1" customHeight="1" outlineLevel="2" x14ac:dyDescent="0.25">
      <c r="A25" s="25"/>
      <c r="B25" s="12" t="str">
        <f>CONCATENATE("          ","6118"," - ","VACATION")</f>
        <v xml:space="preserve">          6118 - VACATION</v>
      </c>
      <c r="C25" s="12"/>
      <c r="D25" s="7">
        <v>403.46</v>
      </c>
      <c r="E25" s="3"/>
      <c r="F25" s="8">
        <f t="shared" si="0"/>
        <v>0</v>
      </c>
      <c r="G25" s="3"/>
      <c r="H25" s="7">
        <v>387.96</v>
      </c>
      <c r="I25" s="3"/>
      <c r="J25" s="8">
        <f t="shared" si="1"/>
        <v>0</v>
      </c>
      <c r="K25" s="3"/>
      <c r="L25" s="7">
        <f t="shared" si="2"/>
        <v>15.5</v>
      </c>
      <c r="M25" s="3"/>
      <c r="N25" s="8">
        <f t="shared" si="3"/>
        <v>3.9952572430147437E-2</v>
      </c>
      <c r="O25" s="12"/>
      <c r="P25" s="7">
        <v>4720.88</v>
      </c>
      <c r="Q25" s="3"/>
      <c r="R25" s="8">
        <f t="shared" si="4"/>
        <v>0</v>
      </c>
      <c r="S25" s="3"/>
      <c r="T25" s="7">
        <v>3555.68</v>
      </c>
      <c r="U25" s="3"/>
      <c r="V25" s="8">
        <f t="shared" si="5"/>
        <v>0</v>
      </c>
      <c r="W25" s="3"/>
      <c r="X25" s="7">
        <f t="shared" si="6"/>
        <v>1165.2000000000003</v>
      </c>
      <c r="Y25" s="3"/>
      <c r="Z25" s="8">
        <f t="shared" si="7"/>
        <v>0.32770103046393384</v>
      </c>
    </row>
    <row r="26" spans="1:26" s="69" customFormat="1" ht="15" hidden="1" customHeight="1" outlineLevel="2" x14ac:dyDescent="0.25">
      <c r="A26" s="25"/>
      <c r="B26" s="12" t="str">
        <f>CONCATENATE("          ","6119"," - ","SICK LEAVE")</f>
        <v xml:space="preserve">          6119 - SICK LEAVE</v>
      </c>
      <c r="C26" s="12"/>
      <c r="D26" s="7">
        <v>201.46</v>
      </c>
      <c r="E26" s="3"/>
      <c r="F26" s="8">
        <f t="shared" si="0"/>
        <v>0</v>
      </c>
      <c r="G26" s="3"/>
      <c r="H26" s="7">
        <v>193.72</v>
      </c>
      <c r="I26" s="3"/>
      <c r="J26" s="8">
        <f t="shared" si="1"/>
        <v>0</v>
      </c>
      <c r="K26" s="3"/>
      <c r="L26" s="7">
        <f t="shared" si="2"/>
        <v>7.7400000000000091</v>
      </c>
      <c r="M26" s="3"/>
      <c r="N26" s="8">
        <f t="shared" si="3"/>
        <v>3.9954573611397939E-2</v>
      </c>
      <c r="O26" s="12"/>
      <c r="P26" s="7">
        <v>3136.96</v>
      </c>
      <c r="Q26" s="3"/>
      <c r="R26" s="8">
        <f t="shared" si="4"/>
        <v>0</v>
      </c>
      <c r="S26" s="3"/>
      <c r="T26" s="7">
        <v>2324.64</v>
      </c>
      <c r="U26" s="3"/>
      <c r="V26" s="8">
        <f t="shared" si="5"/>
        <v>0</v>
      </c>
      <c r="W26" s="3"/>
      <c r="X26" s="7">
        <f t="shared" si="6"/>
        <v>812.32000000000016</v>
      </c>
      <c r="Y26" s="3"/>
      <c r="Z26" s="8">
        <f t="shared" si="7"/>
        <v>0.34943905292862559</v>
      </c>
    </row>
    <row r="27" spans="1:26" s="69" customFormat="1" ht="15" hidden="1" customHeight="1" outlineLevel="2" x14ac:dyDescent="0.25">
      <c r="A27" s="25"/>
      <c r="B27" s="12" t="str">
        <f>CONCATENATE("          ","6156"," - ","EMPLOYEE MEALS")</f>
        <v xml:space="preserve">          6156 - EMPLOYEE MEALS</v>
      </c>
      <c r="C27" s="12"/>
      <c r="D27" s="7">
        <v>200</v>
      </c>
      <c r="E27" s="3"/>
      <c r="F27" s="8">
        <f t="shared" si="0"/>
        <v>0</v>
      </c>
      <c r="G27" s="3"/>
      <c r="H27" s="7">
        <v>175</v>
      </c>
      <c r="I27" s="3"/>
      <c r="J27" s="8">
        <f t="shared" si="1"/>
        <v>0</v>
      </c>
      <c r="K27" s="3"/>
      <c r="L27" s="7">
        <f t="shared" si="2"/>
        <v>25</v>
      </c>
      <c r="M27" s="3"/>
      <c r="N27" s="8">
        <f t="shared" si="3"/>
        <v>0.14285714285714285</v>
      </c>
      <c r="O27" s="12"/>
      <c r="P27" s="7">
        <v>1846.53</v>
      </c>
      <c r="Q27" s="3"/>
      <c r="R27" s="8">
        <f t="shared" si="4"/>
        <v>0</v>
      </c>
      <c r="S27" s="3"/>
      <c r="T27" s="7">
        <v>1593.85</v>
      </c>
      <c r="U27" s="3"/>
      <c r="V27" s="8">
        <f t="shared" si="5"/>
        <v>0</v>
      </c>
      <c r="W27" s="3"/>
      <c r="X27" s="7">
        <f t="shared" si="6"/>
        <v>252.68000000000006</v>
      </c>
      <c r="Y27" s="3"/>
      <c r="Z27" s="8">
        <f t="shared" si="7"/>
        <v>0.15853436647112343</v>
      </c>
    </row>
    <row r="28" spans="1:26" s="68" customFormat="1" ht="15" customHeight="1" outlineLevel="1" collapsed="1" x14ac:dyDescent="0.25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3971.9</v>
      </c>
      <c r="E28" s="2"/>
      <c r="F28" s="6">
        <f t="shared" si="0"/>
        <v>0</v>
      </c>
      <c r="G28" s="2"/>
      <c r="H28" s="2">
        <f>SUM(OSRRefH22_1x_0)</f>
        <v>4002.88</v>
      </c>
      <c r="I28" s="2"/>
      <c r="J28" s="6">
        <f t="shared" si="1"/>
        <v>0</v>
      </c>
      <c r="K28" s="2"/>
      <c r="L28" s="2">
        <f t="shared" si="2"/>
        <v>-30.980000000000018</v>
      </c>
      <c r="M28" s="2"/>
      <c r="N28" s="6">
        <f t="shared" si="3"/>
        <v>-7.7394276121192781E-3</v>
      </c>
      <c r="O28" s="14"/>
      <c r="P28" s="2">
        <f>SUM(OSRRefP22_1x_0)</f>
        <v>45297.79</v>
      </c>
      <c r="Q28" s="2"/>
      <c r="R28" s="6">
        <f t="shared" si="4"/>
        <v>0</v>
      </c>
      <c r="S28" s="2"/>
      <c r="T28" s="2">
        <f>SUM(OSRRefT22_1x_0)</f>
        <v>46454.93</v>
      </c>
      <c r="U28" s="2"/>
      <c r="V28" s="6">
        <f t="shared" si="5"/>
        <v>0</v>
      </c>
      <c r="W28" s="2"/>
      <c r="X28" s="2">
        <f t="shared" si="6"/>
        <v>-1157.1399999999994</v>
      </c>
      <c r="Y28" s="2"/>
      <c r="Z28" s="6">
        <f t="shared" si="7"/>
        <v>-2.4908874042001556E-2</v>
      </c>
    </row>
    <row r="29" spans="1:26" s="69" customFormat="1" ht="15" hidden="1" customHeight="1" outlineLevel="2" x14ac:dyDescent="0.25">
      <c r="A29" s="25"/>
      <c r="B29" s="12" t="str">
        <f>CONCATENATE("          ","6002"," - ","STAFF SALARIES")</f>
        <v xml:space="preserve">          6002 - STAFF SALARIES</v>
      </c>
      <c r="C29" s="12"/>
      <c r="D29" s="7">
        <v>3971.9</v>
      </c>
      <c r="E29" s="3"/>
      <c r="F29" s="8">
        <f t="shared" si="0"/>
        <v>0</v>
      </c>
      <c r="G29" s="3"/>
      <c r="H29" s="7">
        <v>4002.88</v>
      </c>
      <c r="I29" s="3"/>
      <c r="J29" s="8">
        <f t="shared" si="1"/>
        <v>0</v>
      </c>
      <c r="K29" s="3"/>
      <c r="L29" s="7">
        <f t="shared" si="2"/>
        <v>-30.980000000000018</v>
      </c>
      <c r="M29" s="3"/>
      <c r="N29" s="8">
        <f t="shared" si="3"/>
        <v>-7.7394276121192781E-3</v>
      </c>
      <c r="O29" s="12"/>
      <c r="P29" s="7">
        <v>45297.79</v>
      </c>
      <c r="Q29" s="3"/>
      <c r="R29" s="8">
        <f t="shared" si="4"/>
        <v>0</v>
      </c>
      <c r="S29" s="3"/>
      <c r="T29" s="7">
        <v>46454.93</v>
      </c>
      <c r="U29" s="3"/>
      <c r="V29" s="8">
        <f t="shared" si="5"/>
        <v>0</v>
      </c>
      <c r="W29" s="3"/>
      <c r="X29" s="7">
        <f t="shared" si="6"/>
        <v>-1157.1399999999994</v>
      </c>
      <c r="Y29" s="3"/>
      <c r="Z29" s="8">
        <f t="shared" si="7"/>
        <v>-2.4908874042001556E-2</v>
      </c>
    </row>
    <row r="30" spans="1:26" s="68" customFormat="1" ht="15" customHeight="1" outlineLevel="1" collapsed="1" x14ac:dyDescent="0.25">
      <c r="A30" s="26"/>
      <c r="B30" s="14" t="str">
        <f>CONCATENATE("     ","General                                           ")</f>
        <v xml:space="preserve">     General                                           </v>
      </c>
      <c r="C30" s="14"/>
      <c r="D30" s="2">
        <f>SUM(OSRRefD22_2x_0)</f>
        <v>0</v>
      </c>
      <c r="E30" s="2"/>
      <c r="F30" s="6">
        <f t="shared" si="0"/>
        <v>0</v>
      </c>
      <c r="G30" s="2"/>
      <c r="H30" s="2">
        <f>SUM(OSRRefH22_2x_0)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SUM(OSRRefP22_2x_0)</f>
        <v>-1613.22</v>
      </c>
      <c r="Q30" s="2"/>
      <c r="R30" s="6">
        <f t="shared" si="4"/>
        <v>0</v>
      </c>
      <c r="S30" s="2"/>
      <c r="T30" s="2">
        <f>SUM(OSRRefT22_2x_0)</f>
        <v>-238.8</v>
      </c>
      <c r="U30" s="2"/>
      <c r="V30" s="6">
        <f t="shared" si="5"/>
        <v>0</v>
      </c>
      <c r="W30" s="2"/>
      <c r="X30" s="2">
        <f t="shared" si="6"/>
        <v>-1374.42</v>
      </c>
      <c r="Y30" s="2"/>
      <c r="Z30" s="6">
        <f t="shared" si="7"/>
        <v>5.755527638190955</v>
      </c>
    </row>
    <row r="31" spans="1:26" s="69" customFormat="1" ht="15" hidden="1" customHeight="1" outlineLevel="2" x14ac:dyDescent="0.25">
      <c r="A31" s="25"/>
      <c r="B31" s="12" t="str">
        <f>CONCATENATE("          ","6279"," - ","GENERAL EXPENSE")</f>
        <v xml:space="preserve">          6279 - GENERAL EXPENSE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>
        <v>-1613.22</v>
      </c>
      <c r="Q31" s="3"/>
      <c r="R31" s="8">
        <f t="shared" si="4"/>
        <v>0</v>
      </c>
      <c r="S31" s="3"/>
      <c r="T31" s="7">
        <v>-238.8</v>
      </c>
      <c r="U31" s="3"/>
      <c r="V31" s="8">
        <f t="shared" si="5"/>
        <v>0</v>
      </c>
      <c r="W31" s="3"/>
      <c r="X31" s="7">
        <f t="shared" si="6"/>
        <v>-1374.42</v>
      </c>
      <c r="Y31" s="3"/>
      <c r="Z31" s="8">
        <f t="shared" si="7"/>
        <v>5.755527638190955</v>
      </c>
    </row>
    <row r="32" spans="1:26" s="68" customFormat="1" ht="15" customHeight="1" outlineLevel="1" collapsed="1" x14ac:dyDescent="0.25">
      <c r="A32" s="26"/>
      <c r="B32" s="14" t="str">
        <f>CONCATENATE("     ","Insurance                                         ")</f>
        <v xml:space="preserve">     Insurance                                         </v>
      </c>
      <c r="C32" s="14"/>
      <c r="D32" s="2">
        <f>SUM(OSRRefD22_3x_0)</f>
        <v>33.380000000000003</v>
      </c>
      <c r="E32" s="2"/>
      <c r="F32" s="6">
        <f t="shared" si="0"/>
        <v>0</v>
      </c>
      <c r="G32" s="2"/>
      <c r="H32" s="2">
        <f>SUM(OSRRefH22_3x_0)</f>
        <v>24.56</v>
      </c>
      <c r="I32" s="2"/>
      <c r="J32" s="6">
        <f t="shared" si="1"/>
        <v>0</v>
      </c>
      <c r="K32" s="2"/>
      <c r="L32" s="2">
        <f t="shared" si="2"/>
        <v>8.8200000000000038</v>
      </c>
      <c r="M32" s="2"/>
      <c r="N32" s="6">
        <f t="shared" si="3"/>
        <v>0.3591205211726386</v>
      </c>
      <c r="O32" s="14"/>
      <c r="P32" s="2">
        <f>SUM(OSRRefP22_3x_0)</f>
        <v>367.18</v>
      </c>
      <c r="Q32" s="2"/>
      <c r="R32" s="6">
        <f t="shared" si="4"/>
        <v>0</v>
      </c>
      <c r="S32" s="2"/>
      <c r="T32" s="2">
        <f>SUM(OSRRefT22_3x_0)</f>
        <v>270.16000000000003</v>
      </c>
      <c r="U32" s="2"/>
      <c r="V32" s="6">
        <f t="shared" si="5"/>
        <v>0</v>
      </c>
      <c r="W32" s="2"/>
      <c r="X32" s="2">
        <f t="shared" si="6"/>
        <v>97.019999999999982</v>
      </c>
      <c r="Y32" s="2"/>
      <c r="Z32" s="6">
        <f t="shared" si="7"/>
        <v>0.35912052117263832</v>
      </c>
    </row>
    <row r="33" spans="1:26" s="69" customFormat="1" ht="15" hidden="1" customHeight="1" outlineLevel="2" x14ac:dyDescent="0.25">
      <c r="A33" s="25"/>
      <c r="B33" s="12" t="str">
        <f>CONCATENATE("          ","6314"," - ","LIABILITY INSURANCE")</f>
        <v xml:space="preserve">          6314 - LIABILITY INSURANCE</v>
      </c>
      <c r="C33" s="12"/>
      <c r="D33" s="7">
        <v>33.380000000000003</v>
      </c>
      <c r="E33" s="3"/>
      <c r="F33" s="8">
        <f t="shared" si="0"/>
        <v>0</v>
      </c>
      <c r="G33" s="3"/>
      <c r="H33" s="7">
        <v>24.56</v>
      </c>
      <c r="I33" s="3"/>
      <c r="J33" s="8">
        <f t="shared" si="1"/>
        <v>0</v>
      </c>
      <c r="K33" s="3"/>
      <c r="L33" s="7">
        <f t="shared" si="2"/>
        <v>8.8200000000000038</v>
      </c>
      <c r="M33" s="3"/>
      <c r="N33" s="8">
        <f t="shared" si="3"/>
        <v>0.3591205211726386</v>
      </c>
      <c r="O33" s="12"/>
      <c r="P33" s="7">
        <v>367.18</v>
      </c>
      <c r="Q33" s="3"/>
      <c r="R33" s="8">
        <f t="shared" si="4"/>
        <v>0</v>
      </c>
      <c r="S33" s="3"/>
      <c r="T33" s="7">
        <v>270.16000000000003</v>
      </c>
      <c r="U33" s="3"/>
      <c r="V33" s="8">
        <f t="shared" si="5"/>
        <v>0</v>
      </c>
      <c r="W33" s="3"/>
      <c r="X33" s="7">
        <f t="shared" si="6"/>
        <v>97.019999999999982</v>
      </c>
      <c r="Y33" s="3"/>
      <c r="Z33" s="8">
        <f t="shared" si="7"/>
        <v>0.35912052117263832</v>
      </c>
    </row>
    <row r="34" spans="1:26" s="68" customFormat="1" ht="15" customHeight="1" outlineLevel="1" collapsed="1" x14ac:dyDescent="0.25">
      <c r="A34" s="26"/>
      <c r="B34" s="14" t="str">
        <f>CONCATENATE("     ","Repair and Maintenance                            ")</f>
        <v xml:space="preserve">     Repair and Maintenance                            </v>
      </c>
      <c r="C34" s="14"/>
      <c r="D34" s="2">
        <f>SUM(OSRRefD22_4x_0)</f>
        <v>6775.47</v>
      </c>
      <c r="E34" s="2"/>
      <c r="F34" s="6">
        <f t="shared" si="0"/>
        <v>0</v>
      </c>
      <c r="G34" s="2"/>
      <c r="H34" s="2">
        <f>SUM(OSRRefH22_4x_0)</f>
        <v>891.98</v>
      </c>
      <c r="I34" s="2"/>
      <c r="J34" s="6">
        <f t="shared" si="1"/>
        <v>0</v>
      </c>
      <c r="K34" s="2"/>
      <c r="L34" s="2">
        <f t="shared" si="2"/>
        <v>5883.49</v>
      </c>
      <c r="M34" s="2"/>
      <c r="N34" s="6">
        <f t="shared" si="3"/>
        <v>6.5959886992981902</v>
      </c>
      <c r="O34" s="14"/>
      <c r="P34" s="2">
        <f>SUM(OSRRefP22_4x_0)</f>
        <v>18909.609999999997</v>
      </c>
      <c r="Q34" s="2"/>
      <c r="R34" s="6">
        <f t="shared" si="4"/>
        <v>0</v>
      </c>
      <c r="S34" s="2"/>
      <c r="T34" s="2">
        <f>SUM(OSRRefT22_4x_0)</f>
        <v>10960.189999999999</v>
      </c>
      <c r="U34" s="2"/>
      <c r="V34" s="6">
        <f t="shared" si="5"/>
        <v>0</v>
      </c>
      <c r="W34" s="2"/>
      <c r="X34" s="2">
        <f t="shared" si="6"/>
        <v>7949.4199999999983</v>
      </c>
      <c r="Y34" s="2"/>
      <c r="Z34" s="6">
        <f t="shared" si="7"/>
        <v>0.72529947017341845</v>
      </c>
    </row>
    <row r="35" spans="1:26" s="69" customFormat="1" ht="15" hidden="1" customHeight="1" outlineLevel="2" x14ac:dyDescent="0.25">
      <c r="A35" s="25"/>
      <c r="B35" s="12" t="str">
        <f>CONCATENATE("          ","6371"," - ","COMPUTER SOFTWARE MAINTENANCE")</f>
        <v xml:space="preserve">          6371 - COMPUTER SOFTWARE MAINTENANCE</v>
      </c>
      <c r="C35" s="12"/>
      <c r="D35" s="7">
        <v>5739.17</v>
      </c>
      <c r="E35" s="3"/>
      <c r="F35" s="8">
        <f t="shared" si="0"/>
        <v>0</v>
      </c>
      <c r="G35" s="3"/>
      <c r="H35" s="7"/>
      <c r="I35" s="3"/>
      <c r="J35" s="8">
        <f t="shared" si="1"/>
        <v>0</v>
      </c>
      <c r="K35" s="3"/>
      <c r="L35" s="7">
        <f t="shared" si="2"/>
        <v>5739.17</v>
      </c>
      <c r="M35" s="3"/>
      <c r="N35" s="8">
        <f t="shared" si="3"/>
        <v>0</v>
      </c>
      <c r="O35" s="12"/>
      <c r="P35" s="7">
        <v>5739.17</v>
      </c>
      <c r="Q35" s="3"/>
      <c r="R35" s="8">
        <f t="shared" si="4"/>
        <v>0</v>
      </c>
      <c r="S35" s="3"/>
      <c r="T35" s="7"/>
      <c r="U35" s="3"/>
      <c r="V35" s="8">
        <f t="shared" si="5"/>
        <v>0</v>
      </c>
      <c r="W35" s="3"/>
      <c r="X35" s="7">
        <f t="shared" si="6"/>
        <v>5739.17</v>
      </c>
      <c r="Y35" s="3"/>
      <c r="Z35" s="8">
        <f t="shared" si="7"/>
        <v>0</v>
      </c>
    </row>
    <row r="36" spans="1:26" s="69" customFormat="1" ht="15" hidden="1" customHeight="1" outlineLevel="2" x14ac:dyDescent="0.25">
      <c r="A36" s="25"/>
      <c r="B36" s="12" t="str">
        <f>CONCATENATE("          ","6373"," - ","MAINTENANCE CONTRACTS")</f>
        <v xml:space="preserve">          6373 - MAINTENANCE CONTRACTS</v>
      </c>
      <c r="C36" s="12"/>
      <c r="D36" s="7">
        <v>946.3</v>
      </c>
      <c r="E36" s="3"/>
      <c r="F36" s="8">
        <f t="shared" si="0"/>
        <v>0</v>
      </c>
      <c r="G36" s="3"/>
      <c r="H36" s="7">
        <v>891.98</v>
      </c>
      <c r="I36" s="3"/>
      <c r="J36" s="8">
        <f t="shared" si="1"/>
        <v>0</v>
      </c>
      <c r="K36" s="3"/>
      <c r="L36" s="7">
        <f t="shared" si="2"/>
        <v>54.319999999999936</v>
      </c>
      <c r="M36" s="3"/>
      <c r="N36" s="8">
        <f t="shared" si="3"/>
        <v>6.0898226417632609E-2</v>
      </c>
      <c r="O36" s="12"/>
      <c r="P36" s="7">
        <v>12992.18</v>
      </c>
      <c r="Q36" s="3"/>
      <c r="R36" s="8">
        <f t="shared" si="4"/>
        <v>0</v>
      </c>
      <c r="S36" s="3"/>
      <c r="T36" s="7">
        <v>8789.9</v>
      </c>
      <c r="U36" s="3"/>
      <c r="V36" s="8">
        <f t="shared" si="5"/>
        <v>0</v>
      </c>
      <c r="W36" s="3"/>
      <c r="X36" s="7">
        <f t="shared" si="6"/>
        <v>4202.2800000000007</v>
      </c>
      <c r="Y36" s="3"/>
      <c r="Z36" s="8">
        <f t="shared" si="7"/>
        <v>0.47808052423804603</v>
      </c>
    </row>
    <row r="37" spans="1:26" s="69" customFormat="1" ht="15" hidden="1" customHeight="1" outlineLevel="2" x14ac:dyDescent="0.25">
      <c r="A37" s="25"/>
      <c r="B37" s="12" t="str">
        <f>CONCATENATE("          ","6375"," - ","OUTSIDE REPAIRS &amp; MAINTENANCE")</f>
        <v xml:space="preserve">          6375 - OUTSIDE REPAIRS &amp; MAINTENANCE</v>
      </c>
      <c r="C37" s="12"/>
      <c r="D37" s="7">
        <v>90</v>
      </c>
      <c r="E37" s="3"/>
      <c r="F37" s="8">
        <f t="shared" si="0"/>
        <v>0</v>
      </c>
      <c r="G37" s="3"/>
      <c r="H37" s="7"/>
      <c r="I37" s="3"/>
      <c r="J37" s="8">
        <f t="shared" si="1"/>
        <v>0</v>
      </c>
      <c r="K37" s="3"/>
      <c r="L37" s="7">
        <f t="shared" si="2"/>
        <v>90</v>
      </c>
      <c r="M37" s="3"/>
      <c r="N37" s="8">
        <f t="shared" si="3"/>
        <v>0</v>
      </c>
      <c r="O37" s="12"/>
      <c r="P37" s="7">
        <v>178.26</v>
      </c>
      <c r="Q37" s="3"/>
      <c r="R37" s="8">
        <f t="shared" si="4"/>
        <v>0</v>
      </c>
      <c r="S37" s="3"/>
      <c r="T37" s="7">
        <v>2170.29</v>
      </c>
      <c r="U37" s="3"/>
      <c r="V37" s="8">
        <f t="shared" si="5"/>
        <v>0</v>
      </c>
      <c r="W37" s="3"/>
      <c r="X37" s="7">
        <f t="shared" si="6"/>
        <v>-1992.03</v>
      </c>
      <c r="Y37" s="3"/>
      <c r="Z37" s="8">
        <f t="shared" si="7"/>
        <v>-0.91786351132797916</v>
      </c>
    </row>
    <row r="38" spans="1:26" s="68" customFormat="1" ht="15" customHeight="1" outlineLevel="1" collapsed="1" x14ac:dyDescent="0.25">
      <c r="A38" s="26"/>
      <c r="B38" s="14" t="str">
        <f>CONCATENATE("     ","Supplies                                          ")</f>
        <v xml:space="preserve">     Supplies                                          </v>
      </c>
      <c r="C38" s="14"/>
      <c r="D38" s="2">
        <f>SUM(OSRRefD22_5x_0)</f>
        <v>0</v>
      </c>
      <c r="E38" s="2"/>
      <c r="F38" s="6">
        <f t="shared" si="0"/>
        <v>0</v>
      </c>
      <c r="G38" s="2"/>
      <c r="H38" s="2">
        <f>SUM(OSRRefH22_5x_0)</f>
        <v>5217.43</v>
      </c>
      <c r="I38" s="2"/>
      <c r="J38" s="6">
        <f t="shared" si="1"/>
        <v>0</v>
      </c>
      <c r="K38" s="2"/>
      <c r="L38" s="2">
        <f t="shared" si="2"/>
        <v>-5217.43</v>
      </c>
      <c r="M38" s="2"/>
      <c r="N38" s="6">
        <f t="shared" si="3"/>
        <v>-1</v>
      </c>
      <c r="O38" s="14"/>
      <c r="P38" s="2">
        <f>SUM(OSRRefP22_5x_0)</f>
        <v>452.54999999999995</v>
      </c>
      <c r="Q38" s="2"/>
      <c r="R38" s="6">
        <f t="shared" si="4"/>
        <v>0</v>
      </c>
      <c r="S38" s="2"/>
      <c r="T38" s="2">
        <f>SUM(OSRRefT22_5x_0)</f>
        <v>5303.58</v>
      </c>
      <c r="U38" s="2"/>
      <c r="V38" s="6">
        <f t="shared" si="5"/>
        <v>0</v>
      </c>
      <c r="W38" s="2"/>
      <c r="X38" s="2">
        <f t="shared" si="6"/>
        <v>-4851.03</v>
      </c>
      <c r="Y38" s="2"/>
      <c r="Z38" s="6">
        <f t="shared" si="7"/>
        <v>-0.91467084497641216</v>
      </c>
    </row>
    <row r="39" spans="1:26" s="69" customFormat="1" ht="15" hidden="1" customHeight="1" outlineLevel="2" x14ac:dyDescent="0.25">
      <c r="A39" s="25"/>
      <c r="B39" s="12" t="str">
        <f>CONCATENATE("          ","6234"," - ","EXPENDABLE SUPPLIES &amp; EQUIPMEN")</f>
        <v xml:space="preserve">          6234 - EXPENDABLE SUPPLIES &amp; EQUIPMEN</v>
      </c>
      <c r="C39" s="12"/>
      <c r="D39" s="7"/>
      <c r="E39" s="3"/>
      <c r="F39" s="8">
        <f t="shared" si="0"/>
        <v>0</v>
      </c>
      <c r="G39" s="3"/>
      <c r="H39" s="7"/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>
        <v>242.35</v>
      </c>
      <c r="Q39" s="3"/>
      <c r="R39" s="8">
        <f t="shared" si="4"/>
        <v>0</v>
      </c>
      <c r="S39" s="3"/>
      <c r="T39" s="7"/>
      <c r="U39" s="3"/>
      <c r="V39" s="8">
        <f t="shared" si="5"/>
        <v>0</v>
      </c>
      <c r="W39" s="3"/>
      <c r="X39" s="7">
        <f t="shared" si="6"/>
        <v>242.35</v>
      </c>
      <c r="Y39" s="3"/>
      <c r="Z39" s="8">
        <f t="shared" si="7"/>
        <v>0</v>
      </c>
    </row>
    <row r="40" spans="1:26" s="69" customFormat="1" ht="15" hidden="1" customHeight="1" outlineLevel="2" x14ac:dyDescent="0.25">
      <c r="A40" s="25"/>
      <c r="B40" s="12" t="str">
        <f>CONCATENATE("          ","6235"," - ","COVID-19 EXPENSES")</f>
        <v xml:space="preserve">          6235 - COVID-19 EXPENSES</v>
      </c>
      <c r="C40" s="12"/>
      <c r="D40" s="7"/>
      <c r="E40" s="3"/>
      <c r="F40" s="8">
        <f t="shared" si="0"/>
        <v>0</v>
      </c>
      <c r="G40" s="3"/>
      <c r="H40" s="7"/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66.12</v>
      </c>
      <c r="U40" s="3"/>
      <c r="V40" s="8">
        <f t="shared" si="5"/>
        <v>0</v>
      </c>
      <c r="W40" s="3"/>
      <c r="X40" s="7">
        <f t="shared" si="6"/>
        <v>-66.12</v>
      </c>
      <c r="Y40" s="3"/>
      <c r="Z40" s="8">
        <f t="shared" si="7"/>
        <v>-1</v>
      </c>
    </row>
    <row r="41" spans="1:26" s="69" customFormat="1" ht="15" hidden="1" customHeight="1" outlineLevel="2" x14ac:dyDescent="0.25">
      <c r="A41" s="25"/>
      <c r="B41" s="12" t="str">
        <f>CONCATENATE("          ","6241"," - ","OFFICE EXPENSE")</f>
        <v xml:space="preserve">          6241 - OFFICE EXPENSE</v>
      </c>
      <c r="C41" s="12"/>
      <c r="D41" s="7"/>
      <c r="E41" s="3"/>
      <c r="F41" s="8">
        <f t="shared" si="0"/>
        <v>0</v>
      </c>
      <c r="G41" s="3"/>
      <c r="H41" s="7">
        <v>5217.43</v>
      </c>
      <c r="I41" s="3"/>
      <c r="J41" s="8">
        <f t="shared" si="1"/>
        <v>0</v>
      </c>
      <c r="K41" s="3"/>
      <c r="L41" s="7">
        <f t="shared" si="2"/>
        <v>-5217.43</v>
      </c>
      <c r="M41" s="3"/>
      <c r="N41" s="8">
        <f t="shared" si="3"/>
        <v>-1</v>
      </c>
      <c r="O41" s="12"/>
      <c r="P41" s="7">
        <v>210.2</v>
      </c>
      <c r="Q41" s="3"/>
      <c r="R41" s="8">
        <f t="shared" si="4"/>
        <v>0</v>
      </c>
      <c r="S41" s="3"/>
      <c r="T41" s="7">
        <v>5237.46</v>
      </c>
      <c r="U41" s="3"/>
      <c r="V41" s="8">
        <f t="shared" si="5"/>
        <v>0</v>
      </c>
      <c r="W41" s="3"/>
      <c r="X41" s="7">
        <f t="shared" si="6"/>
        <v>-5027.26</v>
      </c>
      <c r="Y41" s="3"/>
      <c r="Z41" s="8">
        <f t="shared" si="7"/>
        <v>-0.95986604193635849</v>
      </c>
    </row>
    <row r="42" spans="1:26" s="68" customFormat="1" ht="15" customHeight="1" outlineLevel="1" collapsed="1" x14ac:dyDescent="0.25">
      <c r="A42" s="26"/>
      <c r="B42" s="14" t="str">
        <f>CONCATENATE("     ","Telephone/Data Lines                              ")</f>
        <v xml:space="preserve">     Telephone/Data Lines                              </v>
      </c>
      <c r="C42" s="14"/>
      <c r="D42" s="2">
        <f>SUM(OSRRefD22_6x_0)</f>
        <v>98</v>
      </c>
      <c r="E42" s="2"/>
      <c r="F42" s="6">
        <f t="shared" si="0"/>
        <v>0</v>
      </c>
      <c r="G42" s="2"/>
      <c r="H42" s="2">
        <f>SUM(OSRRefH22_6x_0)</f>
        <v>98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SUM(OSRRefP22_6x_0)</f>
        <v>1103</v>
      </c>
      <c r="Q42" s="2"/>
      <c r="R42" s="6">
        <f t="shared" si="4"/>
        <v>0</v>
      </c>
      <c r="S42" s="2"/>
      <c r="T42" s="2">
        <f>SUM(OSRRefT22_6x_0)</f>
        <v>607</v>
      </c>
      <c r="U42" s="2"/>
      <c r="V42" s="6">
        <f t="shared" si="5"/>
        <v>0</v>
      </c>
      <c r="W42" s="2"/>
      <c r="X42" s="2">
        <f t="shared" si="6"/>
        <v>496</v>
      </c>
      <c r="Y42" s="2"/>
      <c r="Z42" s="6">
        <f t="shared" si="7"/>
        <v>0.81713344316309722</v>
      </c>
    </row>
    <row r="43" spans="1:26" s="69" customFormat="1" ht="15" hidden="1" customHeight="1" outlineLevel="2" x14ac:dyDescent="0.25">
      <c r="A43" s="25"/>
      <c r="B43" s="12" t="str">
        <f>CONCATENATE("          ","6309"," - ","TELEPHONE")</f>
        <v xml:space="preserve">          6309 - TELEPHONE</v>
      </c>
      <c r="C43" s="12"/>
      <c r="D43" s="7">
        <v>98</v>
      </c>
      <c r="E43" s="3"/>
      <c r="F43" s="8">
        <f t="shared" si="0"/>
        <v>0</v>
      </c>
      <c r="G43" s="3"/>
      <c r="H43" s="7">
        <v>98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>
        <v>1103</v>
      </c>
      <c r="Q43" s="3"/>
      <c r="R43" s="8">
        <f t="shared" si="4"/>
        <v>0</v>
      </c>
      <c r="S43" s="3"/>
      <c r="T43" s="7">
        <v>607</v>
      </c>
      <c r="U43" s="3"/>
      <c r="V43" s="8">
        <f t="shared" si="5"/>
        <v>0</v>
      </c>
      <c r="W43" s="3"/>
      <c r="X43" s="7">
        <f t="shared" si="6"/>
        <v>496</v>
      </c>
      <c r="Y43" s="3"/>
      <c r="Z43" s="8">
        <f t="shared" si="7"/>
        <v>0.81713344316309722</v>
      </c>
    </row>
    <row r="44" spans="1:26" s="64" customFormat="1" ht="15" customHeight="1" x14ac:dyDescent="0.25">
      <c r="A44" s="36"/>
      <c r="B44" s="36"/>
      <c r="C44" s="36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36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62" customFormat="1" ht="15" customHeight="1" x14ac:dyDescent="0.25">
      <c r="A45" s="11"/>
      <c r="B45" s="28" t="s">
        <v>290</v>
      </c>
      <c r="C45" s="11"/>
      <c r="D45" s="5">
        <f>SUM(0)</f>
        <v>0</v>
      </c>
      <c r="E45" s="5"/>
      <c r="F45" s="13">
        <f>IF(D$12=0,0,D45/D$12)</f>
        <v>0</v>
      </c>
      <c r="G45" s="5"/>
      <c r="H45" s="5">
        <f>SUM(0)</f>
        <v>0</v>
      </c>
      <c r="I45" s="5"/>
      <c r="J45" s="13">
        <f>IF(H$12=0,0,H45/H$12)</f>
        <v>0</v>
      </c>
      <c r="K45" s="5"/>
      <c r="L45" s="5">
        <f>+D45-H45</f>
        <v>0</v>
      </c>
      <c r="M45" s="5"/>
      <c r="N45" s="13">
        <f>IF(H45=0,0,L45/H45)</f>
        <v>0</v>
      </c>
      <c r="O45" s="11"/>
      <c r="P45" s="5">
        <f>SUM(0)</f>
        <v>0</v>
      </c>
      <c r="Q45" s="5"/>
      <c r="R45" s="13">
        <f>IF(P$12=0,0,P45/P$12)</f>
        <v>0</v>
      </c>
      <c r="S45" s="5"/>
      <c r="T45" s="5">
        <f>SUM(0)</f>
        <v>0</v>
      </c>
      <c r="U45" s="5"/>
      <c r="V45" s="13">
        <f>IF(T$12=0,0,T45/T$12)</f>
        <v>0</v>
      </c>
      <c r="W45" s="5"/>
      <c r="X45" s="5">
        <f>+P45-T45</f>
        <v>0</v>
      </c>
      <c r="Y45" s="5"/>
      <c r="Z45" s="13">
        <f>IF(T45=0,0,X45/T45)</f>
        <v>0</v>
      </c>
    </row>
    <row r="46" spans="1:26" ht="15" customHeight="1" x14ac:dyDescent="0.25">
      <c r="A46" s="10"/>
      <c r="B46" s="11"/>
      <c r="C46" s="11"/>
      <c r="D46" s="4"/>
      <c r="E46" s="4"/>
      <c r="F46" s="9"/>
      <c r="G46" s="4"/>
      <c r="H46" s="4"/>
      <c r="I46" s="4"/>
      <c r="J46" s="9"/>
      <c r="K46" s="4"/>
      <c r="L46" s="4"/>
      <c r="M46" s="4"/>
      <c r="N46" s="9"/>
      <c r="O46" s="11"/>
      <c r="P46" s="4"/>
      <c r="Q46" s="4"/>
      <c r="R46" s="9"/>
      <c r="S46" s="4"/>
      <c r="T46" s="4"/>
      <c r="U46" s="4"/>
      <c r="V46" s="9"/>
      <c r="W46" s="4"/>
      <c r="X46" s="4"/>
      <c r="Y46" s="4"/>
      <c r="Z46" s="9"/>
    </row>
    <row r="47" spans="1:26" s="62" customFormat="1" ht="15" customHeight="1" x14ac:dyDescent="0.25">
      <c r="A47" s="11"/>
      <c r="B47" s="27" t="s">
        <v>291</v>
      </c>
      <c r="C47" s="27"/>
      <c r="D47" s="22">
        <f>+D16-D18+D45</f>
        <v>-13585.849999999999</v>
      </c>
      <c r="E47" s="15"/>
      <c r="F47" s="23">
        <f>IF(D$12=0,0,D47/D$12)</f>
        <v>0</v>
      </c>
      <c r="G47" s="15"/>
      <c r="H47" s="22">
        <f>+H16-H18+H45</f>
        <v>-12938.990000000002</v>
      </c>
      <c r="I47" s="15"/>
      <c r="J47" s="23">
        <f>IF(H$12=0,0,H47/H$12)</f>
        <v>0</v>
      </c>
      <c r="K47" s="16"/>
      <c r="L47" s="22">
        <f>+D47-H47</f>
        <v>-646.85999999999694</v>
      </c>
      <c r="M47" s="16"/>
      <c r="N47" s="23">
        <f>IF(H47=0,0,L47/H47)</f>
        <v>4.9993082922237121E-2</v>
      </c>
      <c r="O47" s="28"/>
      <c r="P47" s="22">
        <f>+P16-P18+P45</f>
        <v>-94527.72</v>
      </c>
      <c r="Q47" s="15"/>
      <c r="R47" s="23">
        <f>IF(P$12=0,0,P47/P$12)</f>
        <v>0</v>
      </c>
      <c r="S47" s="15"/>
      <c r="T47" s="22">
        <f>+T16-T18+T45</f>
        <v>-91512.839999999982</v>
      </c>
      <c r="U47" s="15"/>
      <c r="V47" s="23">
        <f>IF(T$12=0,0,T47/T$12)</f>
        <v>0</v>
      </c>
      <c r="W47" s="16"/>
      <c r="X47" s="22">
        <f>+P47-T47</f>
        <v>-3014.8800000000192</v>
      </c>
      <c r="Y47" s="16"/>
      <c r="Z47" s="23">
        <f>IF(T47=0,0,X47/T47)</f>
        <v>3.2944885111204282E-2</v>
      </c>
    </row>
    <row r="48" spans="1:26" ht="15" customHeight="1" x14ac:dyDescent="0.25">
      <c r="A48" s="10"/>
      <c r="B48" s="11"/>
      <c r="C48" s="10"/>
      <c r="D48" s="4"/>
      <c r="E48" s="4"/>
      <c r="F48" s="9"/>
      <c r="G48" s="4"/>
      <c r="H48" s="4"/>
      <c r="I48" s="4"/>
      <c r="J48" s="9"/>
      <c r="K48" s="4"/>
      <c r="L48" s="4"/>
      <c r="M48" s="4"/>
      <c r="N48" s="9"/>
      <c r="P48" s="4"/>
      <c r="Q48" s="4"/>
      <c r="R48" s="9"/>
      <c r="S48" s="4"/>
      <c r="T48" s="4"/>
      <c r="U48" s="4"/>
      <c r="V48" s="9"/>
      <c r="W48" s="4"/>
      <c r="X48" s="4"/>
      <c r="Y48" s="4"/>
      <c r="Z48" s="9"/>
    </row>
    <row r="49" spans="1:26" s="62" customFormat="1" ht="15" customHeight="1" x14ac:dyDescent="0.25">
      <c r="A49" s="48"/>
      <c r="B49" s="11" t="s">
        <v>292</v>
      </c>
      <c r="C49" s="11"/>
      <c r="D49" s="5"/>
      <c r="E49" s="5"/>
      <c r="F49" s="13">
        <f>IF(D$12=0,0,D49/D$12)</f>
        <v>0</v>
      </c>
      <c r="G49" s="5"/>
      <c r="H49" s="5"/>
      <c r="I49" s="5"/>
      <c r="J49" s="13">
        <f>IF(H$12=0,0,H49/H$12)</f>
        <v>0</v>
      </c>
      <c r="K49" s="5"/>
      <c r="L49" s="5">
        <f>+D49-H49</f>
        <v>0</v>
      </c>
      <c r="M49" s="5"/>
      <c r="N49" s="13">
        <f>IF(H49=0,0,L49/H49)</f>
        <v>0</v>
      </c>
      <c r="O49" s="11"/>
      <c r="P49" s="5"/>
      <c r="Q49" s="5"/>
      <c r="R49" s="13">
        <f>IF(P$12=0,0,P49/P$12)</f>
        <v>0</v>
      </c>
      <c r="S49" s="5"/>
      <c r="T49" s="5"/>
      <c r="U49" s="5"/>
      <c r="V49" s="13">
        <f>IF(T$12=0,0,T49/T$12)</f>
        <v>0</v>
      </c>
      <c r="W49" s="5"/>
      <c r="X49" s="5">
        <f>+P49-T49</f>
        <v>0</v>
      </c>
      <c r="Y49" s="5"/>
      <c r="Z49" s="13">
        <f>IF(T49=0,0,X49/T49)</f>
        <v>0</v>
      </c>
    </row>
    <row r="50" spans="1:26" ht="15" customHeight="1" x14ac:dyDescent="0.25">
      <c r="A50" s="10"/>
      <c r="B50" s="11"/>
      <c r="C50" s="11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O50" s="11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25">
      <c r="A51" s="11"/>
      <c r="B51" s="27" t="s">
        <v>293</v>
      </c>
      <c r="C51" s="27"/>
      <c r="D51" s="35">
        <f>+D47-D49</f>
        <v>-13585.849999999999</v>
      </c>
      <c r="E51" s="15"/>
      <c r="F51" s="30">
        <f>IF(D$12=0,0,D51/D$12)</f>
        <v>0</v>
      </c>
      <c r="G51" s="15"/>
      <c r="H51" s="35">
        <f>+H47-H49</f>
        <v>-12938.990000000002</v>
      </c>
      <c r="I51" s="15"/>
      <c r="J51" s="30">
        <f>IF(H$12=0,0,H51/H$12)</f>
        <v>0</v>
      </c>
      <c r="K51" s="16"/>
      <c r="L51" s="35">
        <f>D51-H51</f>
        <v>-646.85999999999694</v>
      </c>
      <c r="M51" s="16"/>
      <c r="N51" s="30">
        <f>IF(H51=0,0,L51/H51)</f>
        <v>4.9993082922237121E-2</v>
      </c>
      <c r="O51" s="28"/>
      <c r="P51" s="35">
        <f>+P47-P49</f>
        <v>-94527.72</v>
      </c>
      <c r="Q51" s="15"/>
      <c r="R51" s="30">
        <f>IF(P$12=0,0,P51/P$12)</f>
        <v>0</v>
      </c>
      <c r="S51" s="15"/>
      <c r="T51" s="35">
        <f>+T47-T49</f>
        <v>-91512.839999999982</v>
      </c>
      <c r="U51" s="15"/>
      <c r="V51" s="30">
        <f>IF(T$12=0,0,T51/T$12)</f>
        <v>0</v>
      </c>
      <c r="W51" s="16"/>
      <c r="X51" s="35">
        <f>P51-T51</f>
        <v>-3014.8800000000192</v>
      </c>
      <c r="Y51" s="16"/>
      <c r="Z51" s="30">
        <f>IF(T51=0,0,X51/T51)</f>
        <v>3.2944885111204282E-2</v>
      </c>
    </row>
    <row r="52" spans="1:26" ht="15" customHeight="1" x14ac:dyDescent="0.25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ht="15" customHeight="1" x14ac:dyDescent="0.25">
      <c r="A53" s="10"/>
      <c r="B53" s="10"/>
      <c r="C53" s="10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s="62" customFormat="1" ht="15" customHeight="1" x14ac:dyDescent="0.25">
      <c r="A54" s="11"/>
      <c r="B54" s="27" t="s">
        <v>296</v>
      </c>
      <c r="C54" s="27"/>
      <c r="D54" s="32">
        <f>SUM(D51:D53)</f>
        <v>-13585.849999999999</v>
      </c>
      <c r="E54" s="15"/>
      <c r="F54" s="34">
        <f>IF(D$12=0,0,D54/D$12)</f>
        <v>0</v>
      </c>
      <c r="G54" s="15"/>
      <c r="H54" s="32">
        <f>SUM(H51:H53)</f>
        <v>-12938.990000000002</v>
      </c>
      <c r="I54" s="15"/>
      <c r="J54" s="34">
        <f>IF(H$12=0,0,H54/H$12)</f>
        <v>0</v>
      </c>
      <c r="K54" s="16"/>
      <c r="L54" s="32">
        <f>+D54-H54</f>
        <v>-646.85999999999694</v>
      </c>
      <c r="M54" s="16"/>
      <c r="N54" s="34">
        <f>IF(H54=0,0,L54/H54)</f>
        <v>4.9993082922237121E-2</v>
      </c>
      <c r="O54" s="28"/>
      <c r="P54" s="32">
        <f>SUM(P51:P53)</f>
        <v>-94527.72</v>
      </c>
      <c r="Q54" s="15"/>
      <c r="R54" s="34">
        <f>IF(P$12=0,0,P54/P$12)</f>
        <v>0</v>
      </c>
      <c r="S54" s="15"/>
      <c r="T54" s="32">
        <f>SUM(T51:T53)</f>
        <v>-91512.839999999982</v>
      </c>
      <c r="U54" s="15"/>
      <c r="V54" s="34">
        <f>IF(T$12=0,0,T54/T$12)</f>
        <v>0</v>
      </c>
      <c r="W54" s="16"/>
      <c r="X54" s="32">
        <f>+P54-T54</f>
        <v>-3014.8800000000192</v>
      </c>
      <c r="Y54" s="16"/>
      <c r="Z54" s="34">
        <f>IF(T54=0,0,X54/T54)</f>
        <v>3.2944885111204282E-2</v>
      </c>
    </row>
    <row r="55" spans="1:26" ht="15" customHeight="1" x14ac:dyDescent="0.25">
      <c r="A55" s="10"/>
      <c r="C55" s="10"/>
      <c r="D55" s="18"/>
      <c r="E55" s="18"/>
      <c r="G55" s="18"/>
      <c r="H55" s="18"/>
      <c r="I55" s="18"/>
      <c r="J55" s="41"/>
      <c r="K55" s="18"/>
      <c r="L55" s="18"/>
      <c r="M55" s="18"/>
      <c r="P55" s="18"/>
      <c r="Q55" s="18"/>
      <c r="R55" s="41"/>
      <c r="S55" s="18"/>
      <c r="T55" s="18"/>
      <c r="U55" s="18"/>
      <c r="V55" s="41"/>
      <c r="W55" s="18"/>
      <c r="X55" s="18"/>
    </row>
    <row r="56" spans="1:26" ht="15" customHeight="1" x14ac:dyDescent="0.25">
      <c r="A56" s="10"/>
      <c r="B56" s="50">
        <v>44727.879654085649</v>
      </c>
      <c r="D56" s="18"/>
      <c r="E56" s="18"/>
      <c r="G56" s="18"/>
      <c r="H56" s="18"/>
      <c r="I56" s="18"/>
      <c r="J56" s="41"/>
      <c r="K56" s="18"/>
      <c r="L56" s="18"/>
      <c r="M56" s="18"/>
      <c r="P56" s="18"/>
      <c r="Q56" s="18"/>
      <c r="R56" s="41"/>
      <c r="S56" s="18"/>
      <c r="T56" s="18"/>
      <c r="U56" s="18"/>
      <c r="V56" s="41"/>
      <c r="W56" s="18"/>
      <c r="X56" s="18"/>
    </row>
    <row r="57" spans="1:26" ht="15" customHeight="1" x14ac:dyDescent="0.25">
      <c r="A57" s="10"/>
      <c r="B57" s="53" t="s">
        <v>297</v>
      </c>
      <c r="D57" s="18"/>
      <c r="E57" s="18"/>
      <c r="G57" s="18"/>
      <c r="H57" s="18"/>
      <c r="I57" s="18"/>
      <c r="J57" s="41"/>
      <c r="K57" s="18"/>
      <c r="L57" s="18"/>
      <c r="M57" s="18"/>
      <c r="P57" s="18"/>
      <c r="Q57" s="18"/>
      <c r="R57" s="41"/>
      <c r="S57" s="18"/>
      <c r="T57" s="18"/>
      <c r="U57" s="18"/>
      <c r="V57" s="41"/>
      <c r="W57" s="18"/>
      <c r="X57" s="18"/>
    </row>
    <row r="58" spans="1:26" ht="15" customHeight="1" x14ac:dyDescent="0.25">
      <c r="A58" s="10"/>
      <c r="B58" s="55"/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  <row r="59" spans="1:26" ht="15" customHeight="1" x14ac:dyDescent="0.25">
      <c r="D59" s="18"/>
      <c r="E59" s="18"/>
      <c r="G59" s="18"/>
      <c r="H59" s="18"/>
      <c r="I59" s="18"/>
      <c r="J59" s="41"/>
      <c r="K59" s="18"/>
      <c r="L59" s="18"/>
      <c r="M59" s="18"/>
      <c r="P59" s="18"/>
      <c r="Q59" s="18"/>
      <c r="R59" s="41"/>
      <c r="S59" s="18"/>
      <c r="T59" s="18"/>
      <c r="U59" s="18"/>
      <c r="V59" s="41"/>
      <c r="W59" s="18"/>
      <c r="X5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E88CC-1EB9-A519-A47A-E93FA3315DC5}">
  <sheetPr>
    <tabColor rgb="FF92D050"/>
    <outlinePr summaryBelow="0" summaryRight="0"/>
  </sheetPr>
  <dimension ref="A2:Z5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","206"," - ","Communications")</f>
        <v>Department 206 - Communications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10014.049999999999</v>
      </c>
      <c r="E18" s="21"/>
      <c r="F18" s="31">
        <f t="shared" ref="F18:F42" si="0">IF(D$12=0,0,D18/D$12)</f>
        <v>0</v>
      </c>
      <c r="G18" s="21"/>
      <c r="H18" s="21" cm="1">
        <f t="array" ref="H18">SUM(OSRRefH22x_0)</f>
        <v>8033.21</v>
      </c>
      <c r="I18" s="21"/>
      <c r="J18" s="31">
        <f t="shared" ref="J18:J42" si="1">IF(H$12=0,0,H18/H$12)</f>
        <v>0</v>
      </c>
      <c r="K18" s="5"/>
      <c r="L18" s="21">
        <f t="shared" ref="L18:L42" si="2">+D18-H18</f>
        <v>1980.8399999999992</v>
      </c>
      <c r="M18" s="5"/>
      <c r="N18" s="31">
        <f t="shared" ref="N18:N42" si="3">IF(H18=0,0,L18/H18)</f>
        <v>0.24658137905021768</v>
      </c>
      <c r="O18" s="11"/>
      <c r="P18" s="21" cm="1">
        <f t="array" ref="P18">SUM(OSRRefP22x_0)</f>
        <v>99624.959999999992</v>
      </c>
      <c r="Q18" s="21"/>
      <c r="R18" s="31">
        <f t="shared" ref="R18:R42" si="4">IF(P$12=0,0,P18/P$12)</f>
        <v>0</v>
      </c>
      <c r="S18" s="21"/>
      <c r="T18" s="21" cm="1">
        <f t="array" ref="T18">SUM(OSRRefT22x_0)</f>
        <v>95898.010000000009</v>
      </c>
      <c r="U18" s="21"/>
      <c r="V18" s="31">
        <f t="shared" ref="V18:V42" si="5">IF(T$12=0,0,T18/T$12)</f>
        <v>0</v>
      </c>
      <c r="W18" s="5"/>
      <c r="X18" s="21">
        <f t="shared" ref="X18:X42" si="6">+P18-T18</f>
        <v>3726.9499999999825</v>
      </c>
      <c r="Y18" s="5"/>
      <c r="Z18" s="31">
        <f t="shared" ref="Z18:Z42" si="7">IF(T18=0,0,X18/T18)</f>
        <v>3.8863684449760558E-2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1612.1100000000001</v>
      </c>
      <c r="E19" s="2"/>
      <c r="F19" s="6">
        <f t="shared" si="0"/>
        <v>0</v>
      </c>
      <c r="G19" s="2"/>
      <c r="H19" s="2">
        <f>SUM(OSRRefH22_0x_0)</f>
        <v>1969.94</v>
      </c>
      <c r="I19" s="2"/>
      <c r="J19" s="6">
        <f t="shared" si="1"/>
        <v>0</v>
      </c>
      <c r="K19" s="2"/>
      <c r="L19" s="2">
        <f t="shared" si="2"/>
        <v>-357.82999999999993</v>
      </c>
      <c r="M19" s="2"/>
      <c r="N19" s="6">
        <f t="shared" si="3"/>
        <v>-0.18164512624749987</v>
      </c>
      <c r="O19" s="14"/>
      <c r="P19" s="2">
        <f>SUM(OSRRefP22_0x_0)</f>
        <v>19596.030000000002</v>
      </c>
      <c r="Q19" s="2"/>
      <c r="R19" s="6">
        <f t="shared" si="4"/>
        <v>0</v>
      </c>
      <c r="S19" s="2"/>
      <c r="T19" s="2">
        <f>SUM(OSRRefT22_0x_0)</f>
        <v>20092.810000000001</v>
      </c>
      <c r="U19" s="2"/>
      <c r="V19" s="6">
        <f t="shared" si="5"/>
        <v>0</v>
      </c>
      <c r="W19" s="2"/>
      <c r="X19" s="2">
        <f t="shared" si="6"/>
        <v>-496.77999999999884</v>
      </c>
      <c r="Y19" s="2"/>
      <c r="Z19" s="6">
        <f t="shared" si="7"/>
        <v>-2.4724267038806359E-2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>
        <v>626.75</v>
      </c>
      <c r="E20" s="3"/>
      <c r="F20" s="8">
        <f t="shared" si="0"/>
        <v>0</v>
      </c>
      <c r="G20" s="3"/>
      <c r="H20" s="7">
        <v>347.4</v>
      </c>
      <c r="I20" s="3"/>
      <c r="J20" s="8">
        <f t="shared" si="1"/>
        <v>0</v>
      </c>
      <c r="K20" s="3"/>
      <c r="L20" s="7">
        <f t="shared" si="2"/>
        <v>279.35000000000002</v>
      </c>
      <c r="M20" s="3"/>
      <c r="N20" s="8">
        <f t="shared" si="3"/>
        <v>0.80411629245826144</v>
      </c>
      <c r="O20" s="12"/>
      <c r="P20" s="7">
        <v>5562.31</v>
      </c>
      <c r="Q20" s="3"/>
      <c r="R20" s="8">
        <f t="shared" si="4"/>
        <v>0</v>
      </c>
      <c r="S20" s="3"/>
      <c r="T20" s="7">
        <v>4444.2700000000004</v>
      </c>
      <c r="U20" s="3"/>
      <c r="V20" s="8">
        <f t="shared" si="5"/>
        <v>0</v>
      </c>
      <c r="W20" s="3"/>
      <c r="X20" s="7">
        <f t="shared" si="6"/>
        <v>1118.04</v>
      </c>
      <c r="Y20" s="3"/>
      <c r="Z20" s="8">
        <f t="shared" si="7"/>
        <v>0.25156887407830753</v>
      </c>
    </row>
    <row r="21" spans="1:26" s="69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7">
        <v>156.13999999999999</v>
      </c>
      <c r="E21" s="3"/>
      <c r="F21" s="8">
        <f t="shared" si="0"/>
        <v>0</v>
      </c>
      <c r="G21" s="3"/>
      <c r="H21" s="7">
        <v>28.67</v>
      </c>
      <c r="I21" s="3"/>
      <c r="J21" s="8">
        <f t="shared" si="1"/>
        <v>0</v>
      </c>
      <c r="K21" s="3"/>
      <c r="L21" s="7">
        <f t="shared" si="2"/>
        <v>127.46999999999998</v>
      </c>
      <c r="M21" s="3"/>
      <c r="N21" s="8">
        <f t="shared" si="3"/>
        <v>4.4461109173351927</v>
      </c>
      <c r="O21" s="12"/>
      <c r="P21" s="7">
        <v>1036.17</v>
      </c>
      <c r="Q21" s="3"/>
      <c r="R21" s="8">
        <f t="shared" si="4"/>
        <v>0</v>
      </c>
      <c r="S21" s="3"/>
      <c r="T21" s="7">
        <v>235.66</v>
      </c>
      <c r="U21" s="3"/>
      <c r="V21" s="8">
        <f t="shared" si="5"/>
        <v>0</v>
      </c>
      <c r="W21" s="3"/>
      <c r="X21" s="7">
        <f t="shared" si="6"/>
        <v>800.5100000000001</v>
      </c>
      <c r="Y21" s="3"/>
      <c r="Z21" s="8">
        <f t="shared" si="7"/>
        <v>3.3968853432911827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>
        <v>39.83</v>
      </c>
      <c r="E22" s="3"/>
      <c r="F22" s="8">
        <f t="shared" si="0"/>
        <v>0</v>
      </c>
      <c r="G22" s="3"/>
      <c r="H22" s="7">
        <v>704.62</v>
      </c>
      <c r="I22" s="3"/>
      <c r="J22" s="8">
        <f t="shared" si="1"/>
        <v>0</v>
      </c>
      <c r="K22" s="3"/>
      <c r="L22" s="7">
        <f t="shared" si="2"/>
        <v>-664.79</v>
      </c>
      <c r="M22" s="3"/>
      <c r="N22" s="8">
        <f t="shared" si="3"/>
        <v>-0.94347307768726396</v>
      </c>
      <c r="O22" s="12"/>
      <c r="P22" s="7">
        <v>4415.62</v>
      </c>
      <c r="Q22" s="3"/>
      <c r="R22" s="8">
        <f t="shared" si="4"/>
        <v>0</v>
      </c>
      <c r="S22" s="3"/>
      <c r="T22" s="7">
        <v>7728.32</v>
      </c>
      <c r="U22" s="3"/>
      <c r="V22" s="8">
        <f t="shared" si="5"/>
        <v>0</v>
      </c>
      <c r="W22" s="3"/>
      <c r="X22" s="7">
        <f t="shared" si="6"/>
        <v>-3312.7</v>
      </c>
      <c r="Y22" s="3"/>
      <c r="Z22" s="8">
        <f t="shared" si="7"/>
        <v>-0.42864425903689285</v>
      </c>
    </row>
    <row r="23" spans="1:26" s="69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7">
        <v>31.47</v>
      </c>
      <c r="E23" s="3"/>
      <c r="F23" s="8">
        <f t="shared" si="0"/>
        <v>0</v>
      </c>
      <c r="G23" s="3"/>
      <c r="H23" s="7">
        <v>22.59</v>
      </c>
      <c r="I23" s="3"/>
      <c r="J23" s="8">
        <f t="shared" si="1"/>
        <v>0</v>
      </c>
      <c r="K23" s="3"/>
      <c r="L23" s="7">
        <f t="shared" si="2"/>
        <v>8.879999999999999</v>
      </c>
      <c r="M23" s="3"/>
      <c r="N23" s="8">
        <f t="shared" si="3"/>
        <v>0.39309428950863212</v>
      </c>
      <c r="O23" s="12"/>
      <c r="P23" s="7">
        <v>208.85</v>
      </c>
      <c r="Q23" s="3"/>
      <c r="R23" s="8">
        <f t="shared" si="4"/>
        <v>0</v>
      </c>
      <c r="S23" s="3"/>
      <c r="T23" s="7">
        <v>185.68</v>
      </c>
      <c r="U23" s="3"/>
      <c r="V23" s="8">
        <f t="shared" si="5"/>
        <v>0</v>
      </c>
      <c r="W23" s="3"/>
      <c r="X23" s="7">
        <f t="shared" si="6"/>
        <v>23.169999999999987</v>
      </c>
      <c r="Y23" s="3"/>
      <c r="Z23" s="8">
        <f t="shared" si="7"/>
        <v>0.12478457561395943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/>
      <c r="E24" s="3"/>
      <c r="F24" s="8">
        <f t="shared" si="0"/>
        <v>0</v>
      </c>
      <c r="G24" s="3"/>
      <c r="H24" s="7">
        <v>368.66</v>
      </c>
      <c r="I24" s="3"/>
      <c r="J24" s="8">
        <f t="shared" si="1"/>
        <v>0</v>
      </c>
      <c r="K24" s="3"/>
      <c r="L24" s="7">
        <f t="shared" si="2"/>
        <v>-368.66</v>
      </c>
      <c r="M24" s="3"/>
      <c r="N24" s="8">
        <f t="shared" si="3"/>
        <v>-1</v>
      </c>
      <c r="O24" s="12"/>
      <c r="P24" s="7"/>
      <c r="Q24" s="3"/>
      <c r="R24" s="8">
        <f t="shared" si="4"/>
        <v>0</v>
      </c>
      <c r="S24" s="3"/>
      <c r="T24" s="7">
        <v>1916.48</v>
      </c>
      <c r="U24" s="3"/>
      <c r="V24" s="8">
        <f t="shared" si="5"/>
        <v>0</v>
      </c>
      <c r="W24" s="3"/>
      <c r="X24" s="7">
        <f t="shared" si="6"/>
        <v>-1916.48</v>
      </c>
      <c r="Y24" s="3"/>
      <c r="Z24" s="8">
        <f t="shared" si="7"/>
        <v>-1</v>
      </c>
    </row>
    <row r="25" spans="1:26" s="69" customFormat="1" ht="15" hidden="1" customHeight="1" outlineLevel="2" x14ac:dyDescent="0.25">
      <c r="A25" s="25"/>
      <c r="B25" s="12" t="str">
        <f>CONCATENATE("          ","6118"," - ","VACATION")</f>
        <v xml:space="preserve">          6118 - VACATION</v>
      </c>
      <c r="C25" s="12"/>
      <c r="D25" s="7">
        <v>287.66000000000003</v>
      </c>
      <c r="E25" s="3"/>
      <c r="F25" s="8">
        <f t="shared" si="0"/>
        <v>0</v>
      </c>
      <c r="G25" s="3"/>
      <c r="H25" s="7">
        <v>276.60000000000002</v>
      </c>
      <c r="I25" s="3"/>
      <c r="J25" s="8">
        <f t="shared" si="1"/>
        <v>0</v>
      </c>
      <c r="K25" s="3"/>
      <c r="L25" s="7">
        <f t="shared" si="2"/>
        <v>11.060000000000002</v>
      </c>
      <c r="M25" s="3"/>
      <c r="N25" s="8">
        <f t="shared" si="3"/>
        <v>3.9985538684020251E-2</v>
      </c>
      <c r="O25" s="12"/>
      <c r="P25" s="7">
        <v>3458.95</v>
      </c>
      <c r="Q25" s="3"/>
      <c r="R25" s="8">
        <f t="shared" si="4"/>
        <v>0</v>
      </c>
      <c r="S25" s="3"/>
      <c r="T25" s="7">
        <v>2814.9</v>
      </c>
      <c r="U25" s="3"/>
      <c r="V25" s="8">
        <f t="shared" si="5"/>
        <v>0</v>
      </c>
      <c r="W25" s="3"/>
      <c r="X25" s="7">
        <f t="shared" si="6"/>
        <v>644.04999999999973</v>
      </c>
      <c r="Y25" s="3"/>
      <c r="Z25" s="8">
        <f t="shared" si="7"/>
        <v>0.22880031262211792</v>
      </c>
    </row>
    <row r="26" spans="1:26" s="69" customFormat="1" ht="15" hidden="1" customHeight="1" outlineLevel="2" x14ac:dyDescent="0.25">
      <c r="A26" s="25"/>
      <c r="B26" s="12" t="str">
        <f>CONCATENATE("          ","6119"," - ","SICK LEAVE")</f>
        <v xml:space="preserve">          6119 - SICK LEAVE</v>
      </c>
      <c r="C26" s="12"/>
      <c r="D26" s="7">
        <v>230.26</v>
      </c>
      <c r="E26" s="3"/>
      <c r="F26" s="8">
        <f t="shared" si="0"/>
        <v>0</v>
      </c>
      <c r="G26" s="3"/>
      <c r="H26" s="7">
        <v>221.4</v>
      </c>
      <c r="I26" s="3"/>
      <c r="J26" s="8">
        <f t="shared" si="1"/>
        <v>0</v>
      </c>
      <c r="K26" s="3"/>
      <c r="L26" s="7">
        <f t="shared" si="2"/>
        <v>8.8599999999999852</v>
      </c>
      <c r="M26" s="3"/>
      <c r="N26" s="8">
        <f t="shared" si="3"/>
        <v>4.0018066847335075E-2</v>
      </c>
      <c r="O26" s="12"/>
      <c r="P26" s="7">
        <v>3032.66</v>
      </c>
      <c r="Q26" s="3"/>
      <c r="R26" s="8">
        <f t="shared" si="4"/>
        <v>0</v>
      </c>
      <c r="S26" s="3"/>
      <c r="T26" s="7">
        <v>2767.5</v>
      </c>
      <c r="U26" s="3"/>
      <c r="V26" s="8">
        <f t="shared" si="5"/>
        <v>0</v>
      </c>
      <c r="W26" s="3"/>
      <c r="X26" s="7">
        <f t="shared" si="6"/>
        <v>265.15999999999985</v>
      </c>
      <c r="Y26" s="3"/>
      <c r="Z26" s="8">
        <f t="shared" si="7"/>
        <v>9.5812104787714486E-2</v>
      </c>
    </row>
    <row r="27" spans="1:26" s="69" customFormat="1" ht="15" hidden="1" customHeight="1" outlineLevel="2" x14ac:dyDescent="0.25">
      <c r="A27" s="25"/>
      <c r="B27" s="12" t="str">
        <f>CONCATENATE("          ","6156"," - ","EMPLOYEE MEALS")</f>
        <v xml:space="preserve">          6156 - EMPLOYEE MEALS</v>
      </c>
      <c r="C27" s="12"/>
      <c r="D27" s="7">
        <v>240</v>
      </c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240</v>
      </c>
      <c r="M27" s="3"/>
      <c r="N27" s="8">
        <f t="shared" si="3"/>
        <v>0</v>
      </c>
      <c r="O27" s="12"/>
      <c r="P27" s="7">
        <v>1881.47</v>
      </c>
      <c r="Q27" s="3"/>
      <c r="R27" s="8">
        <f t="shared" si="4"/>
        <v>0</v>
      </c>
      <c r="S27" s="3"/>
      <c r="T27" s="7"/>
      <c r="U27" s="3"/>
      <c r="V27" s="8">
        <f t="shared" si="5"/>
        <v>0</v>
      </c>
      <c r="W27" s="3"/>
      <c r="X27" s="7">
        <f t="shared" si="6"/>
        <v>1881.47</v>
      </c>
      <c r="Y27" s="3"/>
      <c r="Z27" s="8">
        <f t="shared" si="7"/>
        <v>0</v>
      </c>
    </row>
    <row r="28" spans="1:26" s="68" customFormat="1" ht="15" customHeight="1" outlineLevel="1" collapsed="1" x14ac:dyDescent="0.25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8192.73</v>
      </c>
      <c r="E28" s="2"/>
      <c r="F28" s="6">
        <f t="shared" si="0"/>
        <v>0</v>
      </c>
      <c r="G28" s="2"/>
      <c r="H28" s="2">
        <f>SUM(OSRRefH22_1x_0)</f>
        <v>5854.0599999999995</v>
      </c>
      <c r="I28" s="2"/>
      <c r="J28" s="6">
        <f t="shared" si="1"/>
        <v>0</v>
      </c>
      <c r="K28" s="2"/>
      <c r="L28" s="2">
        <f t="shared" si="2"/>
        <v>2338.67</v>
      </c>
      <c r="M28" s="2"/>
      <c r="N28" s="6">
        <f t="shared" si="3"/>
        <v>0.39949539294096753</v>
      </c>
      <c r="O28" s="14"/>
      <c r="P28" s="2">
        <f>SUM(OSRRefP22_1x_0)</f>
        <v>77461.59</v>
      </c>
      <c r="Q28" s="2"/>
      <c r="R28" s="6">
        <f t="shared" si="4"/>
        <v>0</v>
      </c>
      <c r="S28" s="2"/>
      <c r="T28" s="2">
        <f>SUM(OSRRefT22_1x_0)</f>
        <v>71814.009999999995</v>
      </c>
      <c r="U28" s="2"/>
      <c r="V28" s="6">
        <f t="shared" si="5"/>
        <v>0</v>
      </c>
      <c r="W28" s="2"/>
      <c r="X28" s="2">
        <f t="shared" si="6"/>
        <v>5647.5800000000017</v>
      </c>
      <c r="Y28" s="2"/>
      <c r="Z28" s="6">
        <f t="shared" si="7"/>
        <v>7.8641758063642486E-2</v>
      </c>
    </row>
    <row r="29" spans="1:26" s="69" customFormat="1" ht="15" hidden="1" customHeight="1" outlineLevel="2" x14ac:dyDescent="0.25">
      <c r="A29" s="25"/>
      <c r="B29" s="12" t="str">
        <f>CONCATENATE("          ","6004"," - ","STAFF HOURLY")</f>
        <v xml:space="preserve">          6004 - STAFF HOURLY</v>
      </c>
      <c r="C29" s="12"/>
      <c r="D29" s="7">
        <v>5379.1</v>
      </c>
      <c r="E29" s="3"/>
      <c r="F29" s="8">
        <f t="shared" si="0"/>
        <v>0</v>
      </c>
      <c r="G29" s="3"/>
      <c r="H29" s="7">
        <v>4560</v>
      </c>
      <c r="I29" s="3"/>
      <c r="J29" s="8">
        <f t="shared" si="1"/>
        <v>0</v>
      </c>
      <c r="K29" s="3"/>
      <c r="L29" s="7">
        <f t="shared" si="2"/>
        <v>819.10000000000036</v>
      </c>
      <c r="M29" s="3"/>
      <c r="N29" s="8">
        <f t="shared" si="3"/>
        <v>0.17962719298245622</v>
      </c>
      <c r="O29" s="12"/>
      <c r="P29" s="7">
        <v>55571.96</v>
      </c>
      <c r="Q29" s="3"/>
      <c r="R29" s="8">
        <f t="shared" si="4"/>
        <v>0</v>
      </c>
      <c r="S29" s="3"/>
      <c r="T29" s="7">
        <v>57050.1</v>
      </c>
      <c r="U29" s="3"/>
      <c r="V29" s="8">
        <f t="shared" si="5"/>
        <v>0</v>
      </c>
      <c r="W29" s="3"/>
      <c r="X29" s="7">
        <f t="shared" si="6"/>
        <v>-1478.1399999999994</v>
      </c>
      <c r="Y29" s="3"/>
      <c r="Z29" s="8">
        <f t="shared" si="7"/>
        <v>-2.5909507608225042E-2</v>
      </c>
    </row>
    <row r="30" spans="1:26" s="69" customFormat="1" ht="15" hidden="1" customHeight="1" outlineLevel="2" x14ac:dyDescent="0.25">
      <c r="A30" s="25"/>
      <c r="B30" s="12" t="str">
        <f>CONCATENATE("          ","6005"," - ","TEMPORARY WAGES-HOURLY")</f>
        <v xml:space="preserve">          6005 - TEMPORARY WAGES-HOURLY</v>
      </c>
      <c r="C30" s="12"/>
      <c r="D30" s="7">
        <v>2813.63</v>
      </c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2813.63</v>
      </c>
      <c r="M30" s="3"/>
      <c r="N30" s="8">
        <f t="shared" si="3"/>
        <v>0</v>
      </c>
      <c r="O30" s="12"/>
      <c r="P30" s="7">
        <v>10414.43</v>
      </c>
      <c r="Q30" s="3"/>
      <c r="R30" s="8">
        <f t="shared" si="4"/>
        <v>0</v>
      </c>
      <c r="S30" s="3"/>
      <c r="T30" s="7"/>
      <c r="U30" s="3"/>
      <c r="V30" s="8">
        <f t="shared" si="5"/>
        <v>0</v>
      </c>
      <c r="W30" s="3"/>
      <c r="X30" s="7">
        <f t="shared" si="6"/>
        <v>10414.43</v>
      </c>
      <c r="Y30" s="3"/>
      <c r="Z30" s="8">
        <f t="shared" si="7"/>
        <v>0</v>
      </c>
    </row>
    <row r="31" spans="1:26" s="69" customFormat="1" ht="15" hidden="1" customHeight="1" outlineLevel="2" x14ac:dyDescent="0.25">
      <c r="A31" s="25"/>
      <c r="B31" s="12" t="str">
        <f>CONCATENATE("          ","6007"," - ","STUDENT HOURLY")</f>
        <v xml:space="preserve">          6007 - STUDENT HOURLY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>
        <v>0</v>
      </c>
      <c r="Q31" s="3"/>
      <c r="R31" s="8">
        <f t="shared" si="4"/>
        <v>0</v>
      </c>
      <c r="S31" s="3"/>
      <c r="T31" s="7">
        <v>0</v>
      </c>
      <c r="U31" s="3"/>
      <c r="V31" s="8">
        <f t="shared" si="5"/>
        <v>0</v>
      </c>
      <c r="W31" s="3"/>
      <c r="X31" s="7">
        <f t="shared" si="6"/>
        <v>0</v>
      </c>
      <c r="Y31" s="3"/>
      <c r="Z31" s="8">
        <f t="shared" si="7"/>
        <v>0</v>
      </c>
    </row>
    <row r="32" spans="1:26" s="69" customFormat="1" ht="15" hidden="1" customHeight="1" outlineLevel="2" x14ac:dyDescent="0.25">
      <c r="A32" s="25"/>
      <c r="B32" s="12" t="str">
        <f>CONCATENATE("          ","6008"," - ","STUDENT HOURLY-FICA EXEMPT")</f>
        <v xml:space="preserve">          6008 - STUDENT HOURLY-FICA EXEMPT</v>
      </c>
      <c r="C32" s="12"/>
      <c r="D32" s="7"/>
      <c r="E32" s="3"/>
      <c r="F32" s="8">
        <f t="shared" si="0"/>
        <v>0</v>
      </c>
      <c r="G32" s="3"/>
      <c r="H32" s="7">
        <v>1294.06</v>
      </c>
      <c r="I32" s="3"/>
      <c r="J32" s="8">
        <f t="shared" si="1"/>
        <v>0</v>
      </c>
      <c r="K32" s="3"/>
      <c r="L32" s="7">
        <f t="shared" si="2"/>
        <v>-1294.06</v>
      </c>
      <c r="M32" s="3"/>
      <c r="N32" s="8">
        <f t="shared" si="3"/>
        <v>-1</v>
      </c>
      <c r="O32" s="12"/>
      <c r="P32" s="7">
        <v>11475.2</v>
      </c>
      <c r="Q32" s="3"/>
      <c r="R32" s="8">
        <f t="shared" si="4"/>
        <v>0</v>
      </c>
      <c r="S32" s="3"/>
      <c r="T32" s="7">
        <v>14763.91</v>
      </c>
      <c r="U32" s="3"/>
      <c r="V32" s="8">
        <f t="shared" si="5"/>
        <v>0</v>
      </c>
      <c r="W32" s="3"/>
      <c r="X32" s="7">
        <f t="shared" si="6"/>
        <v>-3288.7099999999991</v>
      </c>
      <c r="Y32" s="3"/>
      <c r="Z32" s="8">
        <f t="shared" si="7"/>
        <v>-0.22275332212130791</v>
      </c>
    </row>
    <row r="33" spans="1:26" s="68" customFormat="1" ht="15" customHeight="1" outlineLevel="1" collapsed="1" x14ac:dyDescent="0.25">
      <c r="A33" s="26"/>
      <c r="B33" s="14" t="str">
        <f>CONCATENATE("     ","Advertising/Promo                                 ")</f>
        <v xml:space="preserve">     Advertising/Promo                                 </v>
      </c>
      <c r="C33" s="14"/>
      <c r="D33" s="2">
        <f>SUM(OSRRefD22_2x_0)</f>
        <v>173.21</v>
      </c>
      <c r="E33" s="2"/>
      <c r="F33" s="6">
        <f t="shared" si="0"/>
        <v>0</v>
      </c>
      <c r="G33" s="2"/>
      <c r="H33" s="2">
        <f>SUM(OSRRefH22_2x_0)</f>
        <v>173.21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SUM(OSRRefP22_2x_0)</f>
        <v>1965.54</v>
      </c>
      <c r="Q33" s="2"/>
      <c r="R33" s="6">
        <f t="shared" si="4"/>
        <v>0</v>
      </c>
      <c r="S33" s="2"/>
      <c r="T33" s="2">
        <f>SUM(OSRRefT22_2x_0)</f>
        <v>1732.1</v>
      </c>
      <c r="U33" s="2"/>
      <c r="V33" s="6">
        <f t="shared" si="5"/>
        <v>0</v>
      </c>
      <c r="W33" s="2"/>
      <c r="X33" s="2">
        <f t="shared" si="6"/>
        <v>233.44000000000005</v>
      </c>
      <c r="Y33" s="2"/>
      <c r="Z33" s="6">
        <f t="shared" si="7"/>
        <v>0.13477281912129788</v>
      </c>
    </row>
    <row r="34" spans="1:26" s="69" customFormat="1" ht="15" hidden="1" customHeight="1" outlineLevel="2" x14ac:dyDescent="0.25">
      <c r="A34" s="25"/>
      <c r="B34" s="12" t="str">
        <f>CONCATENATE("          ","6362"," - ","ADVERTISING EXPENSE")</f>
        <v xml:space="preserve">          6362 - ADVERTISING EXPENSE</v>
      </c>
      <c r="C34" s="12"/>
      <c r="D34" s="7">
        <v>173.21</v>
      </c>
      <c r="E34" s="3"/>
      <c r="F34" s="8">
        <f t="shared" si="0"/>
        <v>0</v>
      </c>
      <c r="G34" s="3"/>
      <c r="H34" s="7">
        <v>173.21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>
        <v>1965.54</v>
      </c>
      <c r="Q34" s="3"/>
      <c r="R34" s="8">
        <f t="shared" si="4"/>
        <v>0</v>
      </c>
      <c r="S34" s="3"/>
      <c r="T34" s="7">
        <v>1732.1</v>
      </c>
      <c r="U34" s="3"/>
      <c r="V34" s="8">
        <f t="shared" si="5"/>
        <v>0</v>
      </c>
      <c r="W34" s="3"/>
      <c r="X34" s="7">
        <f t="shared" si="6"/>
        <v>233.44000000000005</v>
      </c>
      <c r="Y34" s="3"/>
      <c r="Z34" s="8">
        <f t="shared" si="7"/>
        <v>0.13477281912129788</v>
      </c>
    </row>
    <row r="35" spans="1:26" s="68" customFormat="1" ht="15" customHeight="1" outlineLevel="1" collapsed="1" x14ac:dyDescent="0.25">
      <c r="A35" s="26"/>
      <c r="B35" s="14" t="str">
        <f>CONCATENATE("     ","Depreciation                                      ")</f>
        <v xml:space="preserve">     Depreciation                                      </v>
      </c>
      <c r="C35" s="14"/>
      <c r="D35" s="2">
        <f>SUM(OSRRefD22_3x_0)</f>
        <v>0</v>
      </c>
      <c r="E35" s="2"/>
      <c r="F35" s="6">
        <f t="shared" si="0"/>
        <v>0</v>
      </c>
      <c r="G35" s="2"/>
      <c r="H35" s="2">
        <f>SUM(OSRRefH22_3x_0)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0</v>
      </c>
      <c r="Q35" s="2"/>
      <c r="R35" s="6">
        <f t="shared" si="4"/>
        <v>0</v>
      </c>
      <c r="S35" s="2"/>
      <c r="T35" s="2">
        <f>SUM(OSRRefT22_3x_0)</f>
        <v>1898.94</v>
      </c>
      <c r="U35" s="2"/>
      <c r="V35" s="6">
        <f t="shared" si="5"/>
        <v>0</v>
      </c>
      <c r="W35" s="2"/>
      <c r="X35" s="2">
        <f t="shared" si="6"/>
        <v>-1898.94</v>
      </c>
      <c r="Y35" s="2"/>
      <c r="Z35" s="6">
        <f t="shared" si="7"/>
        <v>-1</v>
      </c>
    </row>
    <row r="36" spans="1:26" s="69" customFormat="1" ht="15" hidden="1" customHeight="1" outlineLevel="2" x14ac:dyDescent="0.25">
      <c r="A36" s="25"/>
      <c r="B36" s="12" t="str">
        <f>CONCATENATE("          ","6322"," - ","EQUIPMENT DEPRECIATION EXPENSE")</f>
        <v xml:space="preserve">          6322 - EQUIPMENT DEPRECIATION EXPENSE</v>
      </c>
      <c r="C36" s="12"/>
      <c r="D36" s="7"/>
      <c r="E36" s="3"/>
      <c r="F36" s="8">
        <f t="shared" si="0"/>
        <v>0</v>
      </c>
      <c r="G36" s="3"/>
      <c r="H36" s="7"/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1898.94</v>
      </c>
      <c r="U36" s="3"/>
      <c r="V36" s="8">
        <f t="shared" si="5"/>
        <v>0</v>
      </c>
      <c r="W36" s="3"/>
      <c r="X36" s="7">
        <f t="shared" si="6"/>
        <v>-1898.94</v>
      </c>
      <c r="Y36" s="3"/>
      <c r="Z36" s="8">
        <f t="shared" si="7"/>
        <v>-1</v>
      </c>
    </row>
    <row r="37" spans="1:26" s="68" customFormat="1" ht="15" customHeight="1" outlineLevel="1" collapsed="1" x14ac:dyDescent="0.25">
      <c r="A37" s="26"/>
      <c r="B37" s="14" t="str">
        <f>CONCATENATE("     ","Repair and Maintenance                            ")</f>
        <v xml:space="preserve">     Repair and Maintenance                            </v>
      </c>
      <c r="C37" s="14"/>
      <c r="D37" s="2">
        <f>SUM(OSRRefD22_4x_0)</f>
        <v>0</v>
      </c>
      <c r="E37" s="2"/>
      <c r="F37" s="6">
        <f t="shared" si="0"/>
        <v>0</v>
      </c>
      <c r="G37" s="2"/>
      <c r="H37" s="2">
        <f>SUM(OSRRefH22_4x_0)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SUM(OSRRefP22_4x_0)</f>
        <v>63.36</v>
      </c>
      <c r="Q37" s="2"/>
      <c r="R37" s="6">
        <f t="shared" si="4"/>
        <v>0</v>
      </c>
      <c r="S37" s="2"/>
      <c r="T37" s="2">
        <f>SUM(OSRRefT22_4x_0)</f>
        <v>0</v>
      </c>
      <c r="U37" s="2"/>
      <c r="V37" s="6">
        <f t="shared" si="5"/>
        <v>0</v>
      </c>
      <c r="W37" s="2"/>
      <c r="X37" s="2">
        <f t="shared" si="6"/>
        <v>63.36</v>
      </c>
      <c r="Y37" s="2"/>
      <c r="Z37" s="6">
        <f t="shared" si="7"/>
        <v>0</v>
      </c>
    </row>
    <row r="38" spans="1:26" s="69" customFormat="1" ht="15" hidden="1" customHeight="1" outlineLevel="2" x14ac:dyDescent="0.25">
      <c r="A38" s="25"/>
      <c r="B38" s="12" t="str">
        <f>CONCATENATE("          ","6375"," - ","OUTSIDE REPAIRS &amp; MAINTENANCE")</f>
        <v xml:space="preserve">          6375 - OUTSIDE REPAIRS &amp; MAINTENANCE</v>
      </c>
      <c r="C38" s="12"/>
      <c r="D38" s="7"/>
      <c r="E38" s="3"/>
      <c r="F38" s="8">
        <f t="shared" si="0"/>
        <v>0</v>
      </c>
      <c r="G38" s="3"/>
      <c r="H38" s="7"/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>
        <v>63.36</v>
      </c>
      <c r="Q38" s="3"/>
      <c r="R38" s="8">
        <f t="shared" si="4"/>
        <v>0</v>
      </c>
      <c r="S38" s="3"/>
      <c r="T38" s="7"/>
      <c r="U38" s="3"/>
      <c r="V38" s="8">
        <f t="shared" si="5"/>
        <v>0</v>
      </c>
      <c r="W38" s="3"/>
      <c r="X38" s="7">
        <f t="shared" si="6"/>
        <v>63.36</v>
      </c>
      <c r="Y38" s="3"/>
      <c r="Z38" s="8">
        <f t="shared" si="7"/>
        <v>0</v>
      </c>
    </row>
    <row r="39" spans="1:26" s="68" customFormat="1" ht="15" customHeight="1" outlineLevel="1" collapsed="1" x14ac:dyDescent="0.25">
      <c r="A39" s="26"/>
      <c r="B39" s="14" t="str">
        <f>CONCATENATE("     ","Supplies                                          ")</f>
        <v xml:space="preserve">     Supplies                                          </v>
      </c>
      <c r="C39" s="14"/>
      <c r="D39" s="2">
        <f>SUM(OSRRefD22_5x_0)</f>
        <v>0</v>
      </c>
      <c r="E39" s="2"/>
      <c r="F39" s="6">
        <f t="shared" si="0"/>
        <v>0</v>
      </c>
      <c r="G39" s="2"/>
      <c r="H39" s="2">
        <f>SUM(OSRRefH22_5x_0)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SUM(OSRRefP22_5x_0)</f>
        <v>70.040000000000006</v>
      </c>
      <c r="Q39" s="2"/>
      <c r="R39" s="6">
        <f t="shared" si="4"/>
        <v>0</v>
      </c>
      <c r="S39" s="2"/>
      <c r="T39" s="2">
        <f>SUM(OSRRefT22_5x_0)</f>
        <v>0</v>
      </c>
      <c r="U39" s="2"/>
      <c r="V39" s="6">
        <f t="shared" si="5"/>
        <v>0</v>
      </c>
      <c r="W39" s="2"/>
      <c r="X39" s="2">
        <f t="shared" si="6"/>
        <v>70.040000000000006</v>
      </c>
      <c r="Y39" s="2"/>
      <c r="Z39" s="6">
        <f t="shared" si="7"/>
        <v>0</v>
      </c>
    </row>
    <row r="40" spans="1:26" s="69" customFormat="1" ht="15" hidden="1" customHeight="1" outlineLevel="2" x14ac:dyDescent="0.25">
      <c r="A40" s="25"/>
      <c r="B40" s="12" t="str">
        <f>CONCATENATE("          ","6241"," - ","OFFICE EXPENSE")</f>
        <v xml:space="preserve">          6241 - OFFICE EXPENSE</v>
      </c>
      <c r="C40" s="12"/>
      <c r="D40" s="7"/>
      <c r="E40" s="3"/>
      <c r="F40" s="8">
        <f t="shared" si="0"/>
        <v>0</v>
      </c>
      <c r="G40" s="3"/>
      <c r="H40" s="7"/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>
        <v>70.040000000000006</v>
      </c>
      <c r="Q40" s="3"/>
      <c r="R40" s="8">
        <f t="shared" si="4"/>
        <v>0</v>
      </c>
      <c r="S40" s="3"/>
      <c r="T40" s="7"/>
      <c r="U40" s="3"/>
      <c r="V40" s="8">
        <f t="shared" si="5"/>
        <v>0</v>
      </c>
      <c r="W40" s="3"/>
      <c r="X40" s="7">
        <f t="shared" si="6"/>
        <v>70.040000000000006</v>
      </c>
      <c r="Y40" s="3"/>
      <c r="Z40" s="8">
        <f t="shared" si="7"/>
        <v>0</v>
      </c>
    </row>
    <row r="41" spans="1:26" s="68" customFormat="1" ht="15" customHeight="1" outlineLevel="1" collapsed="1" x14ac:dyDescent="0.25">
      <c r="A41" s="26"/>
      <c r="B41" s="14" t="str">
        <f>CONCATENATE("     ","Telephone/Data Lines                              ")</f>
        <v xml:space="preserve">     Telephone/Data Lines                              </v>
      </c>
      <c r="C41" s="14"/>
      <c r="D41" s="2">
        <f>SUM(OSRRefD22_6x_0)</f>
        <v>36</v>
      </c>
      <c r="E41" s="2"/>
      <c r="F41" s="6">
        <f t="shared" si="0"/>
        <v>0</v>
      </c>
      <c r="G41" s="2"/>
      <c r="H41" s="2">
        <f>SUM(OSRRefH22_6x_0)</f>
        <v>36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SUM(OSRRefP22_6x_0)</f>
        <v>468.4</v>
      </c>
      <c r="Q41" s="2"/>
      <c r="R41" s="6">
        <f t="shared" si="4"/>
        <v>0</v>
      </c>
      <c r="S41" s="2"/>
      <c r="T41" s="2">
        <f>SUM(OSRRefT22_6x_0)</f>
        <v>360.15</v>
      </c>
      <c r="U41" s="2"/>
      <c r="V41" s="6">
        <f t="shared" si="5"/>
        <v>0</v>
      </c>
      <c r="W41" s="2"/>
      <c r="X41" s="2">
        <f t="shared" si="6"/>
        <v>108.25</v>
      </c>
      <c r="Y41" s="2"/>
      <c r="Z41" s="6">
        <f t="shared" si="7"/>
        <v>0.30056920727474667</v>
      </c>
    </row>
    <row r="42" spans="1:26" s="69" customFormat="1" ht="15" hidden="1" customHeight="1" outlineLevel="2" x14ac:dyDescent="0.25">
      <c r="A42" s="25"/>
      <c r="B42" s="12" t="str">
        <f>CONCATENATE("          ","6309"," - ","TELEPHONE")</f>
        <v xml:space="preserve">          6309 - TELEPHONE</v>
      </c>
      <c r="C42" s="12"/>
      <c r="D42" s="7">
        <v>36</v>
      </c>
      <c r="E42" s="3"/>
      <c r="F42" s="8">
        <f t="shared" si="0"/>
        <v>0</v>
      </c>
      <c r="G42" s="3"/>
      <c r="H42" s="7">
        <v>36</v>
      </c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>
        <v>468.4</v>
      </c>
      <c r="Q42" s="3"/>
      <c r="R42" s="8">
        <f t="shared" si="4"/>
        <v>0</v>
      </c>
      <c r="S42" s="3"/>
      <c r="T42" s="7">
        <v>360.15</v>
      </c>
      <c r="U42" s="3"/>
      <c r="V42" s="8">
        <f t="shared" si="5"/>
        <v>0</v>
      </c>
      <c r="W42" s="3"/>
      <c r="X42" s="7">
        <f t="shared" si="6"/>
        <v>108.25</v>
      </c>
      <c r="Y42" s="3"/>
      <c r="Z42" s="8">
        <f t="shared" si="7"/>
        <v>0.30056920727474667</v>
      </c>
    </row>
    <row r="43" spans="1:26" s="64" customFormat="1" ht="15" customHeight="1" x14ac:dyDescent="0.25">
      <c r="A43" s="36"/>
      <c r="B43" s="36"/>
      <c r="C43" s="36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2" customFormat="1" ht="15" customHeight="1" x14ac:dyDescent="0.25">
      <c r="A44" s="11"/>
      <c r="B44" s="28" t="s">
        <v>290</v>
      </c>
      <c r="C44" s="11"/>
      <c r="D44" s="5">
        <f>SUM(0)</f>
        <v>0</v>
      </c>
      <c r="E44" s="5"/>
      <c r="F44" s="13">
        <f>IF(D$12=0,0,D44/D$12)</f>
        <v>0</v>
      </c>
      <c r="G44" s="5"/>
      <c r="H44" s="5">
        <f>SUM(0)</f>
        <v>0</v>
      </c>
      <c r="I44" s="5"/>
      <c r="J44" s="13">
        <f>IF(H$12=0,0,H44/H$12)</f>
        <v>0</v>
      </c>
      <c r="K44" s="5"/>
      <c r="L44" s="5">
        <f>+D44-H44</f>
        <v>0</v>
      </c>
      <c r="M44" s="5"/>
      <c r="N44" s="13">
        <f>IF(H44=0,0,L44/H44)</f>
        <v>0</v>
      </c>
      <c r="O44" s="11"/>
      <c r="P44" s="5">
        <f>SUM(0)</f>
        <v>0</v>
      </c>
      <c r="Q44" s="5"/>
      <c r="R44" s="13">
        <f>IF(P$12=0,0,P44/P$12)</f>
        <v>0</v>
      </c>
      <c r="S44" s="5"/>
      <c r="T44" s="5">
        <f>SUM(0)</f>
        <v>0</v>
      </c>
      <c r="U44" s="5"/>
      <c r="V44" s="13">
        <f>IF(T$12=0,0,T44/T$12)</f>
        <v>0</v>
      </c>
      <c r="W44" s="5"/>
      <c r="X44" s="5">
        <f>+P44-T44</f>
        <v>0</v>
      </c>
      <c r="Y44" s="5"/>
      <c r="Z44" s="13">
        <f>IF(T44=0,0,X44/T44)</f>
        <v>0</v>
      </c>
    </row>
    <row r="45" spans="1:26" ht="15" customHeight="1" x14ac:dyDescent="0.25">
      <c r="A45" s="10"/>
      <c r="B45" s="11"/>
      <c r="C45" s="11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O45" s="11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25">
      <c r="A46" s="11"/>
      <c r="B46" s="27" t="s">
        <v>291</v>
      </c>
      <c r="C46" s="27"/>
      <c r="D46" s="22">
        <f>+D16-D18+D44</f>
        <v>-10014.049999999999</v>
      </c>
      <c r="E46" s="15"/>
      <c r="F46" s="23">
        <f>IF(D$12=0,0,D46/D$12)</f>
        <v>0</v>
      </c>
      <c r="G46" s="15"/>
      <c r="H46" s="22">
        <f>+H16-H18+H44</f>
        <v>-8033.21</v>
      </c>
      <c r="I46" s="15"/>
      <c r="J46" s="23">
        <f>IF(H$12=0,0,H46/H$12)</f>
        <v>0</v>
      </c>
      <c r="K46" s="16"/>
      <c r="L46" s="22">
        <f>+D46-H46</f>
        <v>-1980.8399999999992</v>
      </c>
      <c r="M46" s="16"/>
      <c r="N46" s="23">
        <f>IF(H46=0,0,L46/H46)</f>
        <v>0.24658137905021768</v>
      </c>
      <c r="O46" s="28"/>
      <c r="P46" s="22">
        <f>+P16-P18+P44</f>
        <v>-99624.959999999992</v>
      </c>
      <c r="Q46" s="15"/>
      <c r="R46" s="23">
        <f>IF(P$12=0,0,P46/P$12)</f>
        <v>0</v>
      </c>
      <c r="S46" s="15"/>
      <c r="T46" s="22">
        <f>+T16-T18+T44</f>
        <v>-95898.010000000009</v>
      </c>
      <c r="U46" s="15"/>
      <c r="V46" s="23">
        <f>IF(T$12=0,0,T46/T$12)</f>
        <v>0</v>
      </c>
      <c r="W46" s="16"/>
      <c r="X46" s="22">
        <f>+P46-T46</f>
        <v>-3726.9499999999825</v>
      </c>
      <c r="Y46" s="16"/>
      <c r="Z46" s="23">
        <f>IF(T46=0,0,X46/T46)</f>
        <v>3.8863684449760558E-2</v>
      </c>
    </row>
    <row r="47" spans="1:26" ht="15" customHeight="1" x14ac:dyDescent="0.25">
      <c r="A47" s="10"/>
      <c r="B47" s="11"/>
      <c r="C47" s="10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25">
      <c r="A48" s="48"/>
      <c r="B48" s="11" t="s">
        <v>292</v>
      </c>
      <c r="C48" s="11"/>
      <c r="D48" s="5"/>
      <c r="E48" s="5"/>
      <c r="F48" s="13">
        <f>IF(D$12=0,0,D48/D$12)</f>
        <v>0</v>
      </c>
      <c r="G48" s="5"/>
      <c r="H48" s="5"/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/>
      <c r="Q48" s="5"/>
      <c r="R48" s="13">
        <f>IF(P$12=0,0,P48/P$12)</f>
        <v>0</v>
      </c>
      <c r="S48" s="5"/>
      <c r="T48" s="5"/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25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25">
      <c r="A50" s="11"/>
      <c r="B50" s="27" t="s">
        <v>293</v>
      </c>
      <c r="C50" s="27"/>
      <c r="D50" s="35">
        <f>+D46-D48</f>
        <v>-10014.049999999999</v>
      </c>
      <c r="E50" s="15"/>
      <c r="F50" s="30">
        <f>IF(D$12=0,0,D50/D$12)</f>
        <v>0</v>
      </c>
      <c r="G50" s="15"/>
      <c r="H50" s="35">
        <f>+H46-H48</f>
        <v>-8033.21</v>
      </c>
      <c r="I50" s="15"/>
      <c r="J50" s="30">
        <f>IF(H$12=0,0,H50/H$12)</f>
        <v>0</v>
      </c>
      <c r="K50" s="16"/>
      <c r="L50" s="35">
        <f>D50-H50</f>
        <v>-1980.8399999999992</v>
      </c>
      <c r="M50" s="16"/>
      <c r="N50" s="30">
        <f>IF(H50=0,0,L50/H50)</f>
        <v>0.24658137905021768</v>
      </c>
      <c r="O50" s="28"/>
      <c r="P50" s="35">
        <f>+P46-P48</f>
        <v>-99624.959999999992</v>
      </c>
      <c r="Q50" s="15"/>
      <c r="R50" s="30">
        <f>IF(P$12=0,0,P50/P$12)</f>
        <v>0</v>
      </c>
      <c r="S50" s="15"/>
      <c r="T50" s="35">
        <f>+T46-T48</f>
        <v>-95898.010000000009</v>
      </c>
      <c r="U50" s="15"/>
      <c r="V50" s="30">
        <f>IF(T$12=0,0,T50/T$12)</f>
        <v>0</v>
      </c>
      <c r="W50" s="16"/>
      <c r="X50" s="35">
        <f>P50-T50</f>
        <v>-3726.9499999999825</v>
      </c>
      <c r="Y50" s="16"/>
      <c r="Z50" s="30">
        <f>IF(T50=0,0,X50/T50)</f>
        <v>3.8863684449760558E-2</v>
      </c>
    </row>
    <row r="51" spans="1:26" ht="15" customHeight="1" x14ac:dyDescent="0.25">
      <c r="A51" s="10"/>
      <c r="B51" s="10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ht="15" customHeight="1" x14ac:dyDescent="0.25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2" customFormat="1" ht="15" customHeight="1" x14ac:dyDescent="0.25">
      <c r="A53" s="11"/>
      <c r="B53" s="27" t="s">
        <v>296</v>
      </c>
      <c r="C53" s="27"/>
      <c r="D53" s="32">
        <f>SUM(D50:D52)</f>
        <v>-10014.049999999999</v>
      </c>
      <c r="E53" s="15"/>
      <c r="F53" s="34">
        <f>IF(D$12=0,0,D53/D$12)</f>
        <v>0</v>
      </c>
      <c r="G53" s="15"/>
      <c r="H53" s="32">
        <f>SUM(H50:H52)</f>
        <v>-8033.21</v>
      </c>
      <c r="I53" s="15"/>
      <c r="J53" s="34">
        <f>IF(H$12=0,0,H53/H$12)</f>
        <v>0</v>
      </c>
      <c r="K53" s="16"/>
      <c r="L53" s="32">
        <f>+D53-H53</f>
        <v>-1980.8399999999992</v>
      </c>
      <c r="M53" s="16"/>
      <c r="N53" s="34">
        <f>IF(H53=0,0,L53/H53)</f>
        <v>0.24658137905021768</v>
      </c>
      <c r="O53" s="28"/>
      <c r="P53" s="32">
        <f>SUM(P50:P52)</f>
        <v>-99624.959999999992</v>
      </c>
      <c r="Q53" s="15"/>
      <c r="R53" s="34">
        <f>IF(P$12=0,0,P53/P$12)</f>
        <v>0</v>
      </c>
      <c r="S53" s="15"/>
      <c r="T53" s="32">
        <f>SUM(T50:T52)</f>
        <v>-95898.010000000009</v>
      </c>
      <c r="U53" s="15"/>
      <c r="V53" s="34">
        <f>IF(T$12=0,0,T53/T$12)</f>
        <v>0</v>
      </c>
      <c r="W53" s="16"/>
      <c r="X53" s="32">
        <f>+P53-T53</f>
        <v>-3726.9499999999825</v>
      </c>
      <c r="Y53" s="16"/>
      <c r="Z53" s="34">
        <f>IF(T53=0,0,X53/T53)</f>
        <v>3.8863684449760558E-2</v>
      </c>
    </row>
    <row r="54" spans="1:26" ht="15" customHeight="1" x14ac:dyDescent="0.25">
      <c r="A54" s="10"/>
      <c r="C54" s="10"/>
      <c r="D54" s="18"/>
      <c r="E54" s="18"/>
      <c r="G54" s="18"/>
      <c r="H54" s="18"/>
      <c r="I54" s="18"/>
      <c r="J54" s="41"/>
      <c r="K54" s="18"/>
      <c r="L54" s="18"/>
      <c r="M54" s="18"/>
      <c r="P54" s="18"/>
      <c r="Q54" s="18"/>
      <c r="R54" s="41"/>
      <c r="S54" s="18"/>
      <c r="T54" s="18"/>
      <c r="U54" s="18"/>
      <c r="V54" s="41"/>
      <c r="W54" s="18"/>
      <c r="X54" s="18"/>
    </row>
    <row r="55" spans="1:26" ht="15" customHeight="1" x14ac:dyDescent="0.25">
      <c r="A55" s="10"/>
      <c r="B55" s="50">
        <v>44727.879654085649</v>
      </c>
      <c r="D55" s="18"/>
      <c r="E55" s="18"/>
      <c r="G55" s="18"/>
      <c r="H55" s="18"/>
      <c r="I55" s="18"/>
      <c r="J55" s="41"/>
      <c r="K55" s="18"/>
      <c r="L55" s="18"/>
      <c r="M55" s="18"/>
      <c r="P55" s="18"/>
      <c r="Q55" s="18"/>
      <c r="R55" s="41"/>
      <c r="S55" s="18"/>
      <c r="T55" s="18"/>
      <c r="U55" s="18"/>
      <c r="V55" s="41"/>
      <c r="W55" s="18"/>
      <c r="X55" s="18"/>
    </row>
    <row r="56" spans="1:26" ht="15" customHeight="1" x14ac:dyDescent="0.25">
      <c r="A56" s="10"/>
      <c r="B56" s="53" t="s">
        <v>297</v>
      </c>
      <c r="D56" s="18"/>
      <c r="E56" s="18"/>
      <c r="G56" s="18"/>
      <c r="H56" s="18"/>
      <c r="I56" s="18"/>
      <c r="J56" s="41"/>
      <c r="K56" s="18"/>
      <c r="L56" s="18"/>
      <c r="M56" s="18"/>
      <c r="P56" s="18"/>
      <c r="Q56" s="18"/>
      <c r="R56" s="41"/>
      <c r="S56" s="18"/>
      <c r="T56" s="18"/>
      <c r="U56" s="18"/>
      <c r="V56" s="41"/>
      <c r="W56" s="18"/>
      <c r="X56" s="18"/>
    </row>
    <row r="57" spans="1:26" ht="15" customHeight="1" x14ac:dyDescent="0.25">
      <c r="A57" s="10"/>
      <c r="B57" s="55"/>
      <c r="D57" s="18"/>
      <c r="E57" s="18"/>
      <c r="G57" s="18"/>
      <c r="H57" s="18"/>
      <c r="I57" s="18"/>
      <c r="J57" s="41"/>
      <c r="K57" s="18"/>
      <c r="L57" s="18"/>
      <c r="M57" s="18"/>
      <c r="P57" s="18"/>
      <c r="Q57" s="18"/>
      <c r="R57" s="41"/>
      <c r="S57" s="18"/>
      <c r="T57" s="18"/>
      <c r="U57" s="18"/>
      <c r="V57" s="41"/>
      <c r="W57" s="18"/>
      <c r="X57" s="18"/>
    </row>
    <row r="58" spans="1:26" ht="15" customHeight="1" x14ac:dyDescent="0.25"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892F4-E91E-422B-208A-0DC24B23F2AB}">
  <sheetPr>
    <tabColor rgb="FFFFC000"/>
    <outlinePr summaryBelow="0" summaryRight="0"/>
  </sheetPr>
  <dimension ref="A2:Z24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300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944067.46</v>
      </c>
      <c r="E12" s="5"/>
      <c r="F12" s="13"/>
      <c r="G12" s="5"/>
      <c r="H12" s="5">
        <f>SUM(OSRRefH13x_0)</f>
        <v>506766.3400000002</v>
      </c>
      <c r="I12" s="5"/>
      <c r="J12" s="13"/>
      <c r="K12" s="5"/>
      <c r="L12" s="5">
        <f t="shared" ref="L12:L43" si="0">+D12-H12</f>
        <v>437301.11999999976</v>
      </c>
      <c r="M12" s="5"/>
      <c r="N12" s="13">
        <f t="shared" ref="N12:N43" si="1">IF(H12=0,0,L12/H12)</f>
        <v>0.86292455809120938</v>
      </c>
      <c r="O12" s="11"/>
      <c r="P12" s="5">
        <f>SUM(OSRRefP13x_0)</f>
        <v>8017275.8600000013</v>
      </c>
      <c r="Q12" s="5"/>
      <c r="R12" s="13"/>
      <c r="S12" s="5"/>
      <c r="T12" s="5">
        <f>SUM(OSRRefT13x_0)</f>
        <v>5212278.6800000006</v>
      </c>
      <c r="U12" s="5"/>
      <c r="V12" s="13"/>
      <c r="W12" s="5"/>
      <c r="X12" s="5">
        <f t="shared" ref="X12:X43" si="2">+P12-T12</f>
        <v>2804997.1800000006</v>
      </c>
      <c r="Y12" s="5"/>
      <c r="Z12" s="13">
        <f t="shared" ref="Z12:Z43" si="3">IF(T12=0,0,X12/T12)</f>
        <v>0.53815180503740834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--862962.63</f>
        <v>862962.63</v>
      </c>
      <c r="E13" s="3"/>
      <c r="F13" s="20"/>
      <c r="G13" s="3"/>
      <c r="H13" s="3">
        <f>-11353.84</f>
        <v>-11353.84</v>
      </c>
      <c r="I13" s="3"/>
      <c r="J13" s="20"/>
      <c r="K13" s="3"/>
      <c r="L13" s="3">
        <f t="shared" si="0"/>
        <v>874316.47</v>
      </c>
      <c r="M13" s="3"/>
      <c r="N13" s="20">
        <f t="shared" si="1"/>
        <v>-77.006234894978263</v>
      </c>
      <c r="O13" s="12"/>
      <c r="P13" s="3">
        <f>--6646203.19</f>
        <v>6646203.1900000004</v>
      </c>
      <c r="Q13" s="3"/>
      <c r="R13" s="20"/>
      <c r="S13" s="3"/>
      <c r="T13" s="3">
        <f>-144449.03</f>
        <v>-144449.03</v>
      </c>
      <c r="U13" s="3"/>
      <c r="V13" s="20"/>
      <c r="W13" s="3"/>
      <c r="X13" s="3">
        <f t="shared" si="2"/>
        <v>6790652.2200000007</v>
      </c>
      <c r="Y13" s="3"/>
      <c r="Z13" s="20">
        <f t="shared" si="3"/>
        <v>-47.010715267523778</v>
      </c>
    </row>
    <row r="14" spans="1:26" s="69" customFormat="1" ht="15" hidden="1" customHeight="1" outlineLevel="1" x14ac:dyDescent="0.25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--35278.2</f>
        <v>35278.199999999997</v>
      </c>
      <c r="I14" s="3"/>
      <c r="J14" s="20"/>
      <c r="K14" s="3"/>
      <c r="L14" s="3">
        <f t="shared" si="0"/>
        <v>-35278.199999999997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--1299088.56</f>
        <v>1299088.56</v>
      </c>
      <c r="U14" s="3"/>
      <c r="V14" s="20"/>
      <c r="W14" s="3"/>
      <c r="X14" s="3">
        <f t="shared" si="2"/>
        <v>-1299088.56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--11501.84</f>
        <v>11501.84</v>
      </c>
      <c r="I15" s="3"/>
      <c r="J15" s="20"/>
      <c r="K15" s="3"/>
      <c r="L15" s="3">
        <f t="shared" si="0"/>
        <v>-11501.84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--590270.47</f>
        <v>590270.47</v>
      </c>
      <c r="U15" s="3"/>
      <c r="V15" s="20"/>
      <c r="W15" s="3"/>
      <c r="X15" s="3">
        <f t="shared" si="2"/>
        <v>-590270.47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--494.96</f>
        <v>494.96</v>
      </c>
      <c r="I16" s="3"/>
      <c r="J16" s="20"/>
      <c r="K16" s="3"/>
      <c r="L16" s="3">
        <f t="shared" si="0"/>
        <v>-494.96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--18492.84</f>
        <v>18492.84</v>
      </c>
      <c r="U16" s="3"/>
      <c r="V16" s="20"/>
      <c r="W16" s="3"/>
      <c r="X16" s="3">
        <f t="shared" si="2"/>
        <v>-18492.84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--61.96</f>
        <v>61.96</v>
      </c>
      <c r="I18" s="3"/>
      <c r="J18" s="20"/>
      <c r="K18" s="3"/>
      <c r="L18" s="3">
        <f t="shared" si="0"/>
        <v>-61.96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--1325.79</f>
        <v>1325.79</v>
      </c>
      <c r="U18" s="3"/>
      <c r="V18" s="20"/>
      <c r="W18" s="3"/>
      <c r="X18" s="3">
        <f t="shared" si="2"/>
        <v>-1325.79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--31.17</f>
        <v>31.17</v>
      </c>
      <c r="I19" s="3"/>
      <c r="J19" s="20"/>
      <c r="K19" s="3"/>
      <c r="L19" s="3">
        <f t="shared" si="0"/>
        <v>-31.17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--515.72</f>
        <v>515.72</v>
      </c>
      <c r="U19" s="3"/>
      <c r="V19" s="20"/>
      <c r="W19" s="3"/>
      <c r="X19" s="3">
        <f t="shared" si="2"/>
        <v>-515.72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--35.38</f>
        <v>35.380000000000003</v>
      </c>
      <c r="I20" s="3"/>
      <c r="J20" s="20"/>
      <c r="K20" s="3"/>
      <c r="L20" s="3">
        <f t="shared" si="0"/>
        <v>-35.380000000000003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--508.48</f>
        <v>508.48</v>
      </c>
      <c r="U20" s="3"/>
      <c r="V20" s="20"/>
      <c r="W20" s="3"/>
      <c r="X20" s="3">
        <f t="shared" si="2"/>
        <v>-508.48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--36.37</f>
        <v>36.369999999999997</v>
      </c>
      <c r="I21" s="3"/>
      <c r="J21" s="20"/>
      <c r="K21" s="3"/>
      <c r="L21" s="3">
        <f t="shared" si="0"/>
        <v>-36.369999999999997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--522.54</f>
        <v>522.54</v>
      </c>
      <c r="U21" s="3"/>
      <c r="V21" s="20"/>
      <c r="W21" s="3"/>
      <c r="X21" s="3">
        <f t="shared" si="2"/>
        <v>-522.54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--6033.32</f>
        <v>6033.32</v>
      </c>
      <c r="I22" s="3"/>
      <c r="J22" s="20"/>
      <c r="K22" s="3"/>
      <c r="L22" s="3">
        <f t="shared" si="0"/>
        <v>-6033.32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--70104.29</f>
        <v>70104.289999999994</v>
      </c>
      <c r="U22" s="3"/>
      <c r="V22" s="20"/>
      <c r="W22" s="3"/>
      <c r="X22" s="3">
        <f t="shared" si="2"/>
        <v>-70104.289999999994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--1495.15</f>
        <v>1495.15</v>
      </c>
      <c r="I23" s="3"/>
      <c r="J23" s="20"/>
      <c r="K23" s="3"/>
      <c r="L23" s="3">
        <f t="shared" si="0"/>
        <v>-1495.15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--48395.32</f>
        <v>48395.32</v>
      </c>
      <c r="U23" s="3"/>
      <c r="V23" s="20"/>
      <c r="W23" s="3"/>
      <c r="X23" s="3">
        <f t="shared" si="2"/>
        <v>-48395.32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--490.12</f>
        <v>490.12</v>
      </c>
      <c r="I24" s="3"/>
      <c r="J24" s="20"/>
      <c r="K24" s="3"/>
      <c r="L24" s="3">
        <f t="shared" si="0"/>
        <v>-490.12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--4700.71</f>
        <v>4700.71</v>
      </c>
      <c r="U24" s="3"/>
      <c r="V24" s="20"/>
      <c r="W24" s="3"/>
      <c r="X24" s="3">
        <f t="shared" si="2"/>
        <v>-4700.71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","4032"," - ","TAXABLE SALES-JUICE")</f>
        <v xml:space="preserve">          4032 - TAXABLE SALES-JUICE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--444.59</f>
        <v>444.59</v>
      </c>
      <c r="U25" s="3"/>
      <c r="V25" s="20"/>
      <c r="W25" s="3"/>
      <c r="X25" s="3">
        <f t="shared" si="2"/>
        <v>-444.59</v>
      </c>
      <c r="Y25" s="3"/>
      <c r="Z25" s="20">
        <f t="shared" si="3"/>
        <v>-1</v>
      </c>
    </row>
    <row r="26" spans="1:26" s="69" customFormat="1" ht="15" hidden="1" customHeight="1" outlineLevel="1" x14ac:dyDescent="0.25">
      <c r="A26" s="42"/>
      <c r="B26" s="12" t="str">
        <f>CONCATENATE("          ","4034"," - ","TAXABLE SALES-SODA")</f>
        <v xml:space="preserve">          4034 - TAXABLE SALES-SODA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--6.78</f>
        <v>6.78</v>
      </c>
      <c r="U26" s="3"/>
      <c r="V26" s="20"/>
      <c r="W26" s="3"/>
      <c r="X26" s="3">
        <f t="shared" si="2"/>
        <v>-6.78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","4040"," - ","TAXABLE SALES-LOGO CLOTHING")</f>
        <v xml:space="preserve">          4040 - TAXABLE SALES-LOGO CLOTHING</v>
      </c>
      <c r="C27" s="12"/>
      <c r="D27" s="3">
        <f>0</f>
        <v>0</v>
      </c>
      <c r="E27" s="3"/>
      <c r="F27" s="20"/>
      <c r="G27" s="3"/>
      <c r="H27" s="3">
        <f>--187399.42</f>
        <v>187399.42</v>
      </c>
      <c r="I27" s="3"/>
      <c r="J27" s="20"/>
      <c r="K27" s="3"/>
      <c r="L27" s="3">
        <f t="shared" si="0"/>
        <v>-187399.42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--1100580.15</f>
        <v>1100580.1499999999</v>
      </c>
      <c r="U27" s="3"/>
      <c r="V27" s="20"/>
      <c r="W27" s="3"/>
      <c r="X27" s="3">
        <f t="shared" si="2"/>
        <v>-1100580.1499999999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","4041"," - ","TAXABLE SALES-LOGO GIFTS")</f>
        <v xml:space="preserve">          4041 - TAXABLE SALES-LOGO GIFTS</v>
      </c>
      <c r="C28" s="12"/>
      <c r="D28" s="3">
        <f>0</f>
        <v>0</v>
      </c>
      <c r="E28" s="3"/>
      <c r="F28" s="20"/>
      <c r="G28" s="3"/>
      <c r="H28" s="3">
        <f>--191315.61</f>
        <v>191315.61</v>
      </c>
      <c r="I28" s="3"/>
      <c r="J28" s="20"/>
      <c r="K28" s="3"/>
      <c r="L28" s="3">
        <f t="shared" si="0"/>
        <v>-191315.61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--631772.59</f>
        <v>631772.59</v>
      </c>
      <c r="U28" s="3"/>
      <c r="V28" s="20"/>
      <c r="W28" s="3"/>
      <c r="X28" s="3">
        <f t="shared" si="2"/>
        <v>-631772.59</v>
      </c>
      <c r="Y28" s="3"/>
      <c r="Z28" s="20">
        <f t="shared" si="3"/>
        <v>-1</v>
      </c>
    </row>
    <row r="29" spans="1:26" s="69" customFormat="1" ht="15" hidden="1" customHeight="1" outlineLevel="1" x14ac:dyDescent="0.25">
      <c r="A29" s="42"/>
      <c r="B29" s="12" t="str">
        <f>CONCATENATE("          ","4042"," - ","TAXABLE SALES-EVERYDAY GIFTS")</f>
        <v xml:space="preserve">          4042 - TAXABLE SALES-EVERYDAY GIFTS</v>
      </c>
      <c r="C29" s="12"/>
      <c r="D29" s="3">
        <f>0</f>
        <v>0</v>
      </c>
      <c r="E29" s="3"/>
      <c r="F29" s="20"/>
      <c r="G29" s="3"/>
      <c r="H29" s="3">
        <f>--8228.03</f>
        <v>8228.0300000000007</v>
      </c>
      <c r="I29" s="3"/>
      <c r="J29" s="20"/>
      <c r="K29" s="3"/>
      <c r="L29" s="3">
        <f t="shared" si="0"/>
        <v>-8228.0300000000007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--108906.55</f>
        <v>108906.55</v>
      </c>
      <c r="U29" s="3"/>
      <c r="V29" s="20"/>
      <c r="W29" s="3"/>
      <c r="X29" s="3">
        <f t="shared" si="2"/>
        <v>-108906.55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","4043"," - ","TAXABLE SALES-CARDS")</f>
        <v xml:space="preserve">          4043 - TAXABLE SALES-CARDS</v>
      </c>
      <c r="C30" s="12"/>
      <c r="D30" s="3">
        <f>0</f>
        <v>0</v>
      </c>
      <c r="E30" s="3"/>
      <c r="F30" s="20"/>
      <c r="G30" s="3"/>
      <c r="H30" s="3">
        <f>--7218.29</f>
        <v>7218.29</v>
      </c>
      <c r="I30" s="3"/>
      <c r="J30" s="20"/>
      <c r="K30" s="3"/>
      <c r="L30" s="3">
        <f t="shared" si="0"/>
        <v>-7218.29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--144077.67</f>
        <v>144077.67000000001</v>
      </c>
      <c r="U30" s="3"/>
      <c r="V30" s="20"/>
      <c r="W30" s="3"/>
      <c r="X30" s="3">
        <f t="shared" si="2"/>
        <v>-144077.67000000001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","4044"," - ","TAXABLE SALES-ACCESSORIES")</f>
        <v xml:space="preserve">          4044 - TAXABLE SALES-ACCESSORIES</v>
      </c>
      <c r="C31" s="12"/>
      <c r="D31" s="3">
        <f>0</f>
        <v>0</v>
      </c>
      <c r="E31" s="3"/>
      <c r="F31" s="20"/>
      <c r="G31" s="3"/>
      <c r="H31" s="3">
        <f>--5024.1</f>
        <v>5024.1000000000004</v>
      </c>
      <c r="I31" s="3"/>
      <c r="J31" s="20"/>
      <c r="K31" s="3"/>
      <c r="L31" s="3">
        <f t="shared" si="0"/>
        <v>-5024.1000000000004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--41116.33</f>
        <v>41116.33</v>
      </c>
      <c r="U31" s="3"/>
      <c r="V31" s="20"/>
      <c r="W31" s="3"/>
      <c r="X31" s="3">
        <f t="shared" si="2"/>
        <v>-41116.33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","4045"," - ","TAXABLE SALES-SPECIAL ORDERS")</f>
        <v xml:space="preserve">          4045 - TAXABLE SALES-SPECIAL ORDERS</v>
      </c>
      <c r="C32" s="12"/>
      <c r="D32" s="3">
        <f>0</f>
        <v>0</v>
      </c>
      <c r="E32" s="3"/>
      <c r="F32" s="20"/>
      <c r="G32" s="3"/>
      <c r="H32" s="3">
        <f>--26335.59</f>
        <v>26335.59</v>
      </c>
      <c r="I32" s="3"/>
      <c r="J32" s="20"/>
      <c r="K32" s="3"/>
      <c r="L32" s="3">
        <f t="shared" si="0"/>
        <v>-26335.59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--233577.93</f>
        <v>233577.93</v>
      </c>
      <c r="U32" s="3"/>
      <c r="V32" s="20"/>
      <c r="W32" s="3"/>
      <c r="X32" s="3">
        <f t="shared" si="2"/>
        <v>-233577.93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","4051"," - ","TAXABLE SALES-FOOD")</f>
        <v xml:space="preserve">          4051 - TAXABLE SALES-FOOD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--25.17</f>
        <v>25.17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25.17</v>
      </c>
      <c r="Y33" s="3"/>
      <c r="Z33" s="20">
        <f t="shared" si="3"/>
        <v>0</v>
      </c>
    </row>
    <row r="34" spans="1:26" s="69" customFormat="1" ht="15" hidden="1" customHeight="1" outlineLevel="1" x14ac:dyDescent="0.25">
      <c r="A34" s="42"/>
      <c r="B34" s="12" t="str">
        <f>CONCATENATE("          ","4053"," - ","TAXABLE SALES-FOOD")</f>
        <v xml:space="preserve">          4053 - TAXABLE SALES-FOOD</v>
      </c>
      <c r="C34" s="12"/>
      <c r="D34" s="3">
        <f>--275.74</f>
        <v>275.74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275.74</v>
      </c>
      <c r="M34" s="3"/>
      <c r="N34" s="20">
        <f t="shared" si="1"/>
        <v>0</v>
      </c>
      <c r="O34" s="12"/>
      <c r="P34" s="3">
        <f>--1827.05</f>
        <v>1827.05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1827.05</v>
      </c>
      <c r="Y34" s="3"/>
      <c r="Z34" s="20">
        <f t="shared" si="3"/>
        <v>0</v>
      </c>
    </row>
    <row r="35" spans="1:26" s="69" customFormat="1" ht="15" hidden="1" customHeight="1" outlineLevel="1" x14ac:dyDescent="0.25">
      <c r="A35" s="42"/>
      <c r="B35" s="12" t="str">
        <f>CONCATENATE("          ","4081"," - ","TAXABLE SALES-ELECTRONICS")</f>
        <v xml:space="preserve">          4081 - TAXABLE SALES-ELECTRONICS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--71.95</f>
        <v>71.95</v>
      </c>
      <c r="U35" s="3"/>
      <c r="V35" s="20"/>
      <c r="W35" s="3"/>
      <c r="X35" s="3">
        <f t="shared" si="2"/>
        <v>-71.95</v>
      </c>
      <c r="Y35" s="3"/>
      <c r="Z35" s="20">
        <f t="shared" si="3"/>
        <v>-1</v>
      </c>
    </row>
    <row r="36" spans="1:26" s="69" customFormat="1" ht="15" hidden="1" customHeight="1" outlineLevel="1" x14ac:dyDescent="0.25">
      <c r="A36" s="42"/>
      <c r="B36" s="12" t="str">
        <f>CONCATENATE("          ","4083"," - ","TAXABLE SALES-COMPUTER EQUIPME")</f>
        <v xml:space="preserve">          4083 - TAXABLE SALES-COMPUTER EQUIPME</v>
      </c>
      <c r="C36" s="12"/>
      <c r="D36" s="3">
        <f>0</f>
        <v>0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0</v>
      </c>
      <c r="M36" s="3"/>
      <c r="N36" s="20">
        <f t="shared" si="1"/>
        <v>0</v>
      </c>
      <c r="O36" s="12"/>
      <c r="P36" s="3">
        <f>0</f>
        <v>0</v>
      </c>
      <c r="Q36" s="3"/>
      <c r="R36" s="20"/>
      <c r="S36" s="3"/>
      <c r="T36" s="3">
        <f>--9.99</f>
        <v>9.99</v>
      </c>
      <c r="U36" s="3"/>
      <c r="V36" s="20"/>
      <c r="W36" s="3"/>
      <c r="X36" s="3">
        <f t="shared" si="2"/>
        <v>-9.99</v>
      </c>
      <c r="Y36" s="3"/>
      <c r="Z36" s="20">
        <f t="shared" si="3"/>
        <v>-1</v>
      </c>
    </row>
    <row r="37" spans="1:26" s="69" customFormat="1" ht="15" hidden="1" customHeight="1" outlineLevel="1" x14ac:dyDescent="0.25">
      <c r="A37" s="42"/>
      <c r="B37" s="12" t="str">
        <f>CONCATENATE("          ","4095"," - ","TAXABLE SALES-CUSTOMER SERVICE")</f>
        <v xml:space="preserve">          4095 - TAXABLE SALES-CUSTOMER SERVICE</v>
      </c>
      <c r="C37" s="12"/>
      <c r="D37" s="3">
        <f>0</f>
        <v>0</v>
      </c>
      <c r="E37" s="3"/>
      <c r="F37" s="20"/>
      <c r="G37" s="3"/>
      <c r="H37" s="3">
        <f>--10891.24</f>
        <v>10891.24</v>
      </c>
      <c r="I37" s="3"/>
      <c r="J37" s="20"/>
      <c r="K37" s="3"/>
      <c r="L37" s="3">
        <f t="shared" si="0"/>
        <v>-10891.24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--13925.83</f>
        <v>13925.83</v>
      </c>
      <c r="U37" s="3"/>
      <c r="V37" s="20"/>
      <c r="W37" s="3"/>
      <c r="X37" s="3">
        <f t="shared" si="2"/>
        <v>-13925.83</v>
      </c>
      <c r="Y37" s="3"/>
      <c r="Z37" s="20">
        <f t="shared" si="3"/>
        <v>-1</v>
      </c>
    </row>
    <row r="38" spans="1:26" s="69" customFormat="1" ht="15" hidden="1" customHeight="1" outlineLevel="1" x14ac:dyDescent="0.25">
      <c r="A38" s="42"/>
      <c r="B38" s="12" t="str">
        <f>CONCATENATE("          ","4100"," - ","NON-TAXABLE SALES")</f>
        <v xml:space="preserve">          4100 - NON-TAXABLE SALES</v>
      </c>
      <c r="C38" s="12"/>
      <c r="D38" s="3">
        <f>--147224.85</f>
        <v>147224.85</v>
      </c>
      <c r="E38" s="3"/>
      <c r="F38" s="20"/>
      <c r="G38" s="3"/>
      <c r="H38" s="3">
        <f>--3546.21</f>
        <v>3546.21</v>
      </c>
      <c r="I38" s="3"/>
      <c r="J38" s="20"/>
      <c r="K38" s="3"/>
      <c r="L38" s="3">
        <f t="shared" si="0"/>
        <v>143678.64000000001</v>
      </c>
      <c r="M38" s="3"/>
      <c r="N38" s="20">
        <f t="shared" si="1"/>
        <v>40.516111566996884</v>
      </c>
      <c r="O38" s="12"/>
      <c r="P38" s="3">
        <f>--1754791.31</f>
        <v>1754791.31</v>
      </c>
      <c r="Q38" s="3"/>
      <c r="R38" s="20"/>
      <c r="S38" s="3"/>
      <c r="T38" s="3">
        <f>--277384.98</f>
        <v>277384.98</v>
      </c>
      <c r="U38" s="3"/>
      <c r="V38" s="20"/>
      <c r="W38" s="3"/>
      <c r="X38" s="3">
        <f t="shared" si="2"/>
        <v>1477406.33</v>
      </c>
      <c r="Y38" s="3"/>
      <c r="Z38" s="20">
        <f t="shared" si="3"/>
        <v>5.3261944103822785</v>
      </c>
    </row>
    <row r="39" spans="1:26" s="69" customFormat="1" ht="15" hidden="1" customHeight="1" outlineLevel="1" x14ac:dyDescent="0.25">
      <c r="A39" s="42"/>
      <c r="B39" s="12" t="str">
        <f>CONCATENATE("          ","4101"," - ","NON-TAXABLE SALES-NEW TEXT")</f>
        <v xml:space="preserve">          4101 - NON-TAXABLE SALES-NEW TEXT</v>
      </c>
      <c r="C39" s="12"/>
      <c r="D39" s="3">
        <f>0</f>
        <v>0</v>
      </c>
      <c r="E39" s="3"/>
      <c r="F39" s="20"/>
      <c r="G39" s="3"/>
      <c r="H39" s="3">
        <f>--6450.33</f>
        <v>6450.33</v>
      </c>
      <c r="I39" s="3"/>
      <c r="J39" s="20"/>
      <c r="K39" s="3"/>
      <c r="L39" s="3">
        <f t="shared" si="0"/>
        <v>-6450.33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--119247.07</f>
        <v>119247.07</v>
      </c>
      <c r="U39" s="3"/>
      <c r="V39" s="20"/>
      <c r="W39" s="3"/>
      <c r="X39" s="3">
        <f t="shared" si="2"/>
        <v>-119247.07</v>
      </c>
      <c r="Y39" s="3"/>
      <c r="Z39" s="20">
        <f t="shared" si="3"/>
        <v>-1</v>
      </c>
    </row>
    <row r="40" spans="1:26" s="69" customFormat="1" ht="15" hidden="1" customHeight="1" outlineLevel="1" x14ac:dyDescent="0.25">
      <c r="A40" s="42"/>
      <c r="B40" s="12" t="str">
        <f>CONCATENATE("          ","4102"," - ","NON-TAXABLE SALES-USED TEXT")</f>
        <v xml:space="preserve">          4102 - NON-TAXABLE SALES-USED TEXT</v>
      </c>
      <c r="C40" s="12"/>
      <c r="D40" s="3">
        <f>0</f>
        <v>0</v>
      </c>
      <c r="E40" s="3"/>
      <c r="F40" s="20"/>
      <c r="G40" s="3"/>
      <c r="H40" s="3">
        <f>--2343.31</f>
        <v>2343.31</v>
      </c>
      <c r="I40" s="3"/>
      <c r="J40" s="20"/>
      <c r="K40" s="3"/>
      <c r="L40" s="3">
        <f t="shared" si="0"/>
        <v>-2343.31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--51046.73</f>
        <v>51046.73</v>
      </c>
      <c r="U40" s="3"/>
      <c r="V40" s="20"/>
      <c r="W40" s="3"/>
      <c r="X40" s="3">
        <f t="shared" si="2"/>
        <v>-51046.73</v>
      </c>
      <c r="Y40" s="3"/>
      <c r="Z40" s="20">
        <f t="shared" si="3"/>
        <v>-1</v>
      </c>
    </row>
    <row r="41" spans="1:26" s="69" customFormat="1" ht="15" hidden="1" customHeight="1" outlineLevel="1" x14ac:dyDescent="0.25">
      <c r="A41" s="42"/>
      <c r="B41" s="12" t="str">
        <f>CONCATENATE("          ","4103"," - ","NON-TAXABLE SALES-RENTAL TEXT")</f>
        <v xml:space="preserve">          4103 - NON-TAXABLE SALES-RENTAL TEXT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--1138.95</f>
        <v>1138.95</v>
      </c>
      <c r="U41" s="3"/>
      <c r="V41" s="20"/>
      <c r="W41" s="3"/>
      <c r="X41" s="3">
        <f t="shared" si="2"/>
        <v>-1138.95</v>
      </c>
      <c r="Y41" s="3"/>
      <c r="Z41" s="20">
        <f t="shared" si="3"/>
        <v>-1</v>
      </c>
    </row>
    <row r="42" spans="1:26" s="69" customFormat="1" ht="15" hidden="1" customHeight="1" outlineLevel="1" x14ac:dyDescent="0.25">
      <c r="A42" s="42"/>
      <c r="B42" s="12" t="str">
        <f>CONCATENATE("          ","4104"," - ","NON-TAXABLE SALES-DIGITAL TEXT")</f>
        <v xml:space="preserve">          4104 - NON-TAXABLE SALES-DIGITAL TEXT</v>
      </c>
      <c r="C42" s="12"/>
      <c r="D42" s="3">
        <f>0</f>
        <v>0</v>
      </c>
      <c r="E42" s="3"/>
      <c r="F42" s="20"/>
      <c r="G42" s="3"/>
      <c r="H42" s="3">
        <f>--10484.56</f>
        <v>10484.56</v>
      </c>
      <c r="I42" s="3"/>
      <c r="J42" s="20"/>
      <c r="K42" s="3"/>
      <c r="L42" s="3">
        <f t="shared" si="0"/>
        <v>-10484.56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--490887.73</f>
        <v>490887.73</v>
      </c>
      <c r="U42" s="3"/>
      <c r="V42" s="20"/>
      <c r="W42" s="3"/>
      <c r="X42" s="3">
        <f t="shared" si="2"/>
        <v>-490887.73</v>
      </c>
      <c r="Y42" s="3"/>
      <c r="Z42" s="20">
        <f t="shared" si="3"/>
        <v>-1</v>
      </c>
    </row>
    <row r="43" spans="1:26" s="69" customFormat="1" ht="15" hidden="1" customHeight="1" outlineLevel="1" x14ac:dyDescent="0.25">
      <c r="A43" s="42"/>
      <c r="B43" s="12" t="str">
        <f>CONCATENATE("          ","4113"," - ","NON-TAXABLE SALES-TRADE BOOKS")</f>
        <v xml:space="preserve">          4113 - NON-TAXABLE SALES-TRADE BOOKS</v>
      </c>
      <c r="C43" s="12"/>
      <c r="D43" s="3">
        <f>0</f>
        <v>0</v>
      </c>
      <c r="E43" s="3"/>
      <c r="F43" s="20"/>
      <c r="G43" s="3"/>
      <c r="H43" s="3">
        <f>0</f>
        <v>0</v>
      </c>
      <c r="I43" s="3"/>
      <c r="J43" s="20"/>
      <c r="K43" s="3"/>
      <c r="L43" s="3">
        <f t="shared" si="0"/>
        <v>0</v>
      </c>
      <c r="M43" s="3"/>
      <c r="N43" s="20">
        <f t="shared" si="1"/>
        <v>0</v>
      </c>
      <c r="O43" s="12"/>
      <c r="P43" s="3">
        <f>0</f>
        <v>0</v>
      </c>
      <c r="Q43" s="3"/>
      <c r="R43" s="20"/>
      <c r="S43" s="3"/>
      <c r="T43" s="3">
        <f>--12127.25</f>
        <v>12127.25</v>
      </c>
      <c r="U43" s="3"/>
      <c r="V43" s="20"/>
      <c r="W43" s="3"/>
      <c r="X43" s="3">
        <f t="shared" si="2"/>
        <v>-12127.25</v>
      </c>
      <c r="Y43" s="3"/>
      <c r="Z43" s="20">
        <f t="shared" si="3"/>
        <v>-1</v>
      </c>
    </row>
    <row r="44" spans="1:26" s="69" customFormat="1" ht="15" hidden="1" customHeight="1" outlineLevel="1" x14ac:dyDescent="0.25">
      <c r="A44" s="42"/>
      <c r="B44" s="12" t="str">
        <f>CONCATENATE("          ","4118"," - ","NON-TAXABLE SALES-STUDY GUIDES")</f>
        <v xml:space="preserve">          4118 - NON-TAXABLE SALES-STUDY GUIDES</v>
      </c>
      <c r="C44" s="12"/>
      <c r="D44" s="3">
        <f>0</f>
        <v>0</v>
      </c>
      <c r="E44" s="3"/>
      <c r="F44" s="20"/>
      <c r="G44" s="3"/>
      <c r="H44" s="3">
        <f>0</f>
        <v>0</v>
      </c>
      <c r="I44" s="3"/>
      <c r="J44" s="20"/>
      <c r="K44" s="3"/>
      <c r="L44" s="3">
        <f t="shared" ref="L44:L75" si="4">+D44-H44</f>
        <v>0</v>
      </c>
      <c r="M44" s="3"/>
      <c r="N44" s="20">
        <f t="shared" ref="N44:N75" si="5">IF(H44=0,0,L44/H44)</f>
        <v>0</v>
      </c>
      <c r="O44" s="12"/>
      <c r="P44" s="3">
        <f>0</f>
        <v>0</v>
      </c>
      <c r="Q44" s="3"/>
      <c r="R44" s="20"/>
      <c r="S44" s="3"/>
      <c r="T44" s="3">
        <f>--771.73</f>
        <v>771.73</v>
      </c>
      <c r="U44" s="3"/>
      <c r="V44" s="20"/>
      <c r="W44" s="3"/>
      <c r="X44" s="3">
        <f t="shared" ref="X44:X75" si="6">+P44-T44</f>
        <v>-771.73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25">
      <c r="A45" s="42"/>
      <c r="B45" s="12" t="str">
        <f>CONCATENATE("          ","4126"," - ","NON-TAXABLE SALES-WRITING INST")</f>
        <v xml:space="preserve">          4126 - NON-TAXABLE SALES-WRITING INST</v>
      </c>
      <c r="C45" s="12"/>
      <c r="D45" s="3">
        <f>0</f>
        <v>0</v>
      </c>
      <c r="E45" s="3"/>
      <c r="F45" s="20"/>
      <c r="G45" s="3"/>
      <c r="H45" s="3">
        <f>0</f>
        <v>0</v>
      </c>
      <c r="I45" s="3"/>
      <c r="J45" s="20"/>
      <c r="K45" s="3"/>
      <c r="L45" s="3">
        <f t="shared" si="4"/>
        <v>0</v>
      </c>
      <c r="M45" s="3"/>
      <c r="N45" s="20">
        <f t="shared" si="5"/>
        <v>0</v>
      </c>
      <c r="O45" s="12"/>
      <c r="P45" s="3">
        <f>0</f>
        <v>0</v>
      </c>
      <c r="Q45" s="3"/>
      <c r="R45" s="20"/>
      <c r="S45" s="3"/>
      <c r="T45" s="3">
        <f>--52.68</f>
        <v>52.68</v>
      </c>
      <c r="U45" s="3"/>
      <c r="V45" s="20"/>
      <c r="W45" s="3"/>
      <c r="X45" s="3">
        <f t="shared" si="6"/>
        <v>-52.68</v>
      </c>
      <c r="Y45" s="3"/>
      <c r="Z45" s="20">
        <f t="shared" si="7"/>
        <v>-1</v>
      </c>
    </row>
    <row r="46" spans="1:26" s="69" customFormat="1" ht="15" hidden="1" customHeight="1" outlineLevel="1" x14ac:dyDescent="0.25">
      <c r="A46" s="42"/>
      <c r="B46" s="12" t="str">
        <f>CONCATENATE("          ","4127"," - ","NON-TAXABLE SALES-SCHOOL SUPPL")</f>
        <v xml:space="preserve">          4127 - NON-TAXABLE SALES-SCHOOL SUPPL</v>
      </c>
      <c r="C46" s="12"/>
      <c r="D46" s="3">
        <f>0</f>
        <v>0</v>
      </c>
      <c r="E46" s="3"/>
      <c r="F46" s="20"/>
      <c r="G46" s="3"/>
      <c r="H46" s="3">
        <f>--548.05</f>
        <v>548.04999999999995</v>
      </c>
      <c r="I46" s="3"/>
      <c r="J46" s="20"/>
      <c r="K46" s="3"/>
      <c r="L46" s="3">
        <f t="shared" si="4"/>
        <v>-548.04999999999995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--7648.73</f>
        <v>7648.73</v>
      </c>
      <c r="U46" s="3"/>
      <c r="V46" s="20"/>
      <c r="W46" s="3"/>
      <c r="X46" s="3">
        <f t="shared" si="6"/>
        <v>-7648.73</v>
      </c>
      <c r="Y46" s="3"/>
      <c r="Z46" s="20">
        <f t="shared" si="7"/>
        <v>-1</v>
      </c>
    </row>
    <row r="47" spans="1:26" s="69" customFormat="1" ht="15" hidden="1" customHeight="1" outlineLevel="1" x14ac:dyDescent="0.25">
      <c r="A47" s="42"/>
      <c r="B47" s="12" t="str">
        <f>CONCATENATE("          ","4128"," - ","NON-TAXABLE SALES-ART/TECH")</f>
        <v xml:space="preserve">          4128 - NON-TAXABLE SALES-ART/TECH</v>
      </c>
      <c r="C47" s="12"/>
      <c r="D47" s="3">
        <f>0</f>
        <v>0</v>
      </c>
      <c r="E47" s="3"/>
      <c r="F47" s="20"/>
      <c r="G47" s="3"/>
      <c r="H47" s="3">
        <f>--45.96</f>
        <v>45.96</v>
      </c>
      <c r="I47" s="3"/>
      <c r="J47" s="20"/>
      <c r="K47" s="3"/>
      <c r="L47" s="3">
        <f t="shared" si="4"/>
        <v>-45.96</v>
      </c>
      <c r="M47" s="3"/>
      <c r="N47" s="20">
        <f t="shared" si="5"/>
        <v>-1</v>
      </c>
      <c r="O47" s="12"/>
      <c r="P47" s="3">
        <f>0</f>
        <v>0</v>
      </c>
      <c r="Q47" s="3"/>
      <c r="R47" s="20"/>
      <c r="S47" s="3"/>
      <c r="T47" s="3">
        <f>--115.91</f>
        <v>115.91</v>
      </c>
      <c r="U47" s="3"/>
      <c r="V47" s="20"/>
      <c r="W47" s="3"/>
      <c r="X47" s="3">
        <f t="shared" si="6"/>
        <v>-115.91</v>
      </c>
      <c r="Y47" s="3"/>
      <c r="Z47" s="20">
        <f t="shared" si="7"/>
        <v>-1</v>
      </c>
    </row>
    <row r="48" spans="1:26" s="69" customFormat="1" ht="15" hidden="1" customHeight="1" outlineLevel="1" x14ac:dyDescent="0.25">
      <c r="A48" s="42"/>
      <c r="B48" s="12" t="str">
        <f>CONCATENATE("          ","4131"," - ","NON-TAXABLE SALES-FOOD")</f>
        <v xml:space="preserve">          4131 - NON-TAXABLE SALES-FOOD</v>
      </c>
      <c r="C48" s="12"/>
      <c r="D48" s="3">
        <f>0</f>
        <v>0</v>
      </c>
      <c r="E48" s="3"/>
      <c r="F48" s="20"/>
      <c r="G48" s="3"/>
      <c r="H48" s="3">
        <f>--775.78</f>
        <v>775.78</v>
      </c>
      <c r="I48" s="3"/>
      <c r="J48" s="20"/>
      <c r="K48" s="3"/>
      <c r="L48" s="3">
        <f t="shared" si="4"/>
        <v>-775.78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--12156.14</f>
        <v>12156.14</v>
      </c>
      <c r="U48" s="3"/>
      <c r="V48" s="20"/>
      <c r="W48" s="3"/>
      <c r="X48" s="3">
        <f t="shared" si="6"/>
        <v>-12156.14</v>
      </c>
      <c r="Y48" s="3"/>
      <c r="Z48" s="20">
        <f t="shared" si="7"/>
        <v>-1</v>
      </c>
    </row>
    <row r="49" spans="1:26" s="69" customFormat="1" ht="15" hidden="1" customHeight="1" outlineLevel="1" x14ac:dyDescent="0.25">
      <c r="A49" s="42"/>
      <c r="B49" s="12" t="str">
        <f>CONCATENATE("          ","4132"," - ","NON-TAXABLE SALES-JUICE")</f>
        <v xml:space="preserve">          4132 - NON-TAXABLE SALES-JUICE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--2054.37</f>
        <v>2054.37</v>
      </c>
      <c r="U49" s="3"/>
      <c r="V49" s="20"/>
      <c r="W49" s="3"/>
      <c r="X49" s="3">
        <f t="shared" si="6"/>
        <v>-2054.37</v>
      </c>
      <c r="Y49" s="3"/>
      <c r="Z49" s="20">
        <f t="shared" si="7"/>
        <v>-1</v>
      </c>
    </row>
    <row r="50" spans="1:26" s="69" customFormat="1" ht="15" hidden="1" customHeight="1" outlineLevel="1" x14ac:dyDescent="0.25">
      <c r="A50" s="42"/>
      <c r="B50" s="12" t="str">
        <f>CONCATENATE("          ","4133"," - ","NON-TAXABLE SALES-CANDY")</f>
        <v xml:space="preserve">          4133 - NON-TAXABLE SALES-CANDY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--80.71</f>
        <v>80.709999999999994</v>
      </c>
      <c r="U50" s="3"/>
      <c r="V50" s="20"/>
      <c r="W50" s="3"/>
      <c r="X50" s="3">
        <f t="shared" si="6"/>
        <v>-80.709999999999994</v>
      </c>
      <c r="Y50" s="3"/>
      <c r="Z50" s="20">
        <f t="shared" si="7"/>
        <v>-1</v>
      </c>
    </row>
    <row r="51" spans="1:26" s="69" customFormat="1" ht="15" hidden="1" customHeight="1" outlineLevel="1" x14ac:dyDescent="0.25">
      <c r="A51" s="42"/>
      <c r="B51" s="12" t="str">
        <f>CONCATENATE("          ","4134"," - ","NON-TAXABLE SALES-SODA")</f>
        <v xml:space="preserve">          4134 - NON-TAXABLE SALES-SODA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--45.53</f>
        <v>45.53</v>
      </c>
      <c r="U51" s="3"/>
      <c r="V51" s="20"/>
      <c r="W51" s="3"/>
      <c r="X51" s="3">
        <f t="shared" si="6"/>
        <v>-45.53</v>
      </c>
      <c r="Y51" s="3"/>
      <c r="Z51" s="20">
        <f t="shared" si="7"/>
        <v>-1</v>
      </c>
    </row>
    <row r="52" spans="1:26" s="69" customFormat="1" ht="15" hidden="1" customHeight="1" outlineLevel="1" x14ac:dyDescent="0.25">
      <c r="A52" s="42"/>
      <c r="B52" s="12" t="str">
        <f>CONCATENATE("          ","4137"," - ","NON-TAXABLE SALES-WATER")</f>
        <v xml:space="preserve">          4137 - NON-TAXABLE SALES-WATER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4"/>
        <v>0</v>
      </c>
      <c r="M52" s="3"/>
      <c r="N52" s="20">
        <f t="shared" si="5"/>
        <v>0</v>
      </c>
      <c r="O52" s="12"/>
      <c r="P52" s="3">
        <f>0</f>
        <v>0</v>
      </c>
      <c r="Q52" s="3"/>
      <c r="R52" s="20"/>
      <c r="S52" s="3"/>
      <c r="T52" s="3">
        <f>--68.25</f>
        <v>68.25</v>
      </c>
      <c r="U52" s="3"/>
      <c r="V52" s="20"/>
      <c r="W52" s="3"/>
      <c r="X52" s="3">
        <f t="shared" si="6"/>
        <v>-68.25</v>
      </c>
      <c r="Y52" s="3"/>
      <c r="Z52" s="20">
        <f t="shared" si="7"/>
        <v>-1</v>
      </c>
    </row>
    <row r="53" spans="1:26" s="69" customFormat="1" ht="15" hidden="1" customHeight="1" outlineLevel="1" x14ac:dyDescent="0.25">
      <c r="A53" s="42"/>
      <c r="B53" s="12" t="str">
        <f>CONCATENATE("          ","4140"," - ","NON-TAXABLE SALES-LOGO CLOTHIN")</f>
        <v xml:space="preserve">          4140 - NON-TAXABLE SALES-LOGO CLOTHIN</v>
      </c>
      <c r="C53" s="12"/>
      <c r="D53" s="3">
        <f>0</f>
        <v>0</v>
      </c>
      <c r="E53" s="3"/>
      <c r="F53" s="20"/>
      <c r="G53" s="3"/>
      <c r="H53" s="3">
        <f>--16733.37</f>
        <v>16733.37</v>
      </c>
      <c r="I53" s="3"/>
      <c r="J53" s="20"/>
      <c r="K53" s="3"/>
      <c r="L53" s="3">
        <f t="shared" si="4"/>
        <v>-16733.37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--171525.76</f>
        <v>171525.76000000001</v>
      </c>
      <c r="U53" s="3"/>
      <c r="V53" s="20"/>
      <c r="W53" s="3"/>
      <c r="X53" s="3">
        <f t="shared" si="6"/>
        <v>-171525.76000000001</v>
      </c>
      <c r="Y53" s="3"/>
      <c r="Z53" s="20">
        <f t="shared" si="7"/>
        <v>-1</v>
      </c>
    </row>
    <row r="54" spans="1:26" s="69" customFormat="1" ht="15" hidden="1" customHeight="1" outlineLevel="1" x14ac:dyDescent="0.25">
      <c r="A54" s="42"/>
      <c r="B54" s="12" t="str">
        <f>CONCATENATE("          ","4141"," - ","NON-TAXABLE SALES-LOGO GIFTS")</f>
        <v xml:space="preserve">          4141 - NON-TAXABLE SALES-LOGO GIFTS</v>
      </c>
      <c r="C54" s="12"/>
      <c r="D54" s="3">
        <f>0</f>
        <v>0</v>
      </c>
      <c r="E54" s="3"/>
      <c r="F54" s="20"/>
      <c r="G54" s="3"/>
      <c r="H54" s="3">
        <f>--2359.22</f>
        <v>2359.2199999999998</v>
      </c>
      <c r="I54" s="3"/>
      <c r="J54" s="20"/>
      <c r="K54" s="3"/>
      <c r="L54" s="3">
        <f t="shared" si="4"/>
        <v>-2359.2199999999998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--39156.03</f>
        <v>39156.03</v>
      </c>
      <c r="U54" s="3"/>
      <c r="V54" s="20"/>
      <c r="W54" s="3"/>
      <c r="X54" s="3">
        <f t="shared" si="6"/>
        <v>-39156.03</v>
      </c>
      <c r="Y54" s="3"/>
      <c r="Z54" s="20">
        <f t="shared" si="7"/>
        <v>-1</v>
      </c>
    </row>
    <row r="55" spans="1:26" s="69" customFormat="1" ht="15" hidden="1" customHeight="1" outlineLevel="1" x14ac:dyDescent="0.25">
      <c r="A55" s="42"/>
      <c r="B55" s="12" t="str">
        <f>CONCATENATE("          ","4142"," - ","NON-TAXABLE SALES-EVERYDAY GIF")</f>
        <v xml:space="preserve">          4142 - NON-TAXABLE SALES-EVERYDAY GIF</v>
      </c>
      <c r="C55" s="12"/>
      <c r="D55" s="3">
        <f>0</f>
        <v>0</v>
      </c>
      <c r="E55" s="3"/>
      <c r="F55" s="20"/>
      <c r="G55" s="3"/>
      <c r="H55" s="3">
        <f>--16.35</f>
        <v>16.350000000000001</v>
      </c>
      <c r="I55" s="3"/>
      <c r="J55" s="20"/>
      <c r="K55" s="3"/>
      <c r="L55" s="3">
        <f t="shared" si="4"/>
        <v>-16.350000000000001</v>
      </c>
      <c r="M55" s="3"/>
      <c r="N55" s="20">
        <f t="shared" si="5"/>
        <v>-1</v>
      </c>
      <c r="O55" s="12"/>
      <c r="P55" s="3">
        <f>0</f>
        <v>0</v>
      </c>
      <c r="Q55" s="3"/>
      <c r="R55" s="20"/>
      <c r="S55" s="3"/>
      <c r="T55" s="3">
        <f>--2604.45</f>
        <v>2604.4499999999998</v>
      </c>
      <c r="U55" s="3"/>
      <c r="V55" s="20"/>
      <c r="W55" s="3"/>
      <c r="X55" s="3">
        <f t="shared" si="6"/>
        <v>-2604.4499999999998</v>
      </c>
      <c r="Y55" s="3"/>
      <c r="Z55" s="20">
        <f t="shared" si="7"/>
        <v>-1</v>
      </c>
    </row>
    <row r="56" spans="1:26" s="69" customFormat="1" ht="15" hidden="1" customHeight="1" outlineLevel="1" x14ac:dyDescent="0.25">
      <c r="A56" s="42"/>
      <c r="B56" s="12" t="str">
        <f>CONCATENATE("          ","4143"," - ","NON-TAXABLE SALES-CARDS")</f>
        <v xml:space="preserve">          4143 - NON-TAXABLE SALES-CARDS</v>
      </c>
      <c r="C56" s="12"/>
      <c r="D56" s="3">
        <f>0</f>
        <v>0</v>
      </c>
      <c r="E56" s="3"/>
      <c r="F56" s="20"/>
      <c r="G56" s="3"/>
      <c r="H56" s="3">
        <f>--120.71</f>
        <v>120.71</v>
      </c>
      <c r="I56" s="3"/>
      <c r="J56" s="20"/>
      <c r="K56" s="3"/>
      <c r="L56" s="3">
        <f t="shared" si="4"/>
        <v>-120.71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--2552.16</f>
        <v>2552.16</v>
      </c>
      <c r="U56" s="3"/>
      <c r="V56" s="20"/>
      <c r="W56" s="3"/>
      <c r="X56" s="3">
        <f t="shared" si="6"/>
        <v>-2552.16</v>
      </c>
      <c r="Y56" s="3"/>
      <c r="Z56" s="20">
        <f t="shared" si="7"/>
        <v>-1</v>
      </c>
    </row>
    <row r="57" spans="1:26" s="69" customFormat="1" ht="15" hidden="1" customHeight="1" outlineLevel="1" x14ac:dyDescent="0.25">
      <c r="A57" s="42"/>
      <c r="B57" s="12" t="str">
        <f>CONCATENATE("          ","4144"," - ","NON-TAXABLE SALES-ACCESSORIES")</f>
        <v xml:space="preserve">          4144 - NON-TAXABLE SALES-ACCESSORIES</v>
      </c>
      <c r="C57" s="12"/>
      <c r="D57" s="3">
        <f>0</f>
        <v>0</v>
      </c>
      <c r="E57" s="3"/>
      <c r="F57" s="20"/>
      <c r="G57" s="3"/>
      <c r="H57" s="3">
        <f>--164.7</f>
        <v>164.7</v>
      </c>
      <c r="I57" s="3"/>
      <c r="J57" s="20"/>
      <c r="K57" s="3"/>
      <c r="L57" s="3">
        <f t="shared" si="4"/>
        <v>-164.7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--873.8</f>
        <v>873.8</v>
      </c>
      <c r="U57" s="3"/>
      <c r="V57" s="20"/>
      <c r="W57" s="3"/>
      <c r="X57" s="3">
        <f t="shared" si="6"/>
        <v>-873.8</v>
      </c>
      <c r="Y57" s="3"/>
      <c r="Z57" s="20">
        <f t="shared" si="7"/>
        <v>-1</v>
      </c>
    </row>
    <row r="58" spans="1:26" s="69" customFormat="1" ht="15" hidden="1" customHeight="1" outlineLevel="1" x14ac:dyDescent="0.25">
      <c r="A58" s="42"/>
      <c r="B58" s="12" t="str">
        <f>CONCATENATE("          ","4145"," - ","NON-TAXABLE SALES-SPECIAL ORDE")</f>
        <v xml:space="preserve">          4145 - NON-TAXABLE SALES-SPECIAL ORDE</v>
      </c>
      <c r="C58" s="12"/>
      <c r="D58" s="3">
        <f>0</f>
        <v>0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0</v>
      </c>
      <c r="M58" s="3"/>
      <c r="N58" s="20">
        <f t="shared" si="5"/>
        <v>0</v>
      </c>
      <c r="O58" s="12"/>
      <c r="P58" s="3">
        <f>0</f>
        <v>0</v>
      </c>
      <c r="Q58" s="3"/>
      <c r="R58" s="20"/>
      <c r="S58" s="3"/>
      <c r="T58" s="3">
        <f>--74066.89</f>
        <v>74066.89</v>
      </c>
      <c r="U58" s="3"/>
      <c r="V58" s="20"/>
      <c r="W58" s="3"/>
      <c r="X58" s="3">
        <f t="shared" si="6"/>
        <v>-74066.89</v>
      </c>
      <c r="Y58" s="3"/>
      <c r="Z58" s="20">
        <f t="shared" si="7"/>
        <v>-1</v>
      </c>
    </row>
    <row r="59" spans="1:26" s="69" customFormat="1" ht="15" hidden="1" customHeight="1" outlineLevel="1" x14ac:dyDescent="0.25">
      <c r="A59" s="42"/>
      <c r="B59" s="12" t="str">
        <f>CONCATENATE("          ","4146"," - ","NON-TAXABLE SALES-COIN OP MACH")</f>
        <v xml:space="preserve">          4146 - NON-TAXABLE SALES-COIN OP MACH</v>
      </c>
      <c r="C59" s="12"/>
      <c r="D59" s="3">
        <f>0</f>
        <v>0</v>
      </c>
      <c r="E59" s="3"/>
      <c r="F59" s="20"/>
      <c r="G59" s="3"/>
      <c r="H59" s="3">
        <f>--56.6</f>
        <v>56.6</v>
      </c>
      <c r="I59" s="3"/>
      <c r="J59" s="20"/>
      <c r="K59" s="3"/>
      <c r="L59" s="3">
        <f t="shared" si="4"/>
        <v>-56.6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--385.9</f>
        <v>385.9</v>
      </c>
      <c r="U59" s="3"/>
      <c r="V59" s="20"/>
      <c r="W59" s="3"/>
      <c r="X59" s="3">
        <f t="shared" si="6"/>
        <v>-385.9</v>
      </c>
      <c r="Y59" s="3"/>
      <c r="Z59" s="20">
        <f t="shared" si="7"/>
        <v>-1</v>
      </c>
    </row>
    <row r="60" spans="1:26" s="69" customFormat="1" ht="15" hidden="1" customHeight="1" outlineLevel="1" x14ac:dyDescent="0.25">
      <c r="A60" s="42"/>
      <c r="B60" s="12" t="str">
        <f>CONCATENATE("          ","4147"," - ","NON-TAXABLE SALES-MISC")</f>
        <v xml:space="preserve">          4147 - NON-TAXABLE SALES-MISC</v>
      </c>
      <c r="C60" s="12"/>
      <c r="D60" s="3">
        <f>0</f>
        <v>0</v>
      </c>
      <c r="E60" s="3"/>
      <c r="F60" s="20"/>
      <c r="G60" s="3"/>
      <c r="H60" s="3">
        <f>--13.5</f>
        <v>13.5</v>
      </c>
      <c r="I60" s="3"/>
      <c r="J60" s="20"/>
      <c r="K60" s="3"/>
      <c r="L60" s="3">
        <f t="shared" si="4"/>
        <v>-13.5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--168</f>
        <v>168</v>
      </c>
      <c r="U60" s="3"/>
      <c r="V60" s="20"/>
      <c r="W60" s="3"/>
      <c r="X60" s="3">
        <f t="shared" si="6"/>
        <v>-168</v>
      </c>
      <c r="Y60" s="3"/>
      <c r="Z60" s="20">
        <f t="shared" si="7"/>
        <v>-1</v>
      </c>
    </row>
    <row r="61" spans="1:26" s="69" customFormat="1" ht="15" hidden="1" customHeight="1" outlineLevel="1" x14ac:dyDescent="0.25">
      <c r="A61" s="42"/>
      <c r="B61" s="12" t="str">
        <f>CONCATENATE("          ","4151"," - ","NON-TAXABLE SALES-FOOD")</f>
        <v xml:space="preserve">          4151 - NON-TAXABLE SALES-FOOD</v>
      </c>
      <c r="C61" s="12"/>
      <c r="D61" s="3">
        <f>0</f>
        <v>0</v>
      </c>
      <c r="E61" s="3"/>
      <c r="F61" s="20"/>
      <c r="G61" s="3"/>
      <c r="H61" s="3">
        <f>0</f>
        <v>0</v>
      </c>
      <c r="I61" s="3"/>
      <c r="J61" s="20"/>
      <c r="K61" s="3"/>
      <c r="L61" s="3">
        <f t="shared" si="4"/>
        <v>0</v>
      </c>
      <c r="M61" s="3"/>
      <c r="N61" s="20">
        <f t="shared" si="5"/>
        <v>0</v>
      </c>
      <c r="O61" s="12"/>
      <c r="P61" s="3">
        <f>--206.32</f>
        <v>206.32</v>
      </c>
      <c r="Q61" s="3"/>
      <c r="R61" s="20"/>
      <c r="S61" s="3"/>
      <c r="T61" s="3">
        <f>0</f>
        <v>0</v>
      </c>
      <c r="U61" s="3"/>
      <c r="V61" s="20"/>
      <c r="W61" s="3"/>
      <c r="X61" s="3">
        <f t="shared" si="6"/>
        <v>206.32</v>
      </c>
      <c r="Y61" s="3"/>
      <c r="Z61" s="20">
        <f t="shared" si="7"/>
        <v>0</v>
      </c>
    </row>
    <row r="62" spans="1:26" s="69" customFormat="1" ht="15" hidden="1" customHeight="1" outlineLevel="1" x14ac:dyDescent="0.25">
      <c r="A62" s="42"/>
      <c r="B62" s="12" t="str">
        <f>CONCATENATE("          ","4153"," - ","NON-TAXABLE SALES-FOOD")</f>
        <v xml:space="preserve">          4153 - NON-TAXABLE SALES-FOOD</v>
      </c>
      <c r="C62" s="12"/>
      <c r="D62" s="3">
        <f>0</f>
        <v>0</v>
      </c>
      <c r="E62" s="3"/>
      <c r="F62" s="20"/>
      <c r="G62" s="3"/>
      <c r="H62" s="3">
        <f>--4</f>
        <v>4</v>
      </c>
      <c r="I62" s="3"/>
      <c r="J62" s="20"/>
      <c r="K62" s="3"/>
      <c r="L62" s="3">
        <f t="shared" si="4"/>
        <v>-4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--400.45</f>
        <v>400.45</v>
      </c>
      <c r="U62" s="3"/>
      <c r="V62" s="20"/>
      <c r="W62" s="3"/>
      <c r="X62" s="3">
        <f t="shared" si="6"/>
        <v>-400.45</v>
      </c>
      <c r="Y62" s="3"/>
      <c r="Z62" s="20">
        <f t="shared" si="7"/>
        <v>-1</v>
      </c>
    </row>
    <row r="63" spans="1:26" s="69" customFormat="1" ht="15" hidden="1" customHeight="1" outlineLevel="1" x14ac:dyDescent="0.25">
      <c r="A63" s="42"/>
      <c r="B63" s="12" t="str">
        <f>CONCATENATE("          ","4200"," - ","TAXABLE RETURNS")</f>
        <v xml:space="preserve">          4200 - TAXABLE RETURNS</v>
      </c>
      <c r="C63" s="12"/>
      <c r="D63" s="3">
        <f>-44533.18</f>
        <v>-44533.18</v>
      </c>
      <c r="E63" s="3"/>
      <c r="F63" s="20"/>
      <c r="G63" s="3"/>
      <c r="H63" s="3">
        <f>0</f>
        <v>0</v>
      </c>
      <c r="I63" s="3"/>
      <c r="J63" s="20"/>
      <c r="K63" s="3"/>
      <c r="L63" s="3">
        <f t="shared" si="4"/>
        <v>-44533.18</v>
      </c>
      <c r="M63" s="3"/>
      <c r="N63" s="20">
        <f t="shared" si="5"/>
        <v>0</v>
      </c>
      <c r="O63" s="12"/>
      <c r="P63" s="3">
        <f>-216083.84</f>
        <v>-216083.84</v>
      </c>
      <c r="Q63" s="3"/>
      <c r="R63" s="20"/>
      <c r="S63" s="3"/>
      <c r="T63" s="3">
        <f>0</f>
        <v>0</v>
      </c>
      <c r="U63" s="3"/>
      <c r="V63" s="20"/>
      <c r="W63" s="3"/>
      <c r="X63" s="3">
        <f t="shared" si="6"/>
        <v>-216083.84</v>
      </c>
      <c r="Y63" s="3"/>
      <c r="Z63" s="20">
        <f t="shared" si="7"/>
        <v>0</v>
      </c>
    </row>
    <row r="64" spans="1:26" s="69" customFormat="1" ht="15" hidden="1" customHeight="1" outlineLevel="1" x14ac:dyDescent="0.25">
      <c r="A64" s="42"/>
      <c r="B64" s="12" t="str">
        <f>CONCATENATE("          ","4201"," - ","SALES RETURN TAXABLE-NEW TEXT")</f>
        <v xml:space="preserve">          4201 - SALES RETURN TAXABLE-NEW TEXT</v>
      </c>
      <c r="C64" s="12"/>
      <c r="D64" s="3">
        <f>0</f>
        <v>0</v>
      </c>
      <c r="E64" s="3"/>
      <c r="F64" s="20"/>
      <c r="G64" s="3"/>
      <c r="H64" s="3">
        <f>-658.4</f>
        <v>-658.4</v>
      </c>
      <c r="I64" s="3"/>
      <c r="J64" s="20"/>
      <c r="K64" s="3"/>
      <c r="L64" s="3">
        <f t="shared" si="4"/>
        <v>658.4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-52296.42</f>
        <v>-52296.42</v>
      </c>
      <c r="U64" s="3"/>
      <c r="V64" s="20"/>
      <c r="W64" s="3"/>
      <c r="X64" s="3">
        <f t="shared" si="6"/>
        <v>52296.42</v>
      </c>
      <c r="Y64" s="3"/>
      <c r="Z64" s="20">
        <f t="shared" si="7"/>
        <v>-1</v>
      </c>
    </row>
    <row r="65" spans="1:26" s="69" customFormat="1" ht="15" hidden="1" customHeight="1" outlineLevel="1" x14ac:dyDescent="0.25">
      <c r="A65" s="42"/>
      <c r="B65" s="12" t="str">
        <f>CONCATENATE("          ","4202"," - ","SALES RETURN TAXABLE-USED TEXT")</f>
        <v xml:space="preserve">          4202 - SALES RETURN TAXABLE-USED TEXT</v>
      </c>
      <c r="C65" s="12"/>
      <c r="D65" s="3">
        <f>0</f>
        <v>0</v>
      </c>
      <c r="E65" s="3"/>
      <c r="F65" s="20"/>
      <c r="G65" s="3"/>
      <c r="H65" s="3">
        <f>-359.4</f>
        <v>-359.4</v>
      </c>
      <c r="I65" s="3"/>
      <c r="J65" s="20"/>
      <c r="K65" s="3"/>
      <c r="L65" s="3">
        <f t="shared" si="4"/>
        <v>359.4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-20455.66</f>
        <v>-20455.66</v>
      </c>
      <c r="U65" s="3"/>
      <c r="V65" s="20"/>
      <c r="W65" s="3"/>
      <c r="X65" s="3">
        <f t="shared" si="6"/>
        <v>20455.66</v>
      </c>
      <c r="Y65" s="3"/>
      <c r="Z65" s="20">
        <f t="shared" si="7"/>
        <v>-1</v>
      </c>
    </row>
    <row r="66" spans="1:26" s="69" customFormat="1" ht="15" hidden="1" customHeight="1" outlineLevel="1" x14ac:dyDescent="0.25">
      <c r="A66" s="42"/>
      <c r="B66" s="12" t="str">
        <f>CONCATENATE("          ","4204"," - ","SALES RETURN TAXABLE-DIGITAL T")</f>
        <v xml:space="preserve">          4204 - SALES RETURN TAXABLE-DIGITAL T</v>
      </c>
      <c r="C66" s="12"/>
      <c r="D66" s="3">
        <f>0</f>
        <v>0</v>
      </c>
      <c r="E66" s="3"/>
      <c r="F66" s="20"/>
      <c r="G66" s="3"/>
      <c r="H66" s="3">
        <f>0</f>
        <v>0</v>
      </c>
      <c r="I66" s="3"/>
      <c r="J66" s="20"/>
      <c r="K66" s="3"/>
      <c r="L66" s="3">
        <f t="shared" si="4"/>
        <v>0</v>
      </c>
      <c r="M66" s="3"/>
      <c r="N66" s="20">
        <f t="shared" si="5"/>
        <v>0</v>
      </c>
      <c r="O66" s="12"/>
      <c r="P66" s="3">
        <f>0</f>
        <v>0</v>
      </c>
      <c r="Q66" s="3"/>
      <c r="R66" s="20"/>
      <c r="S66" s="3"/>
      <c r="T66" s="3">
        <f>-1763.1</f>
        <v>-1763.1</v>
      </c>
      <c r="U66" s="3"/>
      <c r="V66" s="20"/>
      <c r="W66" s="3"/>
      <c r="X66" s="3">
        <f t="shared" si="6"/>
        <v>1763.1</v>
      </c>
      <c r="Y66" s="3"/>
      <c r="Z66" s="20">
        <f t="shared" si="7"/>
        <v>-1</v>
      </c>
    </row>
    <row r="67" spans="1:26" s="69" customFormat="1" ht="15" hidden="1" customHeight="1" outlineLevel="1" x14ac:dyDescent="0.25">
      <c r="A67" s="42"/>
      <c r="B67" s="12" t="str">
        <f>CONCATENATE("          ","4213"," - ","NON-TAXABLE SALES-TRADE BOOKS")</f>
        <v xml:space="preserve">          4213 - NON-TAXABLE SALES-TRADE BOOKS</v>
      </c>
      <c r="C67" s="12"/>
      <c r="D67" s="3">
        <f>0</f>
        <v>0</v>
      </c>
      <c r="E67" s="3"/>
      <c r="F67" s="20"/>
      <c r="G67" s="3"/>
      <c r="H67" s="3">
        <f>-8.99</f>
        <v>-8.99</v>
      </c>
      <c r="I67" s="3"/>
      <c r="J67" s="20"/>
      <c r="K67" s="3"/>
      <c r="L67" s="3">
        <f t="shared" si="4"/>
        <v>8.99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-78.92</f>
        <v>-78.92</v>
      </c>
      <c r="U67" s="3"/>
      <c r="V67" s="20"/>
      <c r="W67" s="3"/>
      <c r="X67" s="3">
        <f t="shared" si="6"/>
        <v>78.92</v>
      </c>
      <c r="Y67" s="3"/>
      <c r="Z67" s="20">
        <f t="shared" si="7"/>
        <v>-1</v>
      </c>
    </row>
    <row r="68" spans="1:26" s="69" customFormat="1" ht="15" hidden="1" customHeight="1" outlineLevel="1" x14ac:dyDescent="0.25">
      <c r="A68" s="42"/>
      <c r="B68" s="12" t="str">
        <f>CONCATENATE("          ","4218"," - ","SALES RETURN TAXABLE-STUDY GUI")</f>
        <v xml:space="preserve">          4218 - SALES RETURN TAXABLE-STUDY GUI</v>
      </c>
      <c r="C68" s="12"/>
      <c r="D68" s="3">
        <f>0</f>
        <v>0</v>
      </c>
      <c r="E68" s="3"/>
      <c r="F68" s="20"/>
      <c r="G68" s="3"/>
      <c r="H68" s="3">
        <f>0</f>
        <v>0</v>
      </c>
      <c r="I68" s="3"/>
      <c r="J68" s="20"/>
      <c r="K68" s="3"/>
      <c r="L68" s="3">
        <f t="shared" si="4"/>
        <v>0</v>
      </c>
      <c r="M68" s="3"/>
      <c r="N68" s="20">
        <f t="shared" si="5"/>
        <v>0</v>
      </c>
      <c r="O68" s="12"/>
      <c r="P68" s="3">
        <f>0</f>
        <v>0</v>
      </c>
      <c r="Q68" s="3"/>
      <c r="R68" s="20"/>
      <c r="S68" s="3"/>
      <c r="T68" s="3">
        <f>-5.21</f>
        <v>-5.21</v>
      </c>
      <c r="U68" s="3"/>
      <c r="V68" s="20"/>
      <c r="W68" s="3"/>
      <c r="X68" s="3">
        <f t="shared" si="6"/>
        <v>5.21</v>
      </c>
      <c r="Y68" s="3"/>
      <c r="Z68" s="20">
        <f t="shared" si="7"/>
        <v>-1</v>
      </c>
    </row>
    <row r="69" spans="1:26" s="69" customFormat="1" ht="15" hidden="1" customHeight="1" outlineLevel="1" x14ac:dyDescent="0.25">
      <c r="A69" s="42"/>
      <c r="B69" s="12" t="str">
        <f>CONCATENATE("          ","4226"," - ","SALES RETURN TAXABLE-WRITING I")</f>
        <v xml:space="preserve">          4226 - SALES RETURN TAXABLE-WRITING I</v>
      </c>
      <c r="C69" s="12"/>
      <c r="D69" s="3">
        <f>0</f>
        <v>0</v>
      </c>
      <c r="E69" s="3"/>
      <c r="F69" s="20"/>
      <c r="G69" s="3"/>
      <c r="H69" s="3">
        <f>-0.79</f>
        <v>-0.79</v>
      </c>
      <c r="I69" s="3"/>
      <c r="J69" s="20"/>
      <c r="K69" s="3"/>
      <c r="L69" s="3">
        <f t="shared" si="4"/>
        <v>0.79</v>
      </c>
      <c r="M69" s="3"/>
      <c r="N69" s="20">
        <f t="shared" si="5"/>
        <v>-1</v>
      </c>
      <c r="O69" s="12"/>
      <c r="P69" s="3">
        <f>0</f>
        <v>0</v>
      </c>
      <c r="Q69" s="3"/>
      <c r="R69" s="20"/>
      <c r="S69" s="3"/>
      <c r="T69" s="3">
        <f>-35.02</f>
        <v>-35.020000000000003</v>
      </c>
      <c r="U69" s="3"/>
      <c r="V69" s="20"/>
      <c r="W69" s="3"/>
      <c r="X69" s="3">
        <f t="shared" si="6"/>
        <v>35.020000000000003</v>
      </c>
      <c r="Y69" s="3"/>
      <c r="Z69" s="20">
        <f t="shared" si="7"/>
        <v>-1</v>
      </c>
    </row>
    <row r="70" spans="1:26" s="69" customFormat="1" ht="15" hidden="1" customHeight="1" outlineLevel="1" x14ac:dyDescent="0.25">
      <c r="A70" s="42"/>
      <c r="B70" s="12" t="str">
        <f>CONCATENATE("          ","4227"," - ","SALES RETURN TAXABLE-SCHOOL SU")</f>
        <v xml:space="preserve">          4227 - SALES RETURN TAXABLE-SCHOOL SU</v>
      </c>
      <c r="C70" s="12"/>
      <c r="D70" s="3">
        <f>0</f>
        <v>0</v>
      </c>
      <c r="E70" s="3"/>
      <c r="F70" s="20"/>
      <c r="G70" s="3"/>
      <c r="H70" s="3">
        <f>-137.82</f>
        <v>-137.82</v>
      </c>
      <c r="I70" s="3"/>
      <c r="J70" s="20"/>
      <c r="K70" s="3"/>
      <c r="L70" s="3">
        <f t="shared" si="4"/>
        <v>137.82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-1484.48</f>
        <v>-1484.48</v>
      </c>
      <c r="U70" s="3"/>
      <c r="V70" s="20"/>
      <c r="W70" s="3"/>
      <c r="X70" s="3">
        <f t="shared" si="6"/>
        <v>1484.48</v>
      </c>
      <c r="Y70" s="3"/>
      <c r="Z70" s="20">
        <f t="shared" si="7"/>
        <v>-1</v>
      </c>
    </row>
    <row r="71" spans="1:26" s="69" customFormat="1" ht="15" hidden="1" customHeight="1" outlineLevel="1" x14ac:dyDescent="0.25">
      <c r="A71" s="42"/>
      <c r="B71" s="12" t="str">
        <f>CONCATENATE("          ","4228"," - ","SALES RETURN TAXABLE-ART/TECH")</f>
        <v xml:space="preserve">          4228 - SALES RETURN TAXABLE-ART/TECH</v>
      </c>
      <c r="C71" s="12"/>
      <c r="D71" s="3">
        <f>0</f>
        <v>0</v>
      </c>
      <c r="E71" s="3"/>
      <c r="F71" s="20"/>
      <c r="G71" s="3"/>
      <c r="H71" s="3">
        <f>0</f>
        <v>0</v>
      </c>
      <c r="I71" s="3"/>
      <c r="J71" s="20"/>
      <c r="K71" s="3"/>
      <c r="L71" s="3">
        <f t="shared" si="4"/>
        <v>0</v>
      </c>
      <c r="M71" s="3"/>
      <c r="N71" s="20">
        <f t="shared" si="5"/>
        <v>0</v>
      </c>
      <c r="O71" s="12"/>
      <c r="P71" s="3">
        <f>0</f>
        <v>0</v>
      </c>
      <c r="Q71" s="3"/>
      <c r="R71" s="20"/>
      <c r="S71" s="3"/>
      <c r="T71" s="3">
        <f>-12973.73</f>
        <v>-12973.73</v>
      </c>
      <c r="U71" s="3"/>
      <c r="V71" s="20"/>
      <c r="W71" s="3"/>
      <c r="X71" s="3">
        <f t="shared" si="6"/>
        <v>12973.73</v>
      </c>
      <c r="Y71" s="3"/>
      <c r="Z71" s="20">
        <f t="shared" si="7"/>
        <v>-1</v>
      </c>
    </row>
    <row r="72" spans="1:26" s="69" customFormat="1" ht="15" hidden="1" customHeight="1" outlineLevel="1" x14ac:dyDescent="0.25">
      <c r="A72" s="42"/>
      <c r="B72" s="12" t="str">
        <f>CONCATENATE("          ","4240"," - ","SALES RETURN TAXABLE-LOGO CLOT")</f>
        <v xml:space="preserve">          4240 - SALES RETURN TAXABLE-LOGO CLOT</v>
      </c>
      <c r="C72" s="12"/>
      <c r="D72" s="3">
        <f>0</f>
        <v>0</v>
      </c>
      <c r="E72" s="3"/>
      <c r="F72" s="20"/>
      <c r="G72" s="3"/>
      <c r="H72" s="3">
        <f>-6427.17</f>
        <v>-6427.17</v>
      </c>
      <c r="I72" s="3"/>
      <c r="J72" s="20"/>
      <c r="K72" s="3"/>
      <c r="L72" s="3">
        <f t="shared" si="4"/>
        <v>6427.17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-47093.44</f>
        <v>-47093.440000000002</v>
      </c>
      <c r="U72" s="3"/>
      <c r="V72" s="20"/>
      <c r="W72" s="3"/>
      <c r="X72" s="3">
        <f t="shared" si="6"/>
        <v>47093.440000000002</v>
      </c>
      <c r="Y72" s="3"/>
      <c r="Z72" s="20">
        <f t="shared" si="7"/>
        <v>-1</v>
      </c>
    </row>
    <row r="73" spans="1:26" s="69" customFormat="1" ht="15" hidden="1" customHeight="1" outlineLevel="1" x14ac:dyDescent="0.25">
      <c r="A73" s="42"/>
      <c r="B73" s="12" t="str">
        <f>CONCATENATE("          ","4241"," - ","SALES RETURN TAXABLE-LOGO GIFT")</f>
        <v xml:space="preserve">          4241 - SALES RETURN TAXABLE-LOGO GIFT</v>
      </c>
      <c r="C73" s="12"/>
      <c r="D73" s="3">
        <f>0</f>
        <v>0</v>
      </c>
      <c r="E73" s="3"/>
      <c r="F73" s="20"/>
      <c r="G73" s="3"/>
      <c r="H73" s="3">
        <f>-4505.29</f>
        <v>-4505.29</v>
      </c>
      <c r="I73" s="3"/>
      <c r="J73" s="20"/>
      <c r="K73" s="3"/>
      <c r="L73" s="3">
        <f t="shared" si="4"/>
        <v>4505.29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-16680.54</f>
        <v>-16680.54</v>
      </c>
      <c r="U73" s="3"/>
      <c r="V73" s="20"/>
      <c r="W73" s="3"/>
      <c r="X73" s="3">
        <f t="shared" si="6"/>
        <v>16680.54</v>
      </c>
      <c r="Y73" s="3"/>
      <c r="Z73" s="20">
        <f t="shared" si="7"/>
        <v>-1</v>
      </c>
    </row>
    <row r="74" spans="1:26" s="69" customFormat="1" ht="15" hidden="1" customHeight="1" outlineLevel="1" x14ac:dyDescent="0.25">
      <c r="A74" s="42"/>
      <c r="B74" s="12" t="str">
        <f>CONCATENATE("          ","4242"," - ","SALES RETURN TAXABLE-EVERYDAY")</f>
        <v xml:space="preserve">          4242 - SALES RETURN TAXABLE-EVERYDAY</v>
      </c>
      <c r="C74" s="12"/>
      <c r="D74" s="3">
        <f>0</f>
        <v>0</v>
      </c>
      <c r="E74" s="3"/>
      <c r="F74" s="20"/>
      <c r="G74" s="3"/>
      <c r="H74" s="3">
        <f>-107</f>
        <v>-107</v>
      </c>
      <c r="I74" s="3"/>
      <c r="J74" s="20"/>
      <c r="K74" s="3"/>
      <c r="L74" s="3">
        <f t="shared" si="4"/>
        <v>107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-2743.09</f>
        <v>-2743.09</v>
      </c>
      <c r="U74" s="3"/>
      <c r="V74" s="20"/>
      <c r="W74" s="3"/>
      <c r="X74" s="3">
        <f t="shared" si="6"/>
        <v>2743.09</v>
      </c>
      <c r="Y74" s="3"/>
      <c r="Z74" s="20">
        <f t="shared" si="7"/>
        <v>-1</v>
      </c>
    </row>
    <row r="75" spans="1:26" s="69" customFormat="1" ht="15" hidden="1" customHeight="1" outlineLevel="1" x14ac:dyDescent="0.25">
      <c r="A75" s="42"/>
      <c r="B75" s="12" t="str">
        <f>CONCATENATE("          ","4243"," - ","SALES RETURN TAXABLE-CARDS")</f>
        <v xml:space="preserve">          4243 - SALES RETURN TAXABLE-CARDS</v>
      </c>
      <c r="C75" s="12"/>
      <c r="D75" s="3">
        <f>0</f>
        <v>0</v>
      </c>
      <c r="E75" s="3"/>
      <c r="F75" s="20"/>
      <c r="G75" s="3"/>
      <c r="H75" s="3">
        <f>-76.9</f>
        <v>-76.900000000000006</v>
      </c>
      <c r="I75" s="3"/>
      <c r="J75" s="20"/>
      <c r="K75" s="3"/>
      <c r="L75" s="3">
        <f t="shared" si="4"/>
        <v>76.900000000000006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-6218.99</f>
        <v>-6218.99</v>
      </c>
      <c r="U75" s="3"/>
      <c r="V75" s="20"/>
      <c r="W75" s="3"/>
      <c r="X75" s="3">
        <f t="shared" si="6"/>
        <v>6218.99</v>
      </c>
      <c r="Y75" s="3"/>
      <c r="Z75" s="20">
        <f t="shared" si="7"/>
        <v>-1</v>
      </c>
    </row>
    <row r="76" spans="1:26" s="69" customFormat="1" ht="15" hidden="1" customHeight="1" outlineLevel="1" x14ac:dyDescent="0.25">
      <c r="A76" s="42"/>
      <c r="B76" s="12" t="str">
        <f>CONCATENATE("          ","4244"," - ","SALES RETURN TAXABLE-ACCESSORI")</f>
        <v xml:space="preserve">          4244 - SALES RETURN TAXABLE-ACCESSORI</v>
      </c>
      <c r="C76" s="12"/>
      <c r="D76" s="3">
        <f>0</f>
        <v>0</v>
      </c>
      <c r="E76" s="3"/>
      <c r="F76" s="20"/>
      <c r="G76" s="3"/>
      <c r="H76" s="3">
        <f>-24.41</f>
        <v>-24.41</v>
      </c>
      <c r="I76" s="3"/>
      <c r="J76" s="20"/>
      <c r="K76" s="3"/>
      <c r="L76" s="3">
        <f t="shared" ref="L76:L86" si="8">+D76-H76</f>
        <v>24.41</v>
      </c>
      <c r="M76" s="3"/>
      <c r="N76" s="20">
        <f t="shared" ref="N76:N86" si="9">IF(H76=0,0,L76/H76)</f>
        <v>-1</v>
      </c>
      <c r="O76" s="12"/>
      <c r="P76" s="3">
        <f>0</f>
        <v>0</v>
      </c>
      <c r="Q76" s="3"/>
      <c r="R76" s="20"/>
      <c r="S76" s="3"/>
      <c r="T76" s="3">
        <f>-1267.91</f>
        <v>-1267.9100000000001</v>
      </c>
      <c r="U76" s="3"/>
      <c r="V76" s="20"/>
      <c r="W76" s="3"/>
      <c r="X76" s="3">
        <f t="shared" ref="X76:X86" si="10">+P76-T76</f>
        <v>1267.9100000000001</v>
      </c>
      <c r="Y76" s="3"/>
      <c r="Z76" s="20">
        <f t="shared" ref="Z76:Z86" si="11">IF(T76=0,0,X76/T76)</f>
        <v>-1</v>
      </c>
    </row>
    <row r="77" spans="1:26" s="69" customFormat="1" ht="15" hidden="1" customHeight="1" outlineLevel="1" x14ac:dyDescent="0.25">
      <c r="A77" s="42"/>
      <c r="B77" s="12" t="str">
        <f>CONCATENATE("          ","4245"," - ","SALES RETURN TAXABLE-SPECIAL O")</f>
        <v xml:space="preserve">          4245 - SALES RETURN TAXABLE-SPECIAL O</v>
      </c>
      <c r="C77" s="12"/>
      <c r="D77" s="3">
        <f>0</f>
        <v>0</v>
      </c>
      <c r="E77" s="3"/>
      <c r="F77" s="20"/>
      <c r="G77" s="3"/>
      <c r="H77" s="3">
        <f>-36</f>
        <v>-36</v>
      </c>
      <c r="I77" s="3"/>
      <c r="J77" s="20"/>
      <c r="K77" s="3"/>
      <c r="L77" s="3">
        <f t="shared" si="8"/>
        <v>36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-15460.73</f>
        <v>-15460.73</v>
      </c>
      <c r="U77" s="3"/>
      <c r="V77" s="20"/>
      <c r="W77" s="3"/>
      <c r="X77" s="3">
        <f t="shared" si="10"/>
        <v>15460.73</v>
      </c>
      <c r="Y77" s="3"/>
      <c r="Z77" s="20">
        <f t="shared" si="11"/>
        <v>-1</v>
      </c>
    </row>
    <row r="78" spans="1:26" s="69" customFormat="1" ht="15" hidden="1" customHeight="1" outlineLevel="1" x14ac:dyDescent="0.25">
      <c r="A78" s="42"/>
      <c r="B78" s="12" t="str">
        <f>CONCATENATE("          ","4300"," - ","NON-TAX RETURNS")</f>
        <v xml:space="preserve">          4300 - NON-TAX RETURNS</v>
      </c>
      <c r="C78" s="12"/>
      <c r="D78" s="3">
        <f>-554.21</f>
        <v>-554.21</v>
      </c>
      <c r="E78" s="3"/>
      <c r="F78" s="20"/>
      <c r="G78" s="3"/>
      <c r="H78" s="3">
        <f>0</f>
        <v>0</v>
      </c>
      <c r="I78" s="3"/>
      <c r="J78" s="20"/>
      <c r="K78" s="3"/>
      <c r="L78" s="3">
        <f t="shared" si="8"/>
        <v>-554.21</v>
      </c>
      <c r="M78" s="3"/>
      <c r="N78" s="20">
        <f t="shared" si="9"/>
        <v>0</v>
      </c>
      <c r="O78" s="12"/>
      <c r="P78" s="3">
        <f>-41771.06</f>
        <v>-41771.06</v>
      </c>
      <c r="Q78" s="3"/>
      <c r="R78" s="20"/>
      <c r="S78" s="3"/>
      <c r="T78" s="3">
        <f>0</f>
        <v>0</v>
      </c>
      <c r="U78" s="3"/>
      <c r="V78" s="20"/>
      <c r="W78" s="3"/>
      <c r="X78" s="3">
        <f t="shared" si="10"/>
        <v>-41771.06</v>
      </c>
      <c r="Y78" s="3"/>
      <c r="Z78" s="20">
        <f t="shared" si="11"/>
        <v>0</v>
      </c>
    </row>
    <row r="79" spans="1:26" s="69" customFormat="1" ht="15" hidden="1" customHeight="1" outlineLevel="1" x14ac:dyDescent="0.25">
      <c r="A79" s="42"/>
      <c r="B79" s="12" t="str">
        <f>CONCATENATE("          ","4301"," - ","SALES RETURN NON TAXABLE-NEW T")</f>
        <v xml:space="preserve">          4301 - SALES RETURN NON TAXABLE-NEW T</v>
      </c>
      <c r="C79" s="12"/>
      <c r="D79" s="3">
        <f>0</f>
        <v>0</v>
      </c>
      <c r="E79" s="3"/>
      <c r="F79" s="20"/>
      <c r="G79" s="3"/>
      <c r="H79" s="3">
        <f>-1333.16</f>
        <v>-1333.16</v>
      </c>
      <c r="I79" s="3"/>
      <c r="J79" s="20"/>
      <c r="K79" s="3"/>
      <c r="L79" s="3">
        <f t="shared" si="8"/>
        <v>1333.16</v>
      </c>
      <c r="M79" s="3"/>
      <c r="N79" s="20">
        <f t="shared" si="9"/>
        <v>-1</v>
      </c>
      <c r="O79" s="12"/>
      <c r="P79" s="3">
        <f>0</f>
        <v>0</v>
      </c>
      <c r="Q79" s="3"/>
      <c r="R79" s="20"/>
      <c r="S79" s="3"/>
      <c r="T79" s="3">
        <f>-4796.36</f>
        <v>-4796.3599999999997</v>
      </c>
      <c r="U79" s="3"/>
      <c r="V79" s="20"/>
      <c r="W79" s="3"/>
      <c r="X79" s="3">
        <f t="shared" si="10"/>
        <v>4796.3599999999997</v>
      </c>
      <c r="Y79" s="3"/>
      <c r="Z79" s="20">
        <f t="shared" si="11"/>
        <v>-1</v>
      </c>
    </row>
    <row r="80" spans="1:26" s="69" customFormat="1" ht="15" hidden="1" customHeight="1" outlineLevel="1" x14ac:dyDescent="0.25">
      <c r="A80" s="42"/>
      <c r="B80" s="12" t="str">
        <f>CONCATENATE("          ","4302"," - ","SALES RETURN NON TAXABLE-TEXT")</f>
        <v xml:space="preserve">          4302 - SALES RETURN NON TAXABLE-TEXT</v>
      </c>
      <c r="C80" s="12"/>
      <c r="D80" s="3">
        <f>0</f>
        <v>0</v>
      </c>
      <c r="E80" s="3"/>
      <c r="F80" s="20"/>
      <c r="G80" s="3"/>
      <c r="H80" s="3">
        <f>-134.22</f>
        <v>-134.22</v>
      </c>
      <c r="I80" s="3"/>
      <c r="J80" s="20"/>
      <c r="K80" s="3"/>
      <c r="L80" s="3">
        <f t="shared" si="8"/>
        <v>134.22</v>
      </c>
      <c r="M80" s="3"/>
      <c r="N80" s="20">
        <f t="shared" si="9"/>
        <v>-1</v>
      </c>
      <c r="O80" s="12"/>
      <c r="P80" s="3">
        <f>0</f>
        <v>0</v>
      </c>
      <c r="Q80" s="3"/>
      <c r="R80" s="20"/>
      <c r="S80" s="3"/>
      <c r="T80" s="3">
        <f>-2577.54</f>
        <v>-2577.54</v>
      </c>
      <c r="U80" s="3"/>
      <c r="V80" s="20"/>
      <c r="W80" s="3"/>
      <c r="X80" s="3">
        <f t="shared" si="10"/>
        <v>2577.54</v>
      </c>
      <c r="Y80" s="3"/>
      <c r="Z80" s="20">
        <f t="shared" si="11"/>
        <v>-1</v>
      </c>
    </row>
    <row r="81" spans="1:26" s="69" customFormat="1" ht="15" hidden="1" customHeight="1" outlineLevel="1" x14ac:dyDescent="0.25">
      <c r="A81" s="42"/>
      <c r="B81" s="12" t="str">
        <f>CONCATENATE("          ","4304"," - ","SALES RETURN NON TAXABLE-DIGIT")</f>
        <v xml:space="preserve">          4304 - SALES RETURN NON TAXABLE-DIGIT</v>
      </c>
      <c r="C81" s="12"/>
      <c r="D81" s="3">
        <f>0</f>
        <v>0</v>
      </c>
      <c r="E81" s="3"/>
      <c r="F81" s="20"/>
      <c r="G81" s="3"/>
      <c r="H81" s="3">
        <f>-3338.22</f>
        <v>-3338.22</v>
      </c>
      <c r="I81" s="3"/>
      <c r="J81" s="20"/>
      <c r="K81" s="3"/>
      <c r="L81" s="3">
        <f t="shared" si="8"/>
        <v>3338.22</v>
      </c>
      <c r="M81" s="3"/>
      <c r="N81" s="20">
        <f t="shared" si="9"/>
        <v>-1</v>
      </c>
      <c r="O81" s="12"/>
      <c r="P81" s="3">
        <f>0</f>
        <v>0</v>
      </c>
      <c r="Q81" s="3"/>
      <c r="R81" s="20"/>
      <c r="S81" s="3"/>
      <c r="T81" s="3">
        <f>-30881.98</f>
        <v>-30881.98</v>
      </c>
      <c r="U81" s="3"/>
      <c r="V81" s="20"/>
      <c r="W81" s="3"/>
      <c r="X81" s="3">
        <f t="shared" si="10"/>
        <v>30881.98</v>
      </c>
      <c r="Y81" s="3"/>
      <c r="Z81" s="20">
        <f t="shared" si="11"/>
        <v>-1</v>
      </c>
    </row>
    <row r="82" spans="1:26" s="69" customFormat="1" ht="15" hidden="1" customHeight="1" outlineLevel="1" x14ac:dyDescent="0.25">
      <c r="A82" s="42"/>
      <c r="B82" s="12" t="str">
        <f>CONCATENATE("          ","4327"," - ","SALES RETURN NON TAXABLE-SCHOO")</f>
        <v xml:space="preserve">          4327 - SALES RETURN NON TAXABLE-SCHOO</v>
      </c>
      <c r="C82" s="12"/>
      <c r="D82" s="3">
        <f>0</f>
        <v>0</v>
      </c>
      <c r="E82" s="3"/>
      <c r="F82" s="20"/>
      <c r="G82" s="3"/>
      <c r="H82" s="3">
        <f>-17.41</f>
        <v>-17.41</v>
      </c>
      <c r="I82" s="3"/>
      <c r="J82" s="20"/>
      <c r="K82" s="3"/>
      <c r="L82" s="3">
        <f t="shared" si="8"/>
        <v>17.41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-17.41</f>
        <v>-17.41</v>
      </c>
      <c r="U82" s="3"/>
      <c r="V82" s="20"/>
      <c r="W82" s="3"/>
      <c r="X82" s="3">
        <f t="shared" si="10"/>
        <v>17.41</v>
      </c>
      <c r="Y82" s="3"/>
      <c r="Z82" s="20">
        <f t="shared" si="11"/>
        <v>-1</v>
      </c>
    </row>
    <row r="83" spans="1:26" s="69" customFormat="1" ht="15" hidden="1" customHeight="1" outlineLevel="1" x14ac:dyDescent="0.25">
      <c r="A83" s="42"/>
      <c r="B83" s="12" t="str">
        <f>CONCATENATE("          ","4340"," - ","SALES RETURN NON TAXABLE-LOGO")</f>
        <v xml:space="preserve">          4340 - SALES RETURN NON TAXABLE-LOGO</v>
      </c>
      <c r="C83" s="12"/>
      <c r="D83" s="3">
        <f>0</f>
        <v>0</v>
      </c>
      <c r="E83" s="3"/>
      <c r="F83" s="20"/>
      <c r="G83" s="3"/>
      <c r="H83" s="3">
        <f>-143.74</f>
        <v>-143.74</v>
      </c>
      <c r="I83" s="3"/>
      <c r="J83" s="20"/>
      <c r="K83" s="3"/>
      <c r="L83" s="3">
        <f t="shared" si="8"/>
        <v>143.74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-3451.26</f>
        <v>-3451.26</v>
      </c>
      <c r="U83" s="3"/>
      <c r="V83" s="20"/>
      <c r="W83" s="3"/>
      <c r="X83" s="3">
        <f t="shared" si="10"/>
        <v>3451.26</v>
      </c>
      <c r="Y83" s="3"/>
      <c r="Z83" s="20">
        <f t="shared" si="11"/>
        <v>-1</v>
      </c>
    </row>
    <row r="84" spans="1:26" s="69" customFormat="1" ht="15" hidden="1" customHeight="1" outlineLevel="1" x14ac:dyDescent="0.25">
      <c r="A84" s="42"/>
      <c r="B84" s="12" t="str">
        <f>CONCATENATE("          ","4341"," - ","SALES RETURN NON TAXABLE-LOGO")</f>
        <v xml:space="preserve">          4341 - SALES RETURN NON TAXABLE-LOGO</v>
      </c>
      <c r="C84" s="12"/>
      <c r="D84" s="3">
        <f>0</f>
        <v>0</v>
      </c>
      <c r="E84" s="3"/>
      <c r="F84" s="20"/>
      <c r="G84" s="3"/>
      <c r="H84" s="3">
        <f>-104.3</f>
        <v>-104.3</v>
      </c>
      <c r="I84" s="3"/>
      <c r="J84" s="20"/>
      <c r="K84" s="3"/>
      <c r="L84" s="3">
        <f t="shared" si="8"/>
        <v>104.3</v>
      </c>
      <c r="M84" s="3"/>
      <c r="N84" s="20">
        <f t="shared" si="9"/>
        <v>-1</v>
      </c>
      <c r="O84" s="12"/>
      <c r="P84" s="3">
        <f>0</f>
        <v>0</v>
      </c>
      <c r="Q84" s="3"/>
      <c r="R84" s="20"/>
      <c r="S84" s="3"/>
      <c r="T84" s="3">
        <f>-506.74</f>
        <v>-506.74</v>
      </c>
      <c r="U84" s="3"/>
      <c r="V84" s="20"/>
      <c r="W84" s="3"/>
      <c r="X84" s="3">
        <f t="shared" si="10"/>
        <v>506.74</v>
      </c>
      <c r="Y84" s="3"/>
      <c r="Z84" s="20">
        <f t="shared" si="11"/>
        <v>-1</v>
      </c>
    </row>
    <row r="85" spans="1:26" s="69" customFormat="1" ht="15" hidden="1" customHeight="1" outlineLevel="1" x14ac:dyDescent="0.25">
      <c r="A85" s="42"/>
      <c r="B85" s="12" t="str">
        <f>CONCATENATE("          ","4342"," - ","SALES RETURN NON TAXABLE-EVERY")</f>
        <v xml:space="preserve">          4342 - SALES RETURN NON TAXABLE-EVERY</v>
      </c>
      <c r="C85" s="12"/>
      <c r="D85" s="3">
        <f>0</f>
        <v>0</v>
      </c>
      <c r="E85" s="3"/>
      <c r="F85" s="20"/>
      <c r="G85" s="3"/>
      <c r="H85" s="3">
        <f>0</f>
        <v>0</v>
      </c>
      <c r="I85" s="3"/>
      <c r="J85" s="20"/>
      <c r="K85" s="3"/>
      <c r="L85" s="3">
        <f t="shared" si="8"/>
        <v>0</v>
      </c>
      <c r="M85" s="3"/>
      <c r="N85" s="20">
        <f t="shared" si="9"/>
        <v>0</v>
      </c>
      <c r="O85" s="12"/>
      <c r="P85" s="3">
        <f>0</f>
        <v>0</v>
      </c>
      <c r="Q85" s="3"/>
      <c r="R85" s="20"/>
      <c r="S85" s="3"/>
      <c r="T85" s="3">
        <f>-118.7</f>
        <v>-118.7</v>
      </c>
      <c r="U85" s="3"/>
      <c r="V85" s="20"/>
      <c r="W85" s="3"/>
      <c r="X85" s="3">
        <f t="shared" si="10"/>
        <v>118.7</v>
      </c>
      <c r="Y85" s="3"/>
      <c r="Z85" s="20">
        <f t="shared" si="11"/>
        <v>-1</v>
      </c>
    </row>
    <row r="86" spans="1:26" s="69" customFormat="1" ht="15" hidden="1" customHeight="1" outlineLevel="1" x14ac:dyDescent="0.25">
      <c r="A86" s="42"/>
      <c r="B86" s="12" t="str">
        <f>CONCATENATE("          ","4500"," - ","SALES DISCOUNT")</f>
        <v xml:space="preserve">          4500 - SALES DISCOUNT</v>
      </c>
      <c r="C86" s="12"/>
      <c r="D86" s="3">
        <f>-21308.37</f>
        <v>-21308.37</v>
      </c>
      <c r="E86" s="3"/>
      <c r="F86" s="20"/>
      <c r="G86" s="3"/>
      <c r="H86" s="3">
        <f>0</f>
        <v>0</v>
      </c>
      <c r="I86" s="3"/>
      <c r="J86" s="20"/>
      <c r="K86" s="3"/>
      <c r="L86" s="3">
        <f t="shared" si="8"/>
        <v>-21308.37</v>
      </c>
      <c r="M86" s="3"/>
      <c r="N86" s="20">
        <f t="shared" si="9"/>
        <v>0</v>
      </c>
      <c r="O86" s="12"/>
      <c r="P86" s="3">
        <f>-127922.28</f>
        <v>-127922.28</v>
      </c>
      <c r="Q86" s="3"/>
      <c r="R86" s="20"/>
      <c r="S86" s="3"/>
      <c r="T86" s="3">
        <f>0</f>
        <v>0</v>
      </c>
      <c r="U86" s="3"/>
      <c r="V86" s="20"/>
      <c r="W86" s="3"/>
      <c r="X86" s="3">
        <f t="shared" si="10"/>
        <v>-127922.28</v>
      </c>
      <c r="Y86" s="3"/>
      <c r="Z86" s="20">
        <f t="shared" si="11"/>
        <v>0</v>
      </c>
    </row>
    <row r="87" spans="1:26" ht="15" customHeight="1" x14ac:dyDescent="0.25">
      <c r="A87" s="10"/>
      <c r="B87" s="11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collapsed="1" x14ac:dyDescent="0.25">
      <c r="A88" s="11"/>
      <c r="B88" s="28" t="s">
        <v>287</v>
      </c>
      <c r="C88" s="11"/>
      <c r="D88" s="5">
        <f>SUM(OSRRefD16x_0)</f>
        <v>412410.87999999995</v>
      </c>
      <c r="E88" s="5"/>
      <c r="F88" s="13">
        <f t="shared" ref="F88:F131" si="12">IF(D$12=0,0,D88/D$12)</f>
        <v>0.43684471446563783</v>
      </c>
      <c r="G88" s="5"/>
      <c r="H88" s="5">
        <f>SUM(OSRRefH16x_0)</f>
        <v>248594.07</v>
      </c>
      <c r="I88" s="5"/>
      <c r="J88" s="13">
        <f t="shared" ref="J88:J131" si="13">IF(H$12=0,0,H88/H$12)</f>
        <v>0.49054968804755245</v>
      </c>
      <c r="K88" s="5"/>
      <c r="L88" s="5">
        <f t="shared" ref="L88:L131" si="14">+D88-H88</f>
        <v>163816.80999999994</v>
      </c>
      <c r="M88" s="5"/>
      <c r="N88" s="13">
        <f t="shared" ref="N88:N131" si="15">IF(H88=0,0,L88/H88)</f>
        <v>0.65897312031618427</v>
      </c>
      <c r="O88" s="11"/>
      <c r="P88" s="5">
        <f>SUM(OSRRefP16x_0)</f>
        <v>4299655.67</v>
      </c>
      <c r="Q88" s="5"/>
      <c r="R88" s="13">
        <f t="shared" ref="R88:R131" si="16">IF(P$12=0,0,P88/P$12)</f>
        <v>0.536298830810095</v>
      </c>
      <c r="S88" s="5"/>
      <c r="T88" s="5">
        <f>SUM(OSRRefT16x_0)</f>
        <v>3221171.6600000015</v>
      </c>
      <c r="U88" s="5"/>
      <c r="V88" s="13">
        <f t="shared" ref="V88:V131" si="17">IF(T$12=0,0,T88/T$12)</f>
        <v>0.6179968220732206</v>
      </c>
      <c r="W88" s="5"/>
      <c r="X88" s="5">
        <f t="shared" ref="X88:X131" si="18">+P88-T88</f>
        <v>1078484.0099999984</v>
      </c>
      <c r="Y88" s="5"/>
      <c r="Z88" s="13">
        <f t="shared" ref="Z88:Z131" si="19">IF(T88=0,0,X88/T88)</f>
        <v>0.33481109479275556</v>
      </c>
    </row>
    <row r="89" spans="1:26" s="69" customFormat="1" ht="15" hidden="1" customHeight="1" outlineLevel="1" x14ac:dyDescent="0.25">
      <c r="A89" s="42"/>
      <c r="B89" s="12" t="str">
        <f>CONCATENATE("          ","5000"," - ","PURCHASES @ COST")</f>
        <v xml:space="preserve">          5000 - PURCHASES @ COST</v>
      </c>
      <c r="C89" s="12"/>
      <c r="D89" s="3">
        <v>354165.25</v>
      </c>
      <c r="E89" s="3"/>
      <c r="F89" s="20">
        <f t="shared" si="12"/>
        <v>0.37514824417314419</v>
      </c>
      <c r="G89" s="3"/>
      <c r="H89" s="3"/>
      <c r="I89" s="3"/>
      <c r="J89" s="20">
        <f t="shared" si="13"/>
        <v>0</v>
      </c>
      <c r="K89" s="3"/>
      <c r="L89" s="3">
        <f t="shared" si="14"/>
        <v>354165.25</v>
      </c>
      <c r="M89" s="3"/>
      <c r="N89" s="20">
        <f t="shared" si="15"/>
        <v>0</v>
      </c>
      <c r="O89" s="12"/>
      <c r="P89" s="3">
        <v>4030151.32</v>
      </c>
      <c r="Q89" s="3"/>
      <c r="R89" s="20">
        <f t="shared" si="16"/>
        <v>0.50268337903992233</v>
      </c>
      <c r="S89" s="3"/>
      <c r="T89" s="3">
        <v>0</v>
      </c>
      <c r="U89" s="3"/>
      <c r="V89" s="20">
        <f t="shared" si="17"/>
        <v>0</v>
      </c>
      <c r="W89" s="3"/>
      <c r="X89" s="3">
        <f t="shared" si="18"/>
        <v>4030151.32</v>
      </c>
      <c r="Y89" s="3"/>
      <c r="Z89" s="20">
        <f t="shared" si="19"/>
        <v>0</v>
      </c>
    </row>
    <row r="90" spans="1:26" s="69" customFormat="1" ht="15" hidden="1" customHeight="1" outlineLevel="1" x14ac:dyDescent="0.25">
      <c r="A90" s="42"/>
      <c r="B90" s="12" t="str">
        <f>CONCATENATE("          ","5001"," - ","PURCHASES @ COST-NEW TEXT")</f>
        <v xml:space="preserve">          5001 - PURCHASES @ COST-NEW TEXT</v>
      </c>
      <c r="C90" s="12"/>
      <c r="D90" s="3"/>
      <c r="E90" s="3"/>
      <c r="F90" s="20">
        <f t="shared" si="12"/>
        <v>0</v>
      </c>
      <c r="G90" s="3"/>
      <c r="H90" s="3">
        <v>65020.01</v>
      </c>
      <c r="I90" s="3"/>
      <c r="J90" s="20">
        <f t="shared" si="13"/>
        <v>0.12830372672344414</v>
      </c>
      <c r="K90" s="3"/>
      <c r="L90" s="3">
        <f t="shared" si="14"/>
        <v>-65020.01</v>
      </c>
      <c r="M90" s="3"/>
      <c r="N90" s="20">
        <f t="shared" si="15"/>
        <v>-1</v>
      </c>
      <c r="O90" s="12"/>
      <c r="P90" s="3">
        <v>0</v>
      </c>
      <c r="Q90" s="3"/>
      <c r="R90" s="20">
        <f t="shared" si="16"/>
        <v>0</v>
      </c>
      <c r="S90" s="3"/>
      <c r="T90" s="3">
        <v>1071566.48</v>
      </c>
      <c r="U90" s="3"/>
      <c r="V90" s="20">
        <f t="shared" si="17"/>
        <v>0.20558503214950891</v>
      </c>
      <c r="W90" s="3"/>
      <c r="X90" s="3">
        <f t="shared" si="18"/>
        <v>-1071566.48</v>
      </c>
      <c r="Y90" s="3"/>
      <c r="Z90" s="20">
        <f t="shared" si="19"/>
        <v>-1</v>
      </c>
    </row>
    <row r="91" spans="1:26" s="69" customFormat="1" ht="15" hidden="1" customHeight="1" outlineLevel="1" x14ac:dyDescent="0.25">
      <c r="A91" s="42"/>
      <c r="B91" s="12" t="str">
        <f>CONCATENATE("          ","5002"," - ","PURCHASES @ COST-USED TEXT")</f>
        <v xml:space="preserve">          5002 - PURCHASES @ COST-USED TEXT</v>
      </c>
      <c r="C91" s="12"/>
      <c r="D91" s="3"/>
      <c r="E91" s="3"/>
      <c r="F91" s="20">
        <f t="shared" si="12"/>
        <v>0</v>
      </c>
      <c r="G91" s="3"/>
      <c r="H91" s="3">
        <v>4952.26</v>
      </c>
      <c r="I91" s="3"/>
      <c r="J91" s="20">
        <f t="shared" si="13"/>
        <v>9.772274930493605E-3</v>
      </c>
      <c r="K91" s="3"/>
      <c r="L91" s="3">
        <f t="shared" si="14"/>
        <v>-4952.26</v>
      </c>
      <c r="M91" s="3"/>
      <c r="N91" s="20">
        <f t="shared" si="15"/>
        <v>-1</v>
      </c>
      <c r="O91" s="12"/>
      <c r="P91" s="3">
        <v>0</v>
      </c>
      <c r="Q91" s="3"/>
      <c r="R91" s="20">
        <f t="shared" si="16"/>
        <v>0</v>
      </c>
      <c r="S91" s="3"/>
      <c r="T91" s="3">
        <v>279913.28000000003</v>
      </c>
      <c r="U91" s="3"/>
      <c r="V91" s="20">
        <f t="shared" si="17"/>
        <v>5.3702669635461622E-2</v>
      </c>
      <c r="W91" s="3"/>
      <c r="X91" s="3">
        <f t="shared" si="18"/>
        <v>-279913.28000000003</v>
      </c>
      <c r="Y91" s="3"/>
      <c r="Z91" s="20">
        <f t="shared" si="19"/>
        <v>-1</v>
      </c>
    </row>
    <row r="92" spans="1:26" s="69" customFormat="1" ht="15" hidden="1" customHeight="1" outlineLevel="1" x14ac:dyDescent="0.25">
      <c r="A92" s="42"/>
      <c r="B92" s="12" t="str">
        <f>CONCATENATE("          ","5003"," - ","PURCHASES @ COST-RENTAL TEXT")</f>
        <v xml:space="preserve">          5003 - PURCHASES @ COST-RENTAL TEXT</v>
      </c>
      <c r="C92" s="12"/>
      <c r="D92" s="3"/>
      <c r="E92" s="3"/>
      <c r="F92" s="20">
        <f t="shared" si="12"/>
        <v>0</v>
      </c>
      <c r="G92" s="3"/>
      <c r="H92" s="3">
        <v>7179.56</v>
      </c>
      <c r="I92" s="3"/>
      <c r="J92" s="20">
        <f t="shared" si="13"/>
        <v>1.416739714796369E-2</v>
      </c>
      <c r="K92" s="3"/>
      <c r="L92" s="3">
        <f t="shared" si="14"/>
        <v>-7179.56</v>
      </c>
      <c r="M92" s="3"/>
      <c r="N92" s="20">
        <f t="shared" si="15"/>
        <v>-1</v>
      </c>
      <c r="O92" s="12"/>
      <c r="P92" s="3"/>
      <c r="Q92" s="3"/>
      <c r="R92" s="20">
        <f t="shared" si="16"/>
        <v>0</v>
      </c>
      <c r="S92" s="3"/>
      <c r="T92" s="3">
        <v>7212.08</v>
      </c>
      <c r="U92" s="3"/>
      <c r="V92" s="20">
        <f t="shared" si="17"/>
        <v>1.3836712199739862E-3</v>
      </c>
      <c r="W92" s="3"/>
      <c r="X92" s="3">
        <f t="shared" si="18"/>
        <v>-7212.08</v>
      </c>
      <c r="Y92" s="3"/>
      <c r="Z92" s="20">
        <f t="shared" si="19"/>
        <v>-1</v>
      </c>
    </row>
    <row r="93" spans="1:26" s="69" customFormat="1" ht="15" hidden="1" customHeight="1" outlineLevel="1" x14ac:dyDescent="0.25">
      <c r="A93" s="42"/>
      <c r="B93" s="12" t="str">
        <f>CONCATENATE("          ","5004"," - ","PURCHASES @ COST-DIGITAL TEXT")</f>
        <v xml:space="preserve">          5004 - PURCHASES @ COST-DIGITAL TEXT</v>
      </c>
      <c r="C93" s="12"/>
      <c r="D93" s="3"/>
      <c r="E93" s="3"/>
      <c r="F93" s="20">
        <f t="shared" si="12"/>
        <v>0</v>
      </c>
      <c r="G93" s="3"/>
      <c r="H93" s="3">
        <v>-7843.95</v>
      </c>
      <c r="I93" s="3"/>
      <c r="J93" s="20">
        <f t="shared" si="13"/>
        <v>-1.5478435288342151E-2</v>
      </c>
      <c r="K93" s="3"/>
      <c r="L93" s="3">
        <f t="shared" si="14"/>
        <v>7843.95</v>
      </c>
      <c r="M93" s="3"/>
      <c r="N93" s="20">
        <f t="shared" si="15"/>
        <v>-1</v>
      </c>
      <c r="O93" s="12"/>
      <c r="P93" s="3">
        <v>0</v>
      </c>
      <c r="Q93" s="3"/>
      <c r="R93" s="20">
        <f t="shared" si="16"/>
        <v>0</v>
      </c>
      <c r="S93" s="3"/>
      <c r="T93" s="3">
        <v>199606.43</v>
      </c>
      <c r="U93" s="3"/>
      <c r="V93" s="20">
        <f t="shared" si="17"/>
        <v>3.8295425523947615E-2</v>
      </c>
      <c r="W93" s="3"/>
      <c r="X93" s="3">
        <f t="shared" si="18"/>
        <v>-199606.43</v>
      </c>
      <c r="Y93" s="3"/>
      <c r="Z93" s="20">
        <f t="shared" si="19"/>
        <v>-1</v>
      </c>
    </row>
    <row r="94" spans="1:26" s="69" customFormat="1" ht="15" hidden="1" customHeight="1" outlineLevel="1" x14ac:dyDescent="0.25">
      <c r="A94" s="42"/>
      <c r="B94" s="12" t="str">
        <f>CONCATENATE("          ","5011"," - ","PURCHASES @ COST-NO VALUE TEXT")</f>
        <v xml:space="preserve">          5011 - PURCHASES @ COST-NO VALUE TEXT</v>
      </c>
      <c r="C94" s="12"/>
      <c r="D94" s="3"/>
      <c r="E94" s="3"/>
      <c r="F94" s="20">
        <f t="shared" si="12"/>
        <v>0</v>
      </c>
      <c r="G94" s="3"/>
      <c r="H94" s="3"/>
      <c r="I94" s="3"/>
      <c r="J94" s="20">
        <f t="shared" si="13"/>
        <v>0</v>
      </c>
      <c r="K94" s="3"/>
      <c r="L94" s="3">
        <f t="shared" si="14"/>
        <v>0</v>
      </c>
      <c r="M94" s="3"/>
      <c r="N94" s="20">
        <f t="shared" si="15"/>
        <v>0</v>
      </c>
      <c r="O94" s="12"/>
      <c r="P94" s="3"/>
      <c r="Q94" s="3"/>
      <c r="R94" s="20">
        <f t="shared" si="16"/>
        <v>0</v>
      </c>
      <c r="S94" s="3"/>
      <c r="T94" s="3">
        <v>67.17</v>
      </c>
      <c r="U94" s="3"/>
      <c r="V94" s="20">
        <f t="shared" si="17"/>
        <v>1.2886878105297315E-5</v>
      </c>
      <c r="W94" s="3"/>
      <c r="X94" s="3">
        <f t="shared" si="18"/>
        <v>-67.17</v>
      </c>
      <c r="Y94" s="3"/>
      <c r="Z94" s="20">
        <f t="shared" si="19"/>
        <v>-1</v>
      </c>
    </row>
    <row r="95" spans="1:26" s="69" customFormat="1" ht="15" hidden="1" customHeight="1" outlineLevel="1" x14ac:dyDescent="0.25">
      <c r="A95" s="42"/>
      <c r="B95" s="12" t="str">
        <f>CONCATENATE("          ","5013"," - ","PURCHASES @ COST-TRADE BOOKS")</f>
        <v xml:space="preserve">          5013 - PURCHASES @ COST-TRADE BOOKS</v>
      </c>
      <c r="C95" s="12"/>
      <c r="D95" s="3"/>
      <c r="E95" s="3"/>
      <c r="F95" s="20">
        <f t="shared" si="12"/>
        <v>0</v>
      </c>
      <c r="G95" s="3"/>
      <c r="H95" s="3"/>
      <c r="I95" s="3"/>
      <c r="J95" s="20">
        <f t="shared" si="13"/>
        <v>0</v>
      </c>
      <c r="K95" s="3"/>
      <c r="L95" s="3">
        <f t="shared" si="14"/>
        <v>0</v>
      </c>
      <c r="M95" s="3"/>
      <c r="N95" s="20">
        <f t="shared" si="15"/>
        <v>0</v>
      </c>
      <c r="O95" s="12"/>
      <c r="P95" s="3"/>
      <c r="Q95" s="3"/>
      <c r="R95" s="20">
        <f t="shared" si="16"/>
        <v>0</v>
      </c>
      <c r="S95" s="3"/>
      <c r="T95" s="3">
        <v>9670.02</v>
      </c>
      <c r="U95" s="3"/>
      <c r="V95" s="20">
        <f t="shared" si="17"/>
        <v>1.8552384846774921E-3</v>
      </c>
      <c r="W95" s="3"/>
      <c r="X95" s="3">
        <f t="shared" si="18"/>
        <v>-9670.02</v>
      </c>
      <c r="Y95" s="3"/>
      <c r="Z95" s="20">
        <f t="shared" si="19"/>
        <v>-1</v>
      </c>
    </row>
    <row r="96" spans="1:26" s="69" customFormat="1" ht="15" hidden="1" customHeight="1" outlineLevel="1" x14ac:dyDescent="0.25">
      <c r="A96" s="42"/>
      <c r="B96" s="12" t="str">
        <f>CONCATENATE("          ","5014"," - ","PURCHASES @ COST-REMAINDERS")</f>
        <v xml:space="preserve">          5014 - PURCHASES @ COST-REMAINDERS</v>
      </c>
      <c r="C96" s="12"/>
      <c r="D96" s="3"/>
      <c r="E96" s="3"/>
      <c r="F96" s="20">
        <f t="shared" si="12"/>
        <v>0</v>
      </c>
      <c r="G96" s="3"/>
      <c r="H96" s="3"/>
      <c r="I96" s="3"/>
      <c r="J96" s="20">
        <f t="shared" si="13"/>
        <v>0</v>
      </c>
      <c r="K96" s="3"/>
      <c r="L96" s="3">
        <f t="shared" si="14"/>
        <v>0</v>
      </c>
      <c r="M96" s="3"/>
      <c r="N96" s="20">
        <f t="shared" si="15"/>
        <v>0</v>
      </c>
      <c r="O96" s="12"/>
      <c r="P96" s="3"/>
      <c r="Q96" s="3"/>
      <c r="R96" s="20">
        <f t="shared" si="16"/>
        <v>0</v>
      </c>
      <c r="S96" s="3"/>
      <c r="T96" s="3">
        <v>111.57</v>
      </c>
      <c r="U96" s="3"/>
      <c r="V96" s="20">
        <f t="shared" si="17"/>
        <v>2.1405225401340204E-5</v>
      </c>
      <c r="W96" s="3"/>
      <c r="X96" s="3">
        <f t="shared" si="18"/>
        <v>-111.57</v>
      </c>
      <c r="Y96" s="3"/>
      <c r="Z96" s="20">
        <f t="shared" si="19"/>
        <v>-1</v>
      </c>
    </row>
    <row r="97" spans="1:26" s="69" customFormat="1" ht="15" hidden="1" customHeight="1" outlineLevel="1" x14ac:dyDescent="0.25">
      <c r="A97" s="42"/>
      <c r="B97" s="12" t="str">
        <f>CONCATENATE("          ","5018"," - ","PURCHASES @ COST-STUDY GUIDES")</f>
        <v xml:space="preserve">          5018 - PURCHASES @ COST-STUDY GUIDES</v>
      </c>
      <c r="C97" s="12"/>
      <c r="D97" s="3"/>
      <c r="E97" s="3"/>
      <c r="F97" s="20">
        <f t="shared" si="12"/>
        <v>0</v>
      </c>
      <c r="G97" s="3"/>
      <c r="H97" s="3"/>
      <c r="I97" s="3"/>
      <c r="J97" s="20">
        <f t="shared" si="13"/>
        <v>0</v>
      </c>
      <c r="K97" s="3"/>
      <c r="L97" s="3">
        <f t="shared" si="14"/>
        <v>0</v>
      </c>
      <c r="M97" s="3"/>
      <c r="N97" s="20">
        <f t="shared" si="15"/>
        <v>0</v>
      </c>
      <c r="O97" s="12"/>
      <c r="P97" s="3"/>
      <c r="Q97" s="3"/>
      <c r="R97" s="20">
        <f t="shared" si="16"/>
        <v>0</v>
      </c>
      <c r="S97" s="3"/>
      <c r="T97" s="3">
        <v>967.21</v>
      </c>
      <c r="U97" s="3"/>
      <c r="V97" s="20">
        <f t="shared" si="17"/>
        <v>1.8556375423886581E-4</v>
      </c>
      <c r="W97" s="3"/>
      <c r="X97" s="3">
        <f t="shared" si="18"/>
        <v>-967.21</v>
      </c>
      <c r="Y97" s="3"/>
      <c r="Z97" s="20">
        <f t="shared" si="19"/>
        <v>-1</v>
      </c>
    </row>
    <row r="98" spans="1:26" s="69" customFormat="1" ht="15" hidden="1" customHeight="1" outlineLevel="1" x14ac:dyDescent="0.25">
      <c r="A98" s="42"/>
      <c r="B98" s="12" t="str">
        <f>CONCATENATE("          ","5025"," - ","PURCHASES @ COST-TEST FORMS")</f>
        <v xml:space="preserve">          5025 - PURCHASES @ COST-TEST FORMS</v>
      </c>
      <c r="C98" s="12"/>
      <c r="D98" s="3"/>
      <c r="E98" s="3"/>
      <c r="F98" s="20">
        <f t="shared" si="12"/>
        <v>0</v>
      </c>
      <c r="G98" s="3"/>
      <c r="H98" s="3"/>
      <c r="I98" s="3"/>
      <c r="J98" s="20">
        <f t="shared" si="13"/>
        <v>0</v>
      </c>
      <c r="K98" s="3"/>
      <c r="L98" s="3">
        <f t="shared" si="14"/>
        <v>0</v>
      </c>
      <c r="M98" s="3"/>
      <c r="N98" s="20">
        <f t="shared" si="15"/>
        <v>0</v>
      </c>
      <c r="O98" s="12"/>
      <c r="P98" s="3"/>
      <c r="Q98" s="3"/>
      <c r="R98" s="20">
        <f t="shared" si="16"/>
        <v>0</v>
      </c>
      <c r="S98" s="3"/>
      <c r="T98" s="3">
        <v>599.29</v>
      </c>
      <c r="U98" s="3"/>
      <c r="V98" s="20">
        <f t="shared" si="17"/>
        <v>1.1497658448300771E-4</v>
      </c>
      <c r="W98" s="3"/>
      <c r="X98" s="3">
        <f t="shared" si="18"/>
        <v>-599.29</v>
      </c>
      <c r="Y98" s="3"/>
      <c r="Z98" s="20">
        <f t="shared" si="19"/>
        <v>-1</v>
      </c>
    </row>
    <row r="99" spans="1:26" s="69" customFormat="1" ht="15" hidden="1" customHeight="1" outlineLevel="1" x14ac:dyDescent="0.25">
      <c r="A99" s="42"/>
      <c r="B99" s="12" t="str">
        <f>CONCATENATE("          ","5026"," - ","PURCHASES @ COST-WRITING INSTR")</f>
        <v xml:space="preserve">          5026 - PURCHASES @ COST-WRITING INSTR</v>
      </c>
      <c r="C99" s="12"/>
      <c r="D99" s="3"/>
      <c r="E99" s="3"/>
      <c r="F99" s="20">
        <f t="shared" si="12"/>
        <v>0</v>
      </c>
      <c r="G99" s="3"/>
      <c r="H99" s="3">
        <v>-2.0499999999999998</v>
      </c>
      <c r="I99" s="3"/>
      <c r="J99" s="20">
        <f t="shared" si="13"/>
        <v>-4.0452568337510324E-6</v>
      </c>
      <c r="K99" s="3"/>
      <c r="L99" s="3">
        <f t="shared" si="14"/>
        <v>2.0499999999999998</v>
      </c>
      <c r="M99" s="3"/>
      <c r="N99" s="20">
        <f t="shared" si="15"/>
        <v>-1</v>
      </c>
      <c r="O99" s="12"/>
      <c r="P99" s="3">
        <v>0</v>
      </c>
      <c r="Q99" s="3"/>
      <c r="R99" s="20">
        <f t="shared" si="16"/>
        <v>0</v>
      </c>
      <c r="S99" s="3"/>
      <c r="T99" s="3">
        <v>582.5</v>
      </c>
      <c r="U99" s="3"/>
      <c r="V99" s="20">
        <f t="shared" si="17"/>
        <v>1.1175534459335545E-4</v>
      </c>
      <c r="W99" s="3"/>
      <c r="X99" s="3">
        <f t="shared" si="18"/>
        <v>-582.5</v>
      </c>
      <c r="Y99" s="3"/>
      <c r="Z99" s="20">
        <f t="shared" si="19"/>
        <v>-1</v>
      </c>
    </row>
    <row r="100" spans="1:26" s="69" customFormat="1" ht="15" hidden="1" customHeight="1" outlineLevel="1" x14ac:dyDescent="0.25">
      <c r="A100" s="42"/>
      <c r="B100" s="12" t="str">
        <f>CONCATENATE("          ","5027"," - ","PURCHASES @ COST-SCHOOL SUPPLI")</f>
        <v xml:space="preserve">          5027 - PURCHASES @ COST-SCHOOL SUPPLI</v>
      </c>
      <c r="C100" s="12"/>
      <c r="D100" s="3"/>
      <c r="E100" s="3"/>
      <c r="F100" s="20">
        <f t="shared" si="12"/>
        <v>0</v>
      </c>
      <c r="G100" s="3"/>
      <c r="H100" s="3">
        <v>0.39</v>
      </c>
      <c r="I100" s="3"/>
      <c r="J100" s="20">
        <f t="shared" si="13"/>
        <v>7.695854464209282E-7</v>
      </c>
      <c r="K100" s="3"/>
      <c r="L100" s="3">
        <f t="shared" si="14"/>
        <v>-0.39</v>
      </c>
      <c r="M100" s="3"/>
      <c r="N100" s="20">
        <f t="shared" si="15"/>
        <v>-1</v>
      </c>
      <c r="O100" s="12"/>
      <c r="P100" s="3">
        <v>0</v>
      </c>
      <c r="Q100" s="3"/>
      <c r="R100" s="20">
        <f t="shared" si="16"/>
        <v>0</v>
      </c>
      <c r="S100" s="3"/>
      <c r="T100" s="3">
        <v>23734.99</v>
      </c>
      <c r="U100" s="3"/>
      <c r="V100" s="20">
        <f t="shared" si="17"/>
        <v>4.5536686461284913E-3</v>
      </c>
      <c r="W100" s="3"/>
      <c r="X100" s="3">
        <f t="shared" si="18"/>
        <v>-23734.99</v>
      </c>
      <c r="Y100" s="3"/>
      <c r="Z100" s="20">
        <f t="shared" si="19"/>
        <v>-1</v>
      </c>
    </row>
    <row r="101" spans="1:26" s="69" customFormat="1" ht="15" hidden="1" customHeight="1" outlineLevel="1" x14ac:dyDescent="0.25">
      <c r="A101" s="42"/>
      <c r="B101" s="12" t="str">
        <f>CONCATENATE("          ","5028"," - ","PURCHASES @ COST-ART/TECH")</f>
        <v xml:space="preserve">          5028 - PURCHASES @ COST-ART/TECH</v>
      </c>
      <c r="C101" s="12"/>
      <c r="D101" s="3"/>
      <c r="E101" s="3"/>
      <c r="F101" s="20">
        <f t="shared" si="12"/>
        <v>0</v>
      </c>
      <c r="G101" s="3"/>
      <c r="H101" s="3">
        <v>674.12</v>
      </c>
      <c r="I101" s="3"/>
      <c r="J101" s="20">
        <f t="shared" si="13"/>
        <v>1.3302383106186565E-3</v>
      </c>
      <c r="K101" s="3"/>
      <c r="L101" s="3">
        <f t="shared" si="14"/>
        <v>-674.12</v>
      </c>
      <c r="M101" s="3"/>
      <c r="N101" s="20">
        <f t="shared" si="15"/>
        <v>-1</v>
      </c>
      <c r="O101" s="12"/>
      <c r="P101" s="3">
        <v>0</v>
      </c>
      <c r="Q101" s="3"/>
      <c r="R101" s="20">
        <f t="shared" si="16"/>
        <v>0</v>
      </c>
      <c r="S101" s="3"/>
      <c r="T101" s="3">
        <v>47680.74</v>
      </c>
      <c r="U101" s="3"/>
      <c r="V101" s="20">
        <f t="shared" si="17"/>
        <v>9.1477725822595481E-3</v>
      </c>
      <c r="W101" s="3"/>
      <c r="X101" s="3">
        <f t="shared" si="18"/>
        <v>-47680.74</v>
      </c>
      <c r="Y101" s="3"/>
      <c r="Z101" s="20">
        <f t="shared" si="19"/>
        <v>-1</v>
      </c>
    </row>
    <row r="102" spans="1:26" s="69" customFormat="1" ht="15" hidden="1" customHeight="1" outlineLevel="1" x14ac:dyDescent="0.25">
      <c r="A102" s="42"/>
      <c r="B102" s="12" t="str">
        <f>CONCATENATE("          ","5031"," - ","PURCHASES @ COST-FOOD")</f>
        <v xml:space="preserve">          5031 - PURCHASES @ COST-FOOD</v>
      </c>
      <c r="C102" s="12"/>
      <c r="D102" s="3"/>
      <c r="E102" s="3"/>
      <c r="F102" s="20">
        <f t="shared" si="12"/>
        <v>0</v>
      </c>
      <c r="G102" s="3"/>
      <c r="H102" s="3">
        <v>280.37</v>
      </c>
      <c r="I102" s="3"/>
      <c r="J102" s="20">
        <f t="shared" si="13"/>
        <v>5.5325300413598872E-4</v>
      </c>
      <c r="K102" s="3"/>
      <c r="L102" s="3">
        <f t="shared" si="14"/>
        <v>-280.37</v>
      </c>
      <c r="M102" s="3"/>
      <c r="N102" s="20">
        <f t="shared" si="15"/>
        <v>-1</v>
      </c>
      <c r="O102" s="12"/>
      <c r="P102" s="3">
        <v>0</v>
      </c>
      <c r="Q102" s="3"/>
      <c r="R102" s="20">
        <f t="shared" si="16"/>
        <v>0</v>
      </c>
      <c r="S102" s="3"/>
      <c r="T102" s="3">
        <v>8066.09</v>
      </c>
      <c r="U102" s="3"/>
      <c r="V102" s="20">
        <f t="shared" si="17"/>
        <v>1.5475170257013193E-3</v>
      </c>
      <c r="W102" s="3"/>
      <c r="X102" s="3">
        <f t="shared" si="18"/>
        <v>-8066.09</v>
      </c>
      <c r="Y102" s="3"/>
      <c r="Z102" s="20">
        <f t="shared" si="19"/>
        <v>-1</v>
      </c>
    </row>
    <row r="103" spans="1:26" s="69" customFormat="1" ht="15" hidden="1" customHeight="1" outlineLevel="1" x14ac:dyDescent="0.25">
      <c r="A103" s="42"/>
      <c r="B103" s="12" t="str">
        <f>CONCATENATE("          ","5040"," - ","PURCHASES @ COST-LOGO CLOTHING")</f>
        <v xml:space="preserve">          5040 - PURCHASES @ COST-LOGO CLOTHING</v>
      </c>
      <c r="C103" s="12"/>
      <c r="D103" s="3"/>
      <c r="E103" s="3"/>
      <c r="F103" s="20">
        <f t="shared" si="12"/>
        <v>0</v>
      </c>
      <c r="G103" s="3"/>
      <c r="H103" s="3">
        <v>48288.73</v>
      </c>
      <c r="I103" s="3"/>
      <c r="J103" s="20">
        <f t="shared" si="13"/>
        <v>9.5287958549101714E-2</v>
      </c>
      <c r="K103" s="3"/>
      <c r="L103" s="3">
        <f t="shared" si="14"/>
        <v>-48288.73</v>
      </c>
      <c r="M103" s="3"/>
      <c r="N103" s="20">
        <f t="shared" si="15"/>
        <v>-1</v>
      </c>
      <c r="O103" s="12"/>
      <c r="P103" s="3">
        <v>0</v>
      </c>
      <c r="Q103" s="3"/>
      <c r="R103" s="20">
        <f t="shared" si="16"/>
        <v>0</v>
      </c>
      <c r="S103" s="3"/>
      <c r="T103" s="3">
        <v>327378.98</v>
      </c>
      <c r="U103" s="3"/>
      <c r="V103" s="20">
        <f t="shared" si="17"/>
        <v>6.2809185789736002E-2</v>
      </c>
      <c r="W103" s="3"/>
      <c r="X103" s="3">
        <f t="shared" si="18"/>
        <v>-327378.98</v>
      </c>
      <c r="Y103" s="3"/>
      <c r="Z103" s="20">
        <f t="shared" si="19"/>
        <v>-1</v>
      </c>
    </row>
    <row r="104" spans="1:26" s="69" customFormat="1" ht="15" hidden="1" customHeight="1" outlineLevel="1" x14ac:dyDescent="0.25">
      <c r="A104" s="42"/>
      <c r="B104" s="12" t="str">
        <f>CONCATENATE("          ","5041"," - ","PURCHASES @ COST-LOGO GIFTS")</f>
        <v xml:space="preserve">          5041 - PURCHASES @ COST-LOGO GIFTS</v>
      </c>
      <c r="C104" s="12"/>
      <c r="D104" s="3"/>
      <c r="E104" s="3"/>
      <c r="F104" s="20">
        <f t="shared" si="12"/>
        <v>0</v>
      </c>
      <c r="G104" s="3"/>
      <c r="H104" s="3">
        <v>22136.9</v>
      </c>
      <c r="I104" s="3"/>
      <c r="J104" s="20">
        <f t="shared" si="13"/>
        <v>4.3682656586860116E-2</v>
      </c>
      <c r="K104" s="3"/>
      <c r="L104" s="3">
        <f t="shared" si="14"/>
        <v>-22136.9</v>
      </c>
      <c r="M104" s="3"/>
      <c r="N104" s="20">
        <f t="shared" si="15"/>
        <v>-1</v>
      </c>
      <c r="O104" s="12"/>
      <c r="P104" s="3">
        <v>0</v>
      </c>
      <c r="Q104" s="3"/>
      <c r="R104" s="20">
        <f t="shared" si="16"/>
        <v>0</v>
      </c>
      <c r="S104" s="3"/>
      <c r="T104" s="3">
        <v>106398.85</v>
      </c>
      <c r="U104" s="3"/>
      <c r="V104" s="20">
        <f t="shared" si="17"/>
        <v>2.0413116130621013E-2</v>
      </c>
      <c r="W104" s="3"/>
      <c r="X104" s="3">
        <f t="shared" si="18"/>
        <v>-106398.85</v>
      </c>
      <c r="Y104" s="3"/>
      <c r="Z104" s="20">
        <f t="shared" si="19"/>
        <v>-1</v>
      </c>
    </row>
    <row r="105" spans="1:26" s="69" customFormat="1" ht="15" hidden="1" customHeight="1" outlineLevel="1" x14ac:dyDescent="0.25">
      <c r="A105" s="42"/>
      <c r="B105" s="12" t="str">
        <f>CONCATENATE("          ","5042"," - ","PURCHASES @ COST-EVERYDAY GIFT")</f>
        <v xml:space="preserve">          5042 - PURCHASES @ COST-EVERYDAY GIFT</v>
      </c>
      <c r="C105" s="12"/>
      <c r="D105" s="3"/>
      <c r="E105" s="3"/>
      <c r="F105" s="20">
        <f t="shared" si="12"/>
        <v>0</v>
      </c>
      <c r="G105" s="3"/>
      <c r="H105" s="3">
        <v>-0.11</v>
      </c>
      <c r="I105" s="3"/>
      <c r="J105" s="20">
        <f t="shared" si="13"/>
        <v>-2.1706256181103101E-7</v>
      </c>
      <c r="K105" s="3"/>
      <c r="L105" s="3">
        <f t="shared" si="14"/>
        <v>0.11</v>
      </c>
      <c r="M105" s="3"/>
      <c r="N105" s="20">
        <f t="shared" si="15"/>
        <v>-1</v>
      </c>
      <c r="O105" s="12"/>
      <c r="P105" s="3">
        <v>0</v>
      </c>
      <c r="Q105" s="3"/>
      <c r="R105" s="20">
        <f t="shared" si="16"/>
        <v>0</v>
      </c>
      <c r="S105" s="3"/>
      <c r="T105" s="3">
        <v>18748.07</v>
      </c>
      <c r="U105" s="3"/>
      <c r="V105" s="20">
        <f t="shared" si="17"/>
        <v>3.5969047610478104E-3</v>
      </c>
      <c r="W105" s="3"/>
      <c r="X105" s="3">
        <f t="shared" si="18"/>
        <v>-18748.07</v>
      </c>
      <c r="Y105" s="3"/>
      <c r="Z105" s="20">
        <f t="shared" si="19"/>
        <v>-1</v>
      </c>
    </row>
    <row r="106" spans="1:26" s="69" customFormat="1" ht="15" hidden="1" customHeight="1" outlineLevel="1" x14ac:dyDescent="0.25">
      <c r="A106" s="42"/>
      <c r="B106" s="12" t="str">
        <f>CONCATENATE("          ","5043"," - ","PURCHASES @ COST-CARDS")</f>
        <v xml:space="preserve">          5043 - PURCHASES @ COST-CARDS</v>
      </c>
      <c r="C106" s="12"/>
      <c r="D106" s="3"/>
      <c r="E106" s="3"/>
      <c r="F106" s="20">
        <f t="shared" si="12"/>
        <v>0</v>
      </c>
      <c r="G106" s="3"/>
      <c r="H106" s="3">
        <v>178</v>
      </c>
      <c r="I106" s="3"/>
      <c r="J106" s="20">
        <f t="shared" si="13"/>
        <v>3.5124669093057745E-4</v>
      </c>
      <c r="K106" s="3"/>
      <c r="L106" s="3">
        <f t="shared" si="14"/>
        <v>-178</v>
      </c>
      <c r="M106" s="3"/>
      <c r="N106" s="20">
        <f t="shared" si="15"/>
        <v>-1</v>
      </c>
      <c r="O106" s="12"/>
      <c r="P106" s="3">
        <v>0</v>
      </c>
      <c r="Q106" s="3"/>
      <c r="R106" s="20">
        <f t="shared" si="16"/>
        <v>0</v>
      </c>
      <c r="S106" s="3"/>
      <c r="T106" s="3">
        <v>55583.33</v>
      </c>
      <c r="U106" s="3"/>
      <c r="V106" s="20">
        <f t="shared" si="17"/>
        <v>1.0663921369607197E-2</v>
      </c>
      <c r="W106" s="3"/>
      <c r="X106" s="3">
        <f t="shared" si="18"/>
        <v>-55583.33</v>
      </c>
      <c r="Y106" s="3"/>
      <c r="Z106" s="20">
        <f t="shared" si="19"/>
        <v>-1</v>
      </c>
    </row>
    <row r="107" spans="1:26" s="69" customFormat="1" ht="15" hidden="1" customHeight="1" outlineLevel="1" x14ac:dyDescent="0.25">
      <c r="A107" s="42"/>
      <c r="B107" s="12" t="str">
        <f>CONCATENATE("          ","5044"," - ","PURCHASES @ COST-ACCESSORIES")</f>
        <v xml:space="preserve">          5044 - PURCHASES @ COST-ACCESSORIES</v>
      </c>
      <c r="C107" s="12"/>
      <c r="D107" s="3"/>
      <c r="E107" s="3"/>
      <c r="F107" s="20">
        <f t="shared" si="12"/>
        <v>0</v>
      </c>
      <c r="G107" s="3"/>
      <c r="H107" s="3"/>
      <c r="I107" s="3"/>
      <c r="J107" s="20">
        <f t="shared" si="13"/>
        <v>0</v>
      </c>
      <c r="K107" s="3"/>
      <c r="L107" s="3">
        <f t="shared" si="14"/>
        <v>0</v>
      </c>
      <c r="M107" s="3"/>
      <c r="N107" s="20">
        <f t="shared" si="15"/>
        <v>0</v>
      </c>
      <c r="O107" s="12"/>
      <c r="P107" s="3">
        <v>0</v>
      </c>
      <c r="Q107" s="3"/>
      <c r="R107" s="20">
        <f t="shared" si="16"/>
        <v>0</v>
      </c>
      <c r="S107" s="3"/>
      <c r="T107" s="3">
        <v>2555.71</v>
      </c>
      <c r="U107" s="3"/>
      <c r="V107" s="20">
        <f t="shared" si="17"/>
        <v>4.9032489567499477E-4</v>
      </c>
      <c r="W107" s="3"/>
      <c r="X107" s="3">
        <f t="shared" si="18"/>
        <v>-2555.71</v>
      </c>
      <c r="Y107" s="3"/>
      <c r="Z107" s="20">
        <f t="shared" si="19"/>
        <v>-1</v>
      </c>
    </row>
    <row r="108" spans="1:26" s="69" customFormat="1" ht="15" hidden="1" customHeight="1" outlineLevel="1" x14ac:dyDescent="0.25">
      <c r="A108" s="42"/>
      <c r="B108" s="12" t="str">
        <f>CONCATENATE("          ","5045"," - ","PURCHASES @ COST-SPECIAL ORDER")</f>
        <v xml:space="preserve">          5045 - PURCHASES @ COST-SPECIAL ORDER</v>
      </c>
      <c r="C108" s="12"/>
      <c r="D108" s="3"/>
      <c r="E108" s="3"/>
      <c r="F108" s="20">
        <f t="shared" si="12"/>
        <v>0</v>
      </c>
      <c r="G108" s="3"/>
      <c r="H108" s="3">
        <v>24141.17</v>
      </c>
      <c r="I108" s="3"/>
      <c r="J108" s="20">
        <f t="shared" si="13"/>
        <v>4.7637674593778247E-2</v>
      </c>
      <c r="K108" s="3"/>
      <c r="L108" s="3">
        <f t="shared" si="14"/>
        <v>-24141.17</v>
      </c>
      <c r="M108" s="3"/>
      <c r="N108" s="20">
        <f t="shared" si="15"/>
        <v>-1</v>
      </c>
      <c r="O108" s="12"/>
      <c r="P108" s="3">
        <v>0</v>
      </c>
      <c r="Q108" s="3"/>
      <c r="R108" s="20">
        <f t="shared" si="16"/>
        <v>0</v>
      </c>
      <c r="S108" s="3"/>
      <c r="T108" s="3">
        <v>139139.24</v>
      </c>
      <c r="U108" s="3"/>
      <c r="V108" s="20">
        <f t="shared" si="17"/>
        <v>2.6694512811429334E-2</v>
      </c>
      <c r="W108" s="3"/>
      <c r="X108" s="3">
        <f t="shared" si="18"/>
        <v>-139139.24</v>
      </c>
      <c r="Y108" s="3"/>
      <c r="Z108" s="20">
        <f t="shared" si="19"/>
        <v>-1</v>
      </c>
    </row>
    <row r="109" spans="1:26" s="69" customFormat="1" ht="15" hidden="1" customHeight="1" outlineLevel="1" x14ac:dyDescent="0.25">
      <c r="A109" s="42"/>
      <c r="B109" s="12" t="str">
        <f>CONCATENATE("          ","5053"," - ","PURCHASES @ COST-FOOD")</f>
        <v xml:space="preserve">          5053 - PURCHASES @ COST-FOOD</v>
      </c>
      <c r="C109" s="12"/>
      <c r="D109" s="3">
        <v>18738.490000000002</v>
      </c>
      <c r="E109" s="3"/>
      <c r="F109" s="20">
        <f t="shared" si="12"/>
        <v>1.9848676915524662E-2</v>
      </c>
      <c r="G109" s="3"/>
      <c r="H109" s="3">
        <v>-29</v>
      </c>
      <c r="I109" s="3"/>
      <c r="J109" s="20">
        <f t="shared" si="13"/>
        <v>-5.7225584477453627E-5</v>
      </c>
      <c r="K109" s="3"/>
      <c r="L109" s="3">
        <f t="shared" si="14"/>
        <v>18767.490000000002</v>
      </c>
      <c r="M109" s="3"/>
      <c r="N109" s="20">
        <f t="shared" si="15"/>
        <v>-647.15482758620692</v>
      </c>
      <c r="O109" s="12"/>
      <c r="P109" s="3">
        <v>47142.63</v>
      </c>
      <c r="Q109" s="3"/>
      <c r="R109" s="20">
        <f t="shared" si="16"/>
        <v>5.880130710632675E-3</v>
      </c>
      <c r="S109" s="3"/>
      <c r="T109" s="3">
        <v>-2499.15</v>
      </c>
      <c r="U109" s="3"/>
      <c r="V109" s="20">
        <f t="shared" si="17"/>
        <v>-4.7947359560598164E-4</v>
      </c>
      <c r="W109" s="3"/>
      <c r="X109" s="3">
        <f t="shared" si="18"/>
        <v>49641.78</v>
      </c>
      <c r="Y109" s="3"/>
      <c r="Z109" s="20">
        <f t="shared" si="19"/>
        <v>-19.863465578296619</v>
      </c>
    </row>
    <row r="110" spans="1:26" s="69" customFormat="1" ht="15" hidden="1" customHeight="1" outlineLevel="1" x14ac:dyDescent="0.25">
      <c r="A110" s="42"/>
      <c r="B110" s="12" t="str">
        <f>CONCATENATE("          ","5059"," - ","PURCHASES @ COST-FOOD")</f>
        <v xml:space="preserve">          5059 - PURCHASES @ COST-FOOD</v>
      </c>
      <c r="C110" s="12"/>
      <c r="D110" s="3">
        <v>19353.509999999998</v>
      </c>
      <c r="E110" s="3"/>
      <c r="F110" s="20">
        <f t="shared" si="12"/>
        <v>2.0500134598432192E-2</v>
      </c>
      <c r="G110" s="3"/>
      <c r="H110" s="3"/>
      <c r="I110" s="3"/>
      <c r="J110" s="20">
        <f t="shared" si="13"/>
        <v>0</v>
      </c>
      <c r="K110" s="3"/>
      <c r="L110" s="3">
        <f t="shared" si="14"/>
        <v>19353.509999999998</v>
      </c>
      <c r="M110" s="3"/>
      <c r="N110" s="20">
        <f t="shared" si="15"/>
        <v>0</v>
      </c>
      <c r="O110" s="12"/>
      <c r="P110" s="3">
        <v>186936.32000000001</v>
      </c>
      <c r="Q110" s="3"/>
      <c r="R110" s="20">
        <f t="shared" si="16"/>
        <v>2.331668802026228E-2</v>
      </c>
      <c r="S110" s="3"/>
      <c r="T110" s="3">
        <v>30889.99</v>
      </c>
      <c r="U110" s="3"/>
      <c r="V110" s="20">
        <f t="shared" si="17"/>
        <v>5.9263888016056728E-3</v>
      </c>
      <c r="W110" s="3"/>
      <c r="X110" s="3">
        <f t="shared" si="18"/>
        <v>156046.33000000002</v>
      </c>
      <c r="Y110" s="3"/>
      <c r="Z110" s="20">
        <f t="shared" si="19"/>
        <v>5.0516795246615489</v>
      </c>
    </row>
    <row r="111" spans="1:26" s="69" customFormat="1" ht="15" hidden="1" customHeight="1" outlineLevel="1" x14ac:dyDescent="0.25">
      <c r="A111" s="42"/>
      <c r="B111" s="12" t="str">
        <f>CONCATENATE("          ","5086"," - ","PURCHASES @ COST-COMPUTER SUPP")</f>
        <v xml:space="preserve">          5086 - PURCHASES @ COST-COMPUTER SUPP</v>
      </c>
      <c r="C111" s="12"/>
      <c r="D111" s="3"/>
      <c r="E111" s="3"/>
      <c r="F111" s="20">
        <f t="shared" si="12"/>
        <v>0</v>
      </c>
      <c r="G111" s="3"/>
      <c r="H111" s="3"/>
      <c r="I111" s="3"/>
      <c r="J111" s="20">
        <f t="shared" si="13"/>
        <v>0</v>
      </c>
      <c r="K111" s="3"/>
      <c r="L111" s="3">
        <f t="shared" si="14"/>
        <v>0</v>
      </c>
      <c r="M111" s="3"/>
      <c r="N111" s="20">
        <f t="shared" si="15"/>
        <v>0</v>
      </c>
      <c r="O111" s="12"/>
      <c r="P111" s="3"/>
      <c r="Q111" s="3"/>
      <c r="R111" s="20">
        <f t="shared" si="16"/>
        <v>0</v>
      </c>
      <c r="S111" s="3"/>
      <c r="T111" s="3">
        <v>13.21</v>
      </c>
      <c r="U111" s="3"/>
      <c r="V111" s="20">
        <f t="shared" si="17"/>
        <v>2.5344001752415892E-6</v>
      </c>
      <c r="W111" s="3"/>
      <c r="X111" s="3">
        <f t="shared" si="18"/>
        <v>-13.21</v>
      </c>
      <c r="Y111" s="3"/>
      <c r="Z111" s="20">
        <f t="shared" si="19"/>
        <v>-1</v>
      </c>
    </row>
    <row r="112" spans="1:26" s="69" customFormat="1" ht="15" hidden="1" customHeight="1" outlineLevel="1" x14ac:dyDescent="0.25">
      <c r="A112" s="42"/>
      <c r="B112" s="12" t="str">
        <f>CONCATENATE("          ","5092"," - ","PURCHASES @ COST-GRAD MERCH")</f>
        <v xml:space="preserve">          5092 - PURCHASES @ COST-GRAD MERCH</v>
      </c>
      <c r="C112" s="12"/>
      <c r="D112" s="3"/>
      <c r="E112" s="3"/>
      <c r="F112" s="20">
        <f t="shared" si="12"/>
        <v>0</v>
      </c>
      <c r="G112" s="3"/>
      <c r="H112" s="3"/>
      <c r="I112" s="3"/>
      <c r="J112" s="20">
        <f t="shared" si="13"/>
        <v>0</v>
      </c>
      <c r="K112" s="3"/>
      <c r="L112" s="3">
        <f t="shared" si="14"/>
        <v>0</v>
      </c>
      <c r="M112" s="3"/>
      <c r="N112" s="20">
        <f t="shared" si="15"/>
        <v>0</v>
      </c>
      <c r="O112" s="12"/>
      <c r="P112" s="3"/>
      <c r="Q112" s="3"/>
      <c r="R112" s="20">
        <f t="shared" si="16"/>
        <v>0</v>
      </c>
      <c r="S112" s="3"/>
      <c r="T112" s="3">
        <v>0</v>
      </c>
      <c r="U112" s="3"/>
      <c r="V112" s="20">
        <f t="shared" si="17"/>
        <v>0</v>
      </c>
      <c r="W112" s="3"/>
      <c r="X112" s="3">
        <f t="shared" si="18"/>
        <v>0</v>
      </c>
      <c r="Y112" s="3"/>
      <c r="Z112" s="20">
        <f t="shared" si="19"/>
        <v>0</v>
      </c>
    </row>
    <row r="113" spans="1:26" s="69" customFormat="1" ht="15" hidden="1" customHeight="1" outlineLevel="1" x14ac:dyDescent="0.25">
      <c r="A113" s="42"/>
      <c r="B113" s="12" t="str">
        <f>CONCATENATE("          ","5200"," - ","PURCHASES OFFSET")</f>
        <v xml:space="preserve">          5200 - PURCHASES OFFSET</v>
      </c>
      <c r="C113" s="12"/>
      <c r="D113" s="3">
        <v>-363471.96</v>
      </c>
      <c r="E113" s="3"/>
      <c r="F113" s="20">
        <f t="shared" si="12"/>
        <v>-0.38500634266114842</v>
      </c>
      <c r="G113" s="3"/>
      <c r="H113" s="3">
        <v>-162582.03</v>
      </c>
      <c r="I113" s="3"/>
      <c r="J113" s="20">
        <f t="shared" si="13"/>
        <v>-0.32082247214761728</v>
      </c>
      <c r="K113" s="3"/>
      <c r="L113" s="3">
        <f t="shared" si="14"/>
        <v>-200889.93000000002</v>
      </c>
      <c r="M113" s="3"/>
      <c r="N113" s="20">
        <f t="shared" si="15"/>
        <v>1.2356219811008635</v>
      </c>
      <c r="O113" s="12"/>
      <c r="P113" s="3">
        <v>-3931496.4</v>
      </c>
      <c r="Q113" s="3"/>
      <c r="R113" s="20">
        <f t="shared" si="16"/>
        <v>-0.49037808710251857</v>
      </c>
      <c r="S113" s="3"/>
      <c r="T113" s="3">
        <v>-1847967.16</v>
      </c>
      <c r="U113" s="3"/>
      <c r="V113" s="20">
        <f t="shared" si="17"/>
        <v>-0.35454112749013639</v>
      </c>
      <c r="W113" s="3"/>
      <c r="X113" s="3">
        <f t="shared" si="18"/>
        <v>-2083529.24</v>
      </c>
      <c r="Y113" s="3"/>
      <c r="Z113" s="20">
        <f t="shared" si="19"/>
        <v>1.1274709232387008</v>
      </c>
    </row>
    <row r="114" spans="1:26" s="69" customFormat="1" ht="15" hidden="1" customHeight="1" outlineLevel="1" x14ac:dyDescent="0.25">
      <c r="A114" s="42"/>
      <c r="B114" s="12" t="str">
        <f>CONCATENATE("          ","5300"," - ","COG$ OFFSET")</f>
        <v xml:space="preserve">          5300 - COG$ OFFSET</v>
      </c>
      <c r="C114" s="12"/>
      <c r="D114" s="3">
        <v>371724.62</v>
      </c>
      <c r="E114" s="3"/>
      <c r="F114" s="20">
        <f t="shared" si="12"/>
        <v>0.39374794254639389</v>
      </c>
      <c r="G114" s="3"/>
      <c r="H114" s="3">
        <v>241236</v>
      </c>
      <c r="I114" s="3"/>
      <c r="J114" s="20">
        <f t="shared" si="13"/>
        <v>0.47603003782768977</v>
      </c>
      <c r="K114" s="3"/>
      <c r="L114" s="3">
        <f t="shared" si="14"/>
        <v>130488.62</v>
      </c>
      <c r="M114" s="3"/>
      <c r="N114" s="20">
        <f t="shared" si="15"/>
        <v>0.54091686149662566</v>
      </c>
      <c r="O114" s="12"/>
      <c r="P114" s="3">
        <v>3771746.64</v>
      </c>
      <c r="Q114" s="3"/>
      <c r="R114" s="20">
        <f t="shared" si="16"/>
        <v>0.47045239628314345</v>
      </c>
      <c r="S114" s="3"/>
      <c r="T114" s="3">
        <v>2641632</v>
      </c>
      <c r="U114" s="3"/>
      <c r="V114" s="20">
        <f t="shared" si="17"/>
        <v>0.5068094325301884</v>
      </c>
      <c r="W114" s="3"/>
      <c r="X114" s="3">
        <f t="shared" si="18"/>
        <v>1130114.6400000001</v>
      </c>
      <c r="Y114" s="3"/>
      <c r="Z114" s="20">
        <f t="shared" si="19"/>
        <v>0.42780926336446568</v>
      </c>
    </row>
    <row r="115" spans="1:26" s="69" customFormat="1" ht="15" hidden="1" customHeight="1" outlineLevel="1" x14ac:dyDescent="0.25">
      <c r="A115" s="42"/>
      <c r="B115" s="12" t="str">
        <f>CONCATENATE("          ","5500"," - ","FREIGHT-IN")</f>
        <v xml:space="preserve">          5500 - FREIGHT-IN</v>
      </c>
      <c r="C115" s="12"/>
      <c r="D115" s="3">
        <v>11900.97</v>
      </c>
      <c r="E115" s="3"/>
      <c r="F115" s="20">
        <f t="shared" si="12"/>
        <v>1.2606058893291375E-2</v>
      </c>
      <c r="G115" s="3"/>
      <c r="H115" s="3">
        <v>0</v>
      </c>
      <c r="I115" s="3"/>
      <c r="J115" s="20">
        <f t="shared" si="13"/>
        <v>0</v>
      </c>
      <c r="K115" s="3"/>
      <c r="L115" s="3">
        <f t="shared" si="14"/>
        <v>11900.97</v>
      </c>
      <c r="M115" s="3"/>
      <c r="N115" s="20">
        <f t="shared" si="15"/>
        <v>0</v>
      </c>
      <c r="O115" s="12"/>
      <c r="P115" s="3">
        <v>195175.16</v>
      </c>
      <c r="Q115" s="3"/>
      <c r="R115" s="20">
        <f t="shared" si="16"/>
        <v>2.4344323858652903E-2</v>
      </c>
      <c r="S115" s="3"/>
      <c r="T115" s="3">
        <v>0</v>
      </c>
      <c r="U115" s="3"/>
      <c r="V115" s="20">
        <f t="shared" si="17"/>
        <v>0</v>
      </c>
      <c r="W115" s="3"/>
      <c r="X115" s="3">
        <f t="shared" si="18"/>
        <v>195175.16</v>
      </c>
      <c r="Y115" s="3"/>
      <c r="Z115" s="20">
        <f t="shared" si="19"/>
        <v>0</v>
      </c>
    </row>
    <row r="116" spans="1:26" s="69" customFormat="1" ht="15" hidden="1" customHeight="1" outlineLevel="1" x14ac:dyDescent="0.25">
      <c r="A116" s="42"/>
      <c r="B116" s="12" t="str">
        <f>CONCATENATE("          ","5501"," - ","FREIGHT-IN-NEW TEXT")</f>
        <v xml:space="preserve">          5501 - FREIGHT-IN-NEW TEXT</v>
      </c>
      <c r="C116" s="12"/>
      <c r="D116" s="3"/>
      <c r="E116" s="3"/>
      <c r="F116" s="20">
        <f t="shared" si="12"/>
        <v>0</v>
      </c>
      <c r="G116" s="3"/>
      <c r="H116" s="3">
        <v>1522.41</v>
      </c>
      <c r="I116" s="3"/>
      <c r="J116" s="20">
        <f t="shared" si="13"/>
        <v>3.0041655884248341E-3</v>
      </c>
      <c r="K116" s="3"/>
      <c r="L116" s="3">
        <f t="shared" si="14"/>
        <v>-1522.41</v>
      </c>
      <c r="M116" s="3"/>
      <c r="N116" s="20">
        <f t="shared" si="15"/>
        <v>-1</v>
      </c>
      <c r="O116" s="12"/>
      <c r="P116" s="3">
        <v>0</v>
      </c>
      <c r="Q116" s="3"/>
      <c r="R116" s="20">
        <f t="shared" si="16"/>
        <v>0</v>
      </c>
      <c r="S116" s="3"/>
      <c r="T116" s="3">
        <v>51836.14</v>
      </c>
      <c r="U116" s="3"/>
      <c r="V116" s="20">
        <f t="shared" si="17"/>
        <v>9.9450054731148787E-3</v>
      </c>
      <c r="W116" s="3"/>
      <c r="X116" s="3">
        <f t="shared" si="18"/>
        <v>-51836.14</v>
      </c>
      <c r="Y116" s="3"/>
      <c r="Z116" s="20">
        <f t="shared" si="19"/>
        <v>-1</v>
      </c>
    </row>
    <row r="117" spans="1:26" s="69" customFormat="1" ht="15" hidden="1" customHeight="1" outlineLevel="1" x14ac:dyDescent="0.25">
      <c r="A117" s="42"/>
      <c r="B117" s="12" t="str">
        <f>CONCATENATE("          ","5502"," - ","FREIGHT-IN-USED TEXT")</f>
        <v xml:space="preserve">          5502 - FREIGHT-IN-USED TEXT</v>
      </c>
      <c r="C117" s="12"/>
      <c r="D117" s="3"/>
      <c r="E117" s="3"/>
      <c r="F117" s="20">
        <f t="shared" si="12"/>
        <v>0</v>
      </c>
      <c r="G117" s="3"/>
      <c r="H117" s="3">
        <v>133.97</v>
      </c>
      <c r="I117" s="3"/>
      <c r="J117" s="20">
        <f t="shared" si="13"/>
        <v>2.6436246732567114E-4</v>
      </c>
      <c r="K117" s="3"/>
      <c r="L117" s="3">
        <f t="shared" si="14"/>
        <v>-133.97</v>
      </c>
      <c r="M117" s="3"/>
      <c r="N117" s="20">
        <f t="shared" si="15"/>
        <v>-1</v>
      </c>
      <c r="O117" s="12"/>
      <c r="P117" s="3">
        <v>0</v>
      </c>
      <c r="Q117" s="3"/>
      <c r="R117" s="20">
        <f t="shared" si="16"/>
        <v>0</v>
      </c>
      <c r="S117" s="3"/>
      <c r="T117" s="3">
        <v>17992.87</v>
      </c>
      <c r="U117" s="3"/>
      <c r="V117" s="20">
        <f t="shared" si="17"/>
        <v>3.4520161151475495E-3</v>
      </c>
      <c r="W117" s="3"/>
      <c r="X117" s="3">
        <f t="shared" si="18"/>
        <v>-17992.87</v>
      </c>
      <c r="Y117" s="3"/>
      <c r="Z117" s="20">
        <f t="shared" si="19"/>
        <v>-1</v>
      </c>
    </row>
    <row r="118" spans="1:26" s="69" customFormat="1" ht="15" hidden="1" customHeight="1" outlineLevel="1" x14ac:dyDescent="0.25">
      <c r="A118" s="42"/>
      <c r="B118" s="12" t="str">
        <f>CONCATENATE("          ","5504"," - ","FREIGHT-IN-DIGITAL TEXT")</f>
        <v xml:space="preserve">          5504 - FREIGHT-IN-DIGITAL TEXT</v>
      </c>
      <c r="C118" s="12"/>
      <c r="D118" s="3"/>
      <c r="E118" s="3"/>
      <c r="F118" s="20">
        <f t="shared" si="12"/>
        <v>0</v>
      </c>
      <c r="G118" s="3"/>
      <c r="H118" s="3"/>
      <c r="I118" s="3"/>
      <c r="J118" s="20">
        <f t="shared" si="13"/>
        <v>0</v>
      </c>
      <c r="K118" s="3"/>
      <c r="L118" s="3">
        <f t="shared" si="14"/>
        <v>0</v>
      </c>
      <c r="M118" s="3"/>
      <c r="N118" s="20">
        <f t="shared" si="15"/>
        <v>0</v>
      </c>
      <c r="O118" s="12"/>
      <c r="P118" s="3"/>
      <c r="Q118" s="3"/>
      <c r="R118" s="20">
        <f t="shared" si="16"/>
        <v>0</v>
      </c>
      <c r="S118" s="3"/>
      <c r="T118" s="3">
        <v>28.92</v>
      </c>
      <c r="U118" s="3"/>
      <c r="V118" s="20">
        <f t="shared" si="17"/>
        <v>5.5484370225576653E-6</v>
      </c>
      <c r="W118" s="3"/>
      <c r="X118" s="3">
        <f t="shared" si="18"/>
        <v>-28.92</v>
      </c>
      <c r="Y118" s="3"/>
      <c r="Z118" s="20">
        <f t="shared" si="19"/>
        <v>-1</v>
      </c>
    </row>
    <row r="119" spans="1:26" s="69" customFormat="1" ht="15" hidden="1" customHeight="1" outlineLevel="1" x14ac:dyDescent="0.25">
      <c r="A119" s="42"/>
      <c r="B119" s="12" t="str">
        <f>CONCATENATE("          ","5513"," - ","FREIGHT-IN-TRADE BOOKS")</f>
        <v xml:space="preserve">          5513 - FREIGHT-IN-TRADE BOOKS</v>
      </c>
      <c r="C119" s="12"/>
      <c r="D119" s="3"/>
      <c r="E119" s="3"/>
      <c r="F119" s="20">
        <f t="shared" si="12"/>
        <v>0</v>
      </c>
      <c r="G119" s="3"/>
      <c r="H119" s="3"/>
      <c r="I119" s="3"/>
      <c r="J119" s="20">
        <f t="shared" si="13"/>
        <v>0</v>
      </c>
      <c r="K119" s="3"/>
      <c r="L119" s="3">
        <f t="shared" si="14"/>
        <v>0</v>
      </c>
      <c r="M119" s="3"/>
      <c r="N119" s="20">
        <f t="shared" si="15"/>
        <v>0</v>
      </c>
      <c r="O119" s="12"/>
      <c r="P119" s="3"/>
      <c r="Q119" s="3"/>
      <c r="R119" s="20">
        <f t="shared" si="16"/>
        <v>0</v>
      </c>
      <c r="S119" s="3"/>
      <c r="T119" s="3">
        <v>85.28</v>
      </c>
      <c r="U119" s="3"/>
      <c r="V119" s="20">
        <f t="shared" si="17"/>
        <v>1.63613661578049E-5</v>
      </c>
      <c r="W119" s="3"/>
      <c r="X119" s="3">
        <f t="shared" si="18"/>
        <v>-85.28</v>
      </c>
      <c r="Y119" s="3"/>
      <c r="Z119" s="20">
        <f t="shared" si="19"/>
        <v>-1</v>
      </c>
    </row>
    <row r="120" spans="1:26" s="69" customFormat="1" ht="15" hidden="1" customHeight="1" outlineLevel="1" x14ac:dyDescent="0.25">
      <c r="A120" s="42"/>
      <c r="B120" s="12" t="str">
        <f>CONCATENATE("          ","5518"," - ","FREIGHT-IN-STUDY GUIDES")</f>
        <v xml:space="preserve">          5518 - FREIGHT-IN-STUDY GUIDES</v>
      </c>
      <c r="C120" s="12"/>
      <c r="D120" s="3"/>
      <c r="E120" s="3"/>
      <c r="F120" s="20">
        <f t="shared" si="12"/>
        <v>0</v>
      </c>
      <c r="G120" s="3"/>
      <c r="H120" s="3"/>
      <c r="I120" s="3"/>
      <c r="J120" s="20">
        <f t="shared" si="13"/>
        <v>0</v>
      </c>
      <c r="K120" s="3"/>
      <c r="L120" s="3">
        <f t="shared" si="14"/>
        <v>0</v>
      </c>
      <c r="M120" s="3"/>
      <c r="N120" s="20">
        <f t="shared" si="15"/>
        <v>0</v>
      </c>
      <c r="O120" s="12"/>
      <c r="P120" s="3">
        <v>0</v>
      </c>
      <c r="Q120" s="3"/>
      <c r="R120" s="20">
        <f t="shared" si="16"/>
        <v>0</v>
      </c>
      <c r="S120" s="3"/>
      <c r="T120" s="3"/>
      <c r="U120" s="3"/>
      <c r="V120" s="20">
        <f t="shared" si="17"/>
        <v>0</v>
      </c>
      <c r="W120" s="3"/>
      <c r="X120" s="3">
        <f t="shared" si="18"/>
        <v>0</v>
      </c>
      <c r="Y120" s="3"/>
      <c r="Z120" s="20">
        <f t="shared" si="19"/>
        <v>0</v>
      </c>
    </row>
    <row r="121" spans="1:26" s="69" customFormat="1" ht="15" hidden="1" customHeight="1" outlineLevel="1" x14ac:dyDescent="0.25">
      <c r="A121" s="42"/>
      <c r="B121" s="12" t="str">
        <f>CONCATENATE("          ","5525"," - ","FREIGHT-IN-TEST FORMS")</f>
        <v xml:space="preserve">          5525 - FREIGHT-IN-TEST FORMS</v>
      </c>
      <c r="C121" s="12"/>
      <c r="D121" s="3"/>
      <c r="E121" s="3"/>
      <c r="F121" s="20">
        <f t="shared" si="12"/>
        <v>0</v>
      </c>
      <c r="G121" s="3"/>
      <c r="H121" s="3"/>
      <c r="I121" s="3"/>
      <c r="J121" s="20">
        <f t="shared" si="13"/>
        <v>0</v>
      </c>
      <c r="K121" s="3"/>
      <c r="L121" s="3">
        <f t="shared" si="14"/>
        <v>0</v>
      </c>
      <c r="M121" s="3"/>
      <c r="N121" s="20">
        <f t="shared" si="15"/>
        <v>0</v>
      </c>
      <c r="O121" s="12"/>
      <c r="P121" s="3"/>
      <c r="Q121" s="3"/>
      <c r="R121" s="20">
        <f t="shared" si="16"/>
        <v>0</v>
      </c>
      <c r="S121" s="3"/>
      <c r="T121" s="3">
        <v>48.14</v>
      </c>
      <c r="U121" s="3"/>
      <c r="V121" s="20">
        <f t="shared" si="17"/>
        <v>9.2358837574663207E-6</v>
      </c>
      <c r="W121" s="3"/>
      <c r="X121" s="3">
        <f t="shared" si="18"/>
        <v>-48.14</v>
      </c>
      <c r="Y121" s="3"/>
      <c r="Z121" s="20">
        <f t="shared" si="19"/>
        <v>-1</v>
      </c>
    </row>
    <row r="122" spans="1:26" s="69" customFormat="1" ht="15" hidden="1" customHeight="1" outlineLevel="1" x14ac:dyDescent="0.25">
      <c r="A122" s="42"/>
      <c r="B122" s="12" t="str">
        <f>CONCATENATE("          ","5526"," - ","FREIGHT-IN-WRITING INSTRUMENTS")</f>
        <v xml:space="preserve">          5526 - FREIGHT-IN-WRITING INSTRUMENTS</v>
      </c>
      <c r="C122" s="12"/>
      <c r="D122" s="3"/>
      <c r="E122" s="3"/>
      <c r="F122" s="20">
        <f t="shared" si="12"/>
        <v>0</v>
      </c>
      <c r="G122" s="3"/>
      <c r="H122" s="3"/>
      <c r="I122" s="3"/>
      <c r="J122" s="20">
        <f t="shared" si="13"/>
        <v>0</v>
      </c>
      <c r="K122" s="3"/>
      <c r="L122" s="3">
        <f t="shared" si="14"/>
        <v>0</v>
      </c>
      <c r="M122" s="3"/>
      <c r="N122" s="20">
        <f t="shared" si="15"/>
        <v>0</v>
      </c>
      <c r="O122" s="12"/>
      <c r="P122" s="3"/>
      <c r="Q122" s="3"/>
      <c r="R122" s="20">
        <f t="shared" si="16"/>
        <v>0</v>
      </c>
      <c r="S122" s="3"/>
      <c r="T122" s="3">
        <v>0</v>
      </c>
      <c r="U122" s="3"/>
      <c r="V122" s="20">
        <f t="shared" si="17"/>
        <v>0</v>
      </c>
      <c r="W122" s="3"/>
      <c r="X122" s="3">
        <f t="shared" si="18"/>
        <v>0</v>
      </c>
      <c r="Y122" s="3"/>
      <c r="Z122" s="20">
        <f t="shared" si="19"/>
        <v>0</v>
      </c>
    </row>
    <row r="123" spans="1:26" s="69" customFormat="1" ht="15" hidden="1" customHeight="1" outlineLevel="1" x14ac:dyDescent="0.25">
      <c r="A123" s="42"/>
      <c r="B123" s="12" t="str">
        <f>CONCATENATE("          ","5527"," - ","FREIGHT-IN-SCHOOL SUPPLIES")</f>
        <v xml:space="preserve">          5527 - FREIGHT-IN-SCHOOL SUPPLIES</v>
      </c>
      <c r="C123" s="12"/>
      <c r="D123" s="3"/>
      <c r="E123" s="3"/>
      <c r="F123" s="20">
        <f t="shared" si="12"/>
        <v>0</v>
      </c>
      <c r="G123" s="3"/>
      <c r="H123" s="3"/>
      <c r="I123" s="3"/>
      <c r="J123" s="20">
        <f t="shared" si="13"/>
        <v>0</v>
      </c>
      <c r="K123" s="3"/>
      <c r="L123" s="3">
        <f t="shared" si="14"/>
        <v>0</v>
      </c>
      <c r="M123" s="3"/>
      <c r="N123" s="20">
        <f t="shared" si="15"/>
        <v>0</v>
      </c>
      <c r="O123" s="12"/>
      <c r="P123" s="3">
        <v>0</v>
      </c>
      <c r="Q123" s="3"/>
      <c r="R123" s="20">
        <f t="shared" si="16"/>
        <v>0</v>
      </c>
      <c r="S123" s="3"/>
      <c r="T123" s="3">
        <v>218.62</v>
      </c>
      <c r="U123" s="3"/>
      <c r="V123" s="20">
        <f t="shared" si="17"/>
        <v>4.1943267699569734E-5</v>
      </c>
      <c r="W123" s="3"/>
      <c r="X123" s="3">
        <f t="shared" si="18"/>
        <v>-218.62</v>
      </c>
      <c r="Y123" s="3"/>
      <c r="Z123" s="20">
        <f t="shared" si="19"/>
        <v>-1</v>
      </c>
    </row>
    <row r="124" spans="1:26" s="69" customFormat="1" ht="15" hidden="1" customHeight="1" outlineLevel="1" x14ac:dyDescent="0.25">
      <c r="A124" s="42"/>
      <c r="B124" s="12" t="str">
        <f>CONCATENATE("          ","5528"," - ","FREIGHT-IN-ART/TECH")</f>
        <v xml:space="preserve">          5528 - FREIGHT-IN-ART/TECH</v>
      </c>
      <c r="C124" s="12"/>
      <c r="D124" s="3"/>
      <c r="E124" s="3"/>
      <c r="F124" s="20">
        <f t="shared" si="12"/>
        <v>0</v>
      </c>
      <c r="G124" s="3"/>
      <c r="H124" s="3">
        <v>28.53</v>
      </c>
      <c r="I124" s="3"/>
      <c r="J124" s="20">
        <f t="shared" si="13"/>
        <v>5.6298135349715589E-5</v>
      </c>
      <c r="K124" s="3"/>
      <c r="L124" s="3">
        <f t="shared" si="14"/>
        <v>-28.53</v>
      </c>
      <c r="M124" s="3"/>
      <c r="N124" s="20">
        <f t="shared" si="15"/>
        <v>-1</v>
      </c>
      <c r="O124" s="12"/>
      <c r="P124" s="3">
        <v>0</v>
      </c>
      <c r="Q124" s="3"/>
      <c r="R124" s="20">
        <f t="shared" si="16"/>
        <v>0</v>
      </c>
      <c r="S124" s="3"/>
      <c r="T124" s="3">
        <v>572.96</v>
      </c>
      <c r="U124" s="3"/>
      <c r="V124" s="20">
        <f t="shared" si="17"/>
        <v>1.0992505105271922E-4</v>
      </c>
      <c r="W124" s="3"/>
      <c r="X124" s="3">
        <f t="shared" si="18"/>
        <v>-572.96</v>
      </c>
      <c r="Y124" s="3"/>
      <c r="Z124" s="20">
        <f t="shared" si="19"/>
        <v>-1</v>
      </c>
    </row>
    <row r="125" spans="1:26" s="69" customFormat="1" ht="15" hidden="1" customHeight="1" outlineLevel="1" x14ac:dyDescent="0.25">
      <c r="A125" s="42"/>
      <c r="B125" s="12" t="str">
        <f>CONCATENATE("          ","5540"," - ","FREIGHT-IN-LOGO CLOTHING")</f>
        <v xml:space="preserve">          5540 - FREIGHT-IN-LOGO CLOTHING</v>
      </c>
      <c r="C125" s="12"/>
      <c r="D125" s="3"/>
      <c r="E125" s="3"/>
      <c r="F125" s="20">
        <f t="shared" si="12"/>
        <v>0</v>
      </c>
      <c r="G125" s="3"/>
      <c r="H125" s="3">
        <v>1283.68</v>
      </c>
      <c r="I125" s="3"/>
      <c r="J125" s="20">
        <f t="shared" si="13"/>
        <v>2.5330806304144026E-3</v>
      </c>
      <c r="K125" s="3"/>
      <c r="L125" s="3">
        <f t="shared" si="14"/>
        <v>-1283.68</v>
      </c>
      <c r="M125" s="3"/>
      <c r="N125" s="20">
        <f t="shared" si="15"/>
        <v>-1</v>
      </c>
      <c r="O125" s="12"/>
      <c r="P125" s="3">
        <v>0</v>
      </c>
      <c r="Q125" s="3"/>
      <c r="R125" s="20">
        <f t="shared" si="16"/>
        <v>0</v>
      </c>
      <c r="S125" s="3"/>
      <c r="T125" s="3">
        <v>10499.7</v>
      </c>
      <c r="U125" s="3"/>
      <c r="V125" s="20">
        <f t="shared" si="17"/>
        <v>2.0144164663121965E-3</v>
      </c>
      <c r="W125" s="3"/>
      <c r="X125" s="3">
        <f t="shared" si="18"/>
        <v>-10499.7</v>
      </c>
      <c r="Y125" s="3"/>
      <c r="Z125" s="20">
        <f t="shared" si="19"/>
        <v>-1</v>
      </c>
    </row>
    <row r="126" spans="1:26" s="69" customFormat="1" ht="15" hidden="1" customHeight="1" outlineLevel="1" x14ac:dyDescent="0.25">
      <c r="A126" s="42"/>
      <c r="B126" s="12" t="str">
        <f>CONCATENATE("          ","5541"," - ","FREIGHT-IN-LOGO GIFTS")</f>
        <v xml:space="preserve">          5541 - FREIGHT-IN-LOGO GIFTS</v>
      </c>
      <c r="C126" s="12"/>
      <c r="D126" s="3"/>
      <c r="E126" s="3"/>
      <c r="F126" s="20">
        <f t="shared" si="12"/>
        <v>0</v>
      </c>
      <c r="G126" s="3"/>
      <c r="H126" s="3">
        <v>961.21</v>
      </c>
      <c r="I126" s="3"/>
      <c r="J126" s="20">
        <f t="shared" si="13"/>
        <v>1.896751863985283E-3</v>
      </c>
      <c r="K126" s="3"/>
      <c r="L126" s="3">
        <f t="shared" si="14"/>
        <v>-961.21</v>
      </c>
      <c r="M126" s="3"/>
      <c r="N126" s="20">
        <f t="shared" si="15"/>
        <v>-1</v>
      </c>
      <c r="O126" s="12"/>
      <c r="P126" s="3">
        <v>0</v>
      </c>
      <c r="Q126" s="3"/>
      <c r="R126" s="20">
        <f t="shared" si="16"/>
        <v>0</v>
      </c>
      <c r="S126" s="3"/>
      <c r="T126" s="3">
        <v>5977.2</v>
      </c>
      <c r="U126" s="3"/>
      <c r="V126" s="20">
        <f t="shared" si="17"/>
        <v>1.1467537265294494E-3</v>
      </c>
      <c r="W126" s="3"/>
      <c r="X126" s="3">
        <f t="shared" si="18"/>
        <v>-5977.2</v>
      </c>
      <c r="Y126" s="3"/>
      <c r="Z126" s="20">
        <f t="shared" si="19"/>
        <v>-1</v>
      </c>
    </row>
    <row r="127" spans="1:26" s="69" customFormat="1" ht="15" hidden="1" customHeight="1" outlineLevel="1" x14ac:dyDescent="0.25">
      <c r="A127" s="42"/>
      <c r="B127" s="12" t="str">
        <f>CONCATENATE("          ","5542"," - ","FREIGHT-IN-EVERYDAY GIFTS")</f>
        <v xml:space="preserve">          5542 - FREIGHT-IN-EVERYDAY GIFTS</v>
      </c>
      <c r="C127" s="12"/>
      <c r="D127" s="3"/>
      <c r="E127" s="3"/>
      <c r="F127" s="20">
        <f t="shared" si="12"/>
        <v>0</v>
      </c>
      <c r="G127" s="3"/>
      <c r="H127" s="3"/>
      <c r="I127" s="3"/>
      <c r="J127" s="20">
        <f t="shared" si="13"/>
        <v>0</v>
      </c>
      <c r="K127" s="3"/>
      <c r="L127" s="3">
        <f t="shared" si="14"/>
        <v>0</v>
      </c>
      <c r="M127" s="3"/>
      <c r="N127" s="20">
        <f t="shared" si="15"/>
        <v>0</v>
      </c>
      <c r="O127" s="12"/>
      <c r="P127" s="3">
        <v>0</v>
      </c>
      <c r="Q127" s="3"/>
      <c r="R127" s="20">
        <f t="shared" si="16"/>
        <v>0</v>
      </c>
      <c r="S127" s="3"/>
      <c r="T127" s="3">
        <v>681.72</v>
      </c>
      <c r="U127" s="3"/>
      <c r="V127" s="20">
        <f t="shared" si="17"/>
        <v>1.307911648346477E-4</v>
      </c>
      <c r="W127" s="3"/>
      <c r="X127" s="3">
        <f t="shared" si="18"/>
        <v>-681.72</v>
      </c>
      <c r="Y127" s="3"/>
      <c r="Z127" s="20">
        <f t="shared" si="19"/>
        <v>-1</v>
      </c>
    </row>
    <row r="128" spans="1:26" s="69" customFormat="1" ht="15" hidden="1" customHeight="1" outlineLevel="1" x14ac:dyDescent="0.25">
      <c r="A128" s="42"/>
      <c r="B128" s="12" t="str">
        <f>CONCATENATE("          ","5543"," - ","FREIGHT-IN-CARDS")</f>
        <v xml:space="preserve">          5543 - FREIGHT-IN-CARDS</v>
      </c>
      <c r="C128" s="12"/>
      <c r="D128" s="3"/>
      <c r="E128" s="3"/>
      <c r="F128" s="20">
        <f t="shared" si="12"/>
        <v>0</v>
      </c>
      <c r="G128" s="3"/>
      <c r="H128" s="3"/>
      <c r="I128" s="3"/>
      <c r="J128" s="20">
        <f t="shared" si="13"/>
        <v>0</v>
      </c>
      <c r="K128" s="3"/>
      <c r="L128" s="3">
        <f t="shared" si="14"/>
        <v>0</v>
      </c>
      <c r="M128" s="3"/>
      <c r="N128" s="20">
        <f t="shared" si="15"/>
        <v>0</v>
      </c>
      <c r="O128" s="12"/>
      <c r="P128" s="3"/>
      <c r="Q128" s="3"/>
      <c r="R128" s="20">
        <f t="shared" si="16"/>
        <v>0</v>
      </c>
      <c r="S128" s="3"/>
      <c r="T128" s="3">
        <v>9110.5300000000007</v>
      </c>
      <c r="U128" s="3"/>
      <c r="V128" s="20">
        <f t="shared" si="17"/>
        <v>1.7478977160139103E-3</v>
      </c>
      <c r="W128" s="3"/>
      <c r="X128" s="3">
        <f t="shared" si="18"/>
        <v>-9110.5300000000007</v>
      </c>
      <c r="Y128" s="3"/>
      <c r="Z128" s="20">
        <f t="shared" si="19"/>
        <v>-1</v>
      </c>
    </row>
    <row r="129" spans="1:26" s="69" customFormat="1" ht="15" hidden="1" customHeight="1" outlineLevel="1" x14ac:dyDescent="0.25">
      <c r="A129" s="42"/>
      <c r="B129" s="12" t="str">
        <f>CONCATENATE("          ","5544"," - ","FREIGHT-IN-ACCESSORIES")</f>
        <v xml:space="preserve">          5544 - FREIGHT-IN-ACCESSORIES</v>
      </c>
      <c r="C129" s="12"/>
      <c r="D129" s="3"/>
      <c r="E129" s="3"/>
      <c r="F129" s="20">
        <f t="shared" si="12"/>
        <v>0</v>
      </c>
      <c r="G129" s="3"/>
      <c r="H129" s="3"/>
      <c r="I129" s="3"/>
      <c r="J129" s="20">
        <f t="shared" si="13"/>
        <v>0</v>
      </c>
      <c r="K129" s="3"/>
      <c r="L129" s="3">
        <f t="shared" si="14"/>
        <v>0</v>
      </c>
      <c r="M129" s="3"/>
      <c r="N129" s="20">
        <f t="shared" si="15"/>
        <v>0</v>
      </c>
      <c r="O129" s="12"/>
      <c r="P129" s="3">
        <v>0</v>
      </c>
      <c r="Q129" s="3"/>
      <c r="R129" s="20">
        <f t="shared" si="16"/>
        <v>0</v>
      </c>
      <c r="S129" s="3"/>
      <c r="T129" s="3"/>
      <c r="U129" s="3"/>
      <c r="V129" s="20">
        <f t="shared" si="17"/>
        <v>0</v>
      </c>
      <c r="W129" s="3"/>
      <c r="X129" s="3">
        <f t="shared" si="18"/>
        <v>0</v>
      </c>
      <c r="Y129" s="3"/>
      <c r="Z129" s="20">
        <f t="shared" si="19"/>
        <v>0</v>
      </c>
    </row>
    <row r="130" spans="1:26" s="69" customFormat="1" ht="15" hidden="1" customHeight="1" outlineLevel="1" x14ac:dyDescent="0.25">
      <c r="A130" s="42"/>
      <c r="B130" s="12" t="str">
        <f>CONCATENATE("          ","5545"," - ","FREIGHT-IN-SPECIAL ORDERS")</f>
        <v xml:space="preserve">          5545 - FREIGHT-IN-SPECIAL ORDERS</v>
      </c>
      <c r="C130" s="12"/>
      <c r="D130" s="3"/>
      <c r="E130" s="3"/>
      <c r="F130" s="20">
        <f t="shared" si="12"/>
        <v>0</v>
      </c>
      <c r="G130" s="3"/>
      <c r="H130" s="3">
        <v>1033.9000000000001</v>
      </c>
      <c r="I130" s="3"/>
      <c r="J130" s="20">
        <f t="shared" si="13"/>
        <v>2.0401907514220451E-3</v>
      </c>
      <c r="K130" s="3"/>
      <c r="L130" s="3">
        <f t="shared" si="14"/>
        <v>-1033.9000000000001</v>
      </c>
      <c r="M130" s="3"/>
      <c r="N130" s="20">
        <f t="shared" si="15"/>
        <v>-1</v>
      </c>
      <c r="O130" s="12"/>
      <c r="P130" s="3">
        <v>0</v>
      </c>
      <c r="Q130" s="3"/>
      <c r="R130" s="20">
        <f t="shared" si="16"/>
        <v>0</v>
      </c>
      <c r="S130" s="3"/>
      <c r="T130" s="3">
        <v>2468.66</v>
      </c>
      <c r="U130" s="3"/>
      <c r="V130" s="20">
        <f t="shared" si="17"/>
        <v>4.7362394675336115E-4</v>
      </c>
      <c r="W130" s="3"/>
      <c r="X130" s="3">
        <f t="shared" si="18"/>
        <v>-2468.66</v>
      </c>
      <c r="Y130" s="3"/>
      <c r="Z130" s="20">
        <f t="shared" si="19"/>
        <v>-1</v>
      </c>
    </row>
    <row r="131" spans="1:26" s="69" customFormat="1" ht="15" hidden="1" customHeight="1" outlineLevel="1" x14ac:dyDescent="0.25">
      <c r="A131" s="42"/>
      <c r="B131" s="12" t="str">
        <f>CONCATENATE("          ","5592"," - ","FREIGHT-IN-GRAD MERCH")</f>
        <v xml:space="preserve">          5592 - FREIGHT-IN-GRAD MERCH</v>
      </c>
      <c r="C131" s="12"/>
      <c r="D131" s="3"/>
      <c r="E131" s="3"/>
      <c r="F131" s="20">
        <f t="shared" si="12"/>
        <v>0</v>
      </c>
      <c r="G131" s="3"/>
      <c r="H131" s="3"/>
      <c r="I131" s="3"/>
      <c r="J131" s="20">
        <f t="shared" si="13"/>
        <v>0</v>
      </c>
      <c r="K131" s="3"/>
      <c r="L131" s="3">
        <f t="shared" si="14"/>
        <v>0</v>
      </c>
      <c r="M131" s="3"/>
      <c r="N131" s="20">
        <f t="shared" si="15"/>
        <v>0</v>
      </c>
      <c r="O131" s="12"/>
      <c r="P131" s="3"/>
      <c r="Q131" s="3"/>
      <c r="R131" s="20">
        <f t="shared" si="16"/>
        <v>0</v>
      </c>
      <c r="S131" s="3"/>
      <c r="T131" s="3">
        <v>0</v>
      </c>
      <c r="U131" s="3"/>
      <c r="V131" s="20">
        <f t="shared" si="17"/>
        <v>0</v>
      </c>
      <c r="W131" s="3"/>
      <c r="X131" s="3">
        <f t="shared" si="18"/>
        <v>0</v>
      </c>
      <c r="Y131" s="3"/>
      <c r="Z131" s="20">
        <f t="shared" si="19"/>
        <v>0</v>
      </c>
    </row>
    <row r="132" spans="1:26" ht="15" customHeight="1" x14ac:dyDescent="0.25">
      <c r="A132" s="10"/>
      <c r="B132" s="11"/>
      <c r="C132" s="11"/>
      <c r="D132" s="4"/>
      <c r="E132" s="4"/>
      <c r="F132" s="9"/>
      <c r="G132" s="4"/>
      <c r="H132" s="4"/>
      <c r="I132" s="4"/>
      <c r="J132" s="9"/>
      <c r="K132" s="4"/>
      <c r="L132" s="4"/>
      <c r="M132" s="4"/>
      <c r="N132" s="9"/>
      <c r="O132" s="11"/>
      <c r="P132" s="4"/>
      <c r="Q132" s="4"/>
      <c r="R132" s="9"/>
      <c r="S132" s="4"/>
      <c r="T132" s="4"/>
      <c r="U132" s="4"/>
      <c r="V132" s="9"/>
      <c r="W132" s="4"/>
      <c r="X132" s="4"/>
      <c r="Y132" s="4"/>
      <c r="Z132" s="9"/>
    </row>
    <row r="133" spans="1:26" s="62" customFormat="1" ht="15" customHeight="1" x14ac:dyDescent="0.25">
      <c r="A133" s="11"/>
      <c r="B133" s="27" t="s">
        <v>288</v>
      </c>
      <c r="C133" s="27"/>
      <c r="D133" s="22">
        <f>D12-D88</f>
        <v>531656.58000000007</v>
      </c>
      <c r="E133" s="15"/>
      <c r="F133" s="23">
        <f>IF(D$12=0,0,D133/D$12)</f>
        <v>0.56315528553436223</v>
      </c>
      <c r="G133" s="15"/>
      <c r="H133" s="22">
        <f>H12-H88</f>
        <v>258172.27000000019</v>
      </c>
      <c r="I133" s="15"/>
      <c r="J133" s="23">
        <f>IF(H$12=0,0,H133/H$12)</f>
        <v>0.5094503119524475</v>
      </c>
      <c r="K133" s="16"/>
      <c r="L133" s="22">
        <f>+D133-H133</f>
        <v>273484.30999999988</v>
      </c>
      <c r="M133" s="16"/>
      <c r="N133" s="23">
        <f>IF(H133=0,0,L133/H133)</f>
        <v>1.0593093905863695</v>
      </c>
      <c r="O133" s="28"/>
      <c r="P133" s="22">
        <f>P12-P88</f>
        <v>3717620.1900000013</v>
      </c>
      <c r="Q133" s="15"/>
      <c r="R133" s="23">
        <f>IF(P$12=0,0,P133/P$12)</f>
        <v>0.46370116918990495</v>
      </c>
      <c r="S133" s="15"/>
      <c r="T133" s="22">
        <f>T12-T88</f>
        <v>1991107.0199999991</v>
      </c>
      <c r="U133" s="15"/>
      <c r="V133" s="23">
        <f>IF(T$12=0,0,T133/T$12)</f>
        <v>0.3820031779267794</v>
      </c>
      <c r="W133" s="16"/>
      <c r="X133" s="22">
        <f>+P133-T133</f>
        <v>1726513.1700000023</v>
      </c>
      <c r="Y133" s="16"/>
      <c r="Z133" s="23">
        <f>IF(T133=0,0,X133/T133)</f>
        <v>0.86711219068475942</v>
      </c>
    </row>
    <row r="134" spans="1:26" ht="15" customHeight="1" x14ac:dyDescent="0.25">
      <c r="A134" s="10"/>
      <c r="B134" s="11"/>
      <c r="C134" s="10"/>
      <c r="D134" s="2"/>
      <c r="E134" s="2"/>
      <c r="F134" s="6"/>
      <c r="G134" s="2"/>
      <c r="H134" s="2"/>
      <c r="I134" s="2"/>
      <c r="J134" s="6"/>
      <c r="K134" s="2"/>
      <c r="L134" s="2"/>
      <c r="M134" s="2"/>
      <c r="N134" s="6"/>
      <c r="O134" s="36"/>
      <c r="P134" s="2"/>
      <c r="Q134" s="2"/>
      <c r="R134" s="6"/>
      <c r="S134" s="2"/>
      <c r="T134" s="2"/>
      <c r="U134" s="2"/>
      <c r="V134" s="6"/>
      <c r="W134" s="2"/>
      <c r="X134" s="2"/>
      <c r="Y134" s="2"/>
      <c r="Z134" s="6"/>
    </row>
    <row r="135" spans="1:26" s="62" customFormat="1" ht="15" customHeight="1" x14ac:dyDescent="0.25">
      <c r="A135" s="11"/>
      <c r="B135" s="28" t="s">
        <v>289</v>
      </c>
      <c r="C135" s="11"/>
      <c r="D135" s="21" cm="1">
        <f t="array" ref="D135">SUM(OSRRefD22x_0)</f>
        <v>367567.28000000014</v>
      </c>
      <c r="E135" s="21"/>
      <c r="F135" s="31">
        <f t="shared" ref="F135:F166" si="20">IF(D$12=0,0,D135/D$12)</f>
        <v>0.38934429537482435</v>
      </c>
      <c r="G135" s="21"/>
      <c r="H135" s="21" cm="1">
        <f t="array" ref="H135">SUM(OSRRefH22x_0)</f>
        <v>245657.52</v>
      </c>
      <c r="I135" s="21"/>
      <c r="J135" s="31">
        <f t="shared" ref="J135:J166" si="21">IF(H$12=0,0,H135/H$12)</f>
        <v>0.4847550056304053</v>
      </c>
      <c r="K135" s="5"/>
      <c r="L135" s="21">
        <f t="shared" ref="L135:L166" si="22">+D135-H135</f>
        <v>121909.76000000015</v>
      </c>
      <c r="M135" s="5"/>
      <c r="N135" s="31">
        <f t="shared" ref="N135:N166" si="23">IF(H135=0,0,L135/H135)</f>
        <v>0.49625901946742829</v>
      </c>
      <c r="O135" s="11"/>
      <c r="P135" s="21" cm="1">
        <f t="array" ref="P135">SUM(OSRRefP22x_0)</f>
        <v>3908683.4499999997</v>
      </c>
      <c r="Q135" s="21"/>
      <c r="R135" s="31">
        <f t="shared" ref="R135:R166" si="24">IF(P$12=0,0,P135/P$12)</f>
        <v>0.4875326131038229</v>
      </c>
      <c r="S135" s="21"/>
      <c r="T135" s="21" cm="1">
        <f t="array" ref="T135">SUM(OSRRefT22x_0)</f>
        <v>3117094.2700000014</v>
      </c>
      <c r="U135" s="21"/>
      <c r="V135" s="31">
        <f t="shared" ref="V135:V166" si="25">IF(T$12=0,0,T135/T$12)</f>
        <v>0.59802908888210116</v>
      </c>
      <c r="W135" s="5"/>
      <c r="X135" s="21">
        <f t="shared" ref="X135:X166" si="26">+P135-T135</f>
        <v>791589.1799999983</v>
      </c>
      <c r="Y135" s="5"/>
      <c r="Z135" s="31">
        <f t="shared" ref="Z135:Z166" si="27">IF(T135=0,0,X135/T135)</f>
        <v>0.25395099135067156</v>
      </c>
    </row>
    <row r="136" spans="1:26" s="68" customFormat="1" ht="15" customHeight="1" outlineLevel="1" collapsed="1" x14ac:dyDescent="0.25">
      <c r="A136" s="26"/>
      <c r="B136" s="14" t="str">
        <f>CONCATENATE("     ","*Benefits                                         ")</f>
        <v xml:space="preserve">     *Benefits                                         </v>
      </c>
      <c r="C136" s="14"/>
      <c r="D136" s="2">
        <f>SUM(OSRRefD22_0x_0)</f>
        <v>51055.100000000006</v>
      </c>
      <c r="E136" s="2"/>
      <c r="F136" s="6">
        <f t="shared" si="20"/>
        <v>5.4079927720419481E-2</v>
      </c>
      <c r="G136" s="2"/>
      <c r="H136" s="2">
        <f>SUM(OSRRefH22_0x_0)</f>
        <v>47641.08</v>
      </c>
      <c r="I136" s="2"/>
      <c r="J136" s="6">
        <f t="shared" si="21"/>
        <v>9.400995338403885E-2</v>
      </c>
      <c r="K136" s="2"/>
      <c r="L136" s="2">
        <f t="shared" si="22"/>
        <v>3414.0200000000041</v>
      </c>
      <c r="M136" s="2"/>
      <c r="N136" s="6">
        <f t="shared" si="23"/>
        <v>7.1661263766480604E-2</v>
      </c>
      <c r="O136" s="14"/>
      <c r="P136" s="2">
        <f>SUM(OSRRefP22_0x_0)</f>
        <v>554659.75</v>
      </c>
      <c r="Q136" s="2"/>
      <c r="R136" s="6">
        <f t="shared" si="24"/>
        <v>6.9183069122932719E-2</v>
      </c>
      <c r="S136" s="2"/>
      <c r="T136" s="2">
        <f>SUM(OSRRefT22_0x_0)</f>
        <v>546528.23</v>
      </c>
      <c r="U136" s="2"/>
      <c r="V136" s="6">
        <f t="shared" si="25"/>
        <v>0.10485399257278391</v>
      </c>
      <c r="W136" s="2"/>
      <c r="X136" s="2">
        <f t="shared" si="26"/>
        <v>8131.5200000000186</v>
      </c>
      <c r="Y136" s="2"/>
      <c r="Z136" s="6">
        <f t="shared" si="27"/>
        <v>1.4878499505871855E-2</v>
      </c>
    </row>
    <row r="137" spans="1:26" s="69" customFormat="1" ht="15" hidden="1" customHeight="1" outlineLevel="2" x14ac:dyDescent="0.25">
      <c r="A137" s="25"/>
      <c r="B137" s="12" t="str">
        <f>CONCATENATE("          ","6111"," - ","F.I.C.A.")</f>
        <v xml:space="preserve">          6111 - F.I.C.A.</v>
      </c>
      <c r="C137" s="12"/>
      <c r="D137" s="7">
        <v>9827.6299999999992</v>
      </c>
      <c r="E137" s="3"/>
      <c r="F137" s="8">
        <f t="shared" si="20"/>
        <v>1.040988109048902E-2</v>
      </c>
      <c r="G137" s="3"/>
      <c r="H137" s="7">
        <v>8259.76</v>
      </c>
      <c r="I137" s="3"/>
      <c r="J137" s="8">
        <f t="shared" si="21"/>
        <v>1.6298951504948013E-2</v>
      </c>
      <c r="K137" s="3"/>
      <c r="L137" s="7">
        <f t="shared" si="22"/>
        <v>1567.869999999999</v>
      </c>
      <c r="M137" s="3"/>
      <c r="N137" s="8">
        <f t="shared" si="23"/>
        <v>0.18982028533516698</v>
      </c>
      <c r="O137" s="12"/>
      <c r="P137" s="7">
        <v>103519.99</v>
      </c>
      <c r="Q137" s="3"/>
      <c r="R137" s="8">
        <f t="shared" si="24"/>
        <v>1.2912115263051456E-2</v>
      </c>
      <c r="S137" s="3"/>
      <c r="T137" s="7">
        <v>101387.62</v>
      </c>
      <c r="U137" s="3"/>
      <c r="V137" s="8">
        <f t="shared" si="25"/>
        <v>1.9451688258541076E-2</v>
      </c>
      <c r="W137" s="3"/>
      <c r="X137" s="7">
        <f t="shared" si="26"/>
        <v>2132.3700000000099</v>
      </c>
      <c r="Y137" s="3"/>
      <c r="Z137" s="8">
        <f t="shared" si="27"/>
        <v>2.1031857735688143E-2</v>
      </c>
    </row>
    <row r="138" spans="1:26" s="69" customFormat="1" ht="15" hidden="1" customHeight="1" outlineLevel="2" x14ac:dyDescent="0.25">
      <c r="A138" s="25"/>
      <c r="B138" s="12" t="str">
        <f>CONCATENATE("          ","6112"," - ","COMPENSATION INSURANCE")</f>
        <v xml:space="preserve">          6112 - COMPENSATION INSURANCE</v>
      </c>
      <c r="C138" s="12"/>
      <c r="D138" s="7">
        <v>4087.44</v>
      </c>
      <c r="E138" s="3"/>
      <c r="F138" s="8">
        <f t="shared" si="20"/>
        <v>4.3296058525309202E-3</v>
      </c>
      <c r="G138" s="3"/>
      <c r="H138" s="7">
        <v>2713.69</v>
      </c>
      <c r="I138" s="3"/>
      <c r="J138" s="8">
        <f t="shared" si="21"/>
        <v>5.3549136669179707E-3</v>
      </c>
      <c r="K138" s="3"/>
      <c r="L138" s="7">
        <f t="shared" si="22"/>
        <v>1373.75</v>
      </c>
      <c r="M138" s="3"/>
      <c r="N138" s="8">
        <f t="shared" si="23"/>
        <v>0.50622952511156394</v>
      </c>
      <c r="O138" s="12"/>
      <c r="P138" s="7">
        <v>30593.72</v>
      </c>
      <c r="Q138" s="3"/>
      <c r="R138" s="8">
        <f t="shared" si="24"/>
        <v>3.8159744699117781E-3</v>
      </c>
      <c r="S138" s="3"/>
      <c r="T138" s="7">
        <v>25122.69</v>
      </c>
      <c r="U138" s="3"/>
      <c r="V138" s="8">
        <f t="shared" si="25"/>
        <v>4.8199053700635971E-3</v>
      </c>
      <c r="W138" s="3"/>
      <c r="X138" s="7">
        <f t="shared" si="26"/>
        <v>5471.0300000000025</v>
      </c>
      <c r="Y138" s="3"/>
      <c r="Z138" s="8">
        <f t="shared" si="27"/>
        <v>0.21777245987591307</v>
      </c>
    </row>
    <row r="139" spans="1:26" s="69" customFormat="1" ht="15" hidden="1" customHeight="1" outlineLevel="2" x14ac:dyDescent="0.25">
      <c r="A139" s="25"/>
      <c r="B139" s="12" t="str">
        <f>CONCATENATE("          ","6113"," - ","GROUP INSURANCE")</f>
        <v xml:space="preserve">          6113 - GROUP INSURANCE</v>
      </c>
      <c r="C139" s="12"/>
      <c r="D139" s="7">
        <v>17295.79</v>
      </c>
      <c r="E139" s="3"/>
      <c r="F139" s="8">
        <f t="shared" si="20"/>
        <v>1.8320502223432213E-2</v>
      </c>
      <c r="G139" s="3"/>
      <c r="H139" s="7">
        <v>18284.05</v>
      </c>
      <c r="I139" s="3"/>
      <c r="J139" s="8">
        <f t="shared" si="21"/>
        <v>3.6079843029827106E-2</v>
      </c>
      <c r="K139" s="3"/>
      <c r="L139" s="7">
        <f t="shared" si="22"/>
        <v>-988.2599999999984</v>
      </c>
      <c r="M139" s="3"/>
      <c r="N139" s="8">
        <f t="shared" si="23"/>
        <v>-5.4050388179861596E-2</v>
      </c>
      <c r="O139" s="12"/>
      <c r="P139" s="7">
        <v>194022.91</v>
      </c>
      <c r="Q139" s="3"/>
      <c r="R139" s="8">
        <f t="shared" si="24"/>
        <v>2.4200602971393825E-2</v>
      </c>
      <c r="S139" s="3"/>
      <c r="T139" s="7">
        <v>201221.91</v>
      </c>
      <c r="U139" s="3"/>
      <c r="V139" s="8">
        <f t="shared" si="25"/>
        <v>3.8605362904348774E-2</v>
      </c>
      <c r="W139" s="3"/>
      <c r="X139" s="7">
        <f t="shared" si="26"/>
        <v>-7199</v>
      </c>
      <c r="Y139" s="3"/>
      <c r="Z139" s="8">
        <f t="shared" si="27"/>
        <v>-3.5776422159992417E-2</v>
      </c>
    </row>
    <row r="140" spans="1:26" s="69" customFormat="1" ht="15" hidden="1" customHeight="1" outlineLevel="2" x14ac:dyDescent="0.25">
      <c r="A140" s="25"/>
      <c r="B140" s="12" t="str">
        <f>CONCATENATE("          ","6114"," - ","STATE UNEMPLOYMENT INSURANCE")</f>
        <v xml:space="preserve">          6114 - STATE UNEMPLOYMENT INSURANCE</v>
      </c>
      <c r="C140" s="12"/>
      <c r="D140" s="7">
        <v>729.5</v>
      </c>
      <c r="E140" s="3"/>
      <c r="F140" s="8">
        <f t="shared" si="20"/>
        <v>7.7272020370239226E-4</v>
      </c>
      <c r="G140" s="3"/>
      <c r="H140" s="7">
        <v>481.57</v>
      </c>
      <c r="I140" s="3"/>
      <c r="J140" s="8">
        <f t="shared" si="21"/>
        <v>9.5028016264852916E-4</v>
      </c>
      <c r="K140" s="3"/>
      <c r="L140" s="7">
        <f t="shared" si="22"/>
        <v>247.93</v>
      </c>
      <c r="M140" s="3"/>
      <c r="N140" s="8">
        <f t="shared" si="23"/>
        <v>0.51483688767988045</v>
      </c>
      <c r="O140" s="12"/>
      <c r="P140" s="7">
        <v>5478.3</v>
      </c>
      <c r="Q140" s="3"/>
      <c r="R140" s="8">
        <f t="shared" si="24"/>
        <v>6.8331189991010231E-4</v>
      </c>
      <c r="S140" s="3"/>
      <c r="T140" s="7">
        <v>4147.1499999999996</v>
      </c>
      <c r="U140" s="3"/>
      <c r="V140" s="8">
        <f t="shared" si="25"/>
        <v>7.9565008983748333E-4</v>
      </c>
      <c r="W140" s="3"/>
      <c r="X140" s="7">
        <f t="shared" si="26"/>
        <v>1331.1500000000005</v>
      </c>
      <c r="Y140" s="3"/>
      <c r="Z140" s="8">
        <f t="shared" si="27"/>
        <v>0.32097946782730324</v>
      </c>
    </row>
    <row r="141" spans="1:26" s="69" customFormat="1" ht="15" hidden="1" customHeight="1" outlineLevel="2" x14ac:dyDescent="0.25">
      <c r="A141" s="25"/>
      <c r="B141" s="12" t="str">
        <f>CONCATENATE("          ","6115"," - ","P.E.R.S.")</f>
        <v xml:space="preserve">          6115 - P.E.R.S.</v>
      </c>
      <c r="C141" s="12"/>
      <c r="D141" s="7">
        <v>5032.29</v>
      </c>
      <c r="E141" s="3"/>
      <c r="F141" s="8">
        <f t="shared" si="20"/>
        <v>5.3304347551603997E-3</v>
      </c>
      <c r="G141" s="3"/>
      <c r="H141" s="7">
        <v>6355.39</v>
      </c>
      <c r="I141" s="3"/>
      <c r="J141" s="8">
        <f t="shared" si="21"/>
        <v>1.2541065770074623E-2</v>
      </c>
      <c r="K141" s="3"/>
      <c r="L141" s="7">
        <f t="shared" si="22"/>
        <v>-1323.1000000000004</v>
      </c>
      <c r="M141" s="3"/>
      <c r="N141" s="8">
        <f t="shared" si="23"/>
        <v>-0.20818549294378477</v>
      </c>
      <c r="O141" s="12"/>
      <c r="P141" s="7">
        <v>74773.69</v>
      </c>
      <c r="Q141" s="3"/>
      <c r="R141" s="8">
        <f t="shared" si="24"/>
        <v>9.3265706838232699E-3</v>
      </c>
      <c r="S141" s="3"/>
      <c r="T141" s="7">
        <v>80225.929999999993</v>
      </c>
      <c r="U141" s="3"/>
      <c r="V141" s="8">
        <f t="shared" si="25"/>
        <v>1.5391719231712297E-2</v>
      </c>
      <c r="W141" s="3"/>
      <c r="X141" s="7">
        <f t="shared" si="26"/>
        <v>-5452.2399999999907</v>
      </c>
      <c r="Y141" s="3"/>
      <c r="Z141" s="8">
        <f t="shared" si="27"/>
        <v>-6.7961069444754219E-2</v>
      </c>
    </row>
    <row r="142" spans="1:26" s="69" customFormat="1" ht="15" hidden="1" customHeight="1" outlineLevel="2" x14ac:dyDescent="0.25">
      <c r="A142" s="25"/>
      <c r="B142" s="12" t="str">
        <f>CONCATENATE("          ","6116"," - ","EDUCATIONAL BENEFITS")</f>
        <v xml:space="preserve">          6116 - EDUCATIONAL BENEFITS</v>
      </c>
      <c r="C142" s="12"/>
      <c r="D142" s="7"/>
      <c r="E142" s="3"/>
      <c r="F142" s="8">
        <f t="shared" si="20"/>
        <v>0</v>
      </c>
      <c r="G142" s="3"/>
      <c r="H142" s="7"/>
      <c r="I142" s="3"/>
      <c r="J142" s="8">
        <f t="shared" si="21"/>
        <v>0</v>
      </c>
      <c r="K142" s="3"/>
      <c r="L142" s="7">
        <f t="shared" si="22"/>
        <v>0</v>
      </c>
      <c r="M142" s="3"/>
      <c r="N142" s="8">
        <f t="shared" si="23"/>
        <v>0</v>
      </c>
      <c r="O142" s="12"/>
      <c r="P142" s="7"/>
      <c r="Q142" s="3"/>
      <c r="R142" s="8">
        <f t="shared" si="24"/>
        <v>0</v>
      </c>
      <c r="S142" s="3"/>
      <c r="T142" s="7">
        <v>0</v>
      </c>
      <c r="U142" s="3"/>
      <c r="V142" s="8">
        <f t="shared" si="25"/>
        <v>0</v>
      </c>
      <c r="W142" s="3"/>
      <c r="X142" s="7">
        <f t="shared" si="26"/>
        <v>0</v>
      </c>
      <c r="Y142" s="3"/>
      <c r="Z142" s="8">
        <f t="shared" si="27"/>
        <v>0</v>
      </c>
    </row>
    <row r="143" spans="1:26" s="69" customFormat="1" ht="15" hidden="1" customHeight="1" outlineLevel="2" x14ac:dyDescent="0.25">
      <c r="A143" s="25"/>
      <c r="B143" s="12" t="str">
        <f>CONCATENATE("          ","6117"," - ","RETIREMENT STAFF HOURLY")</f>
        <v xml:space="preserve">          6117 - RETIREMENT STAFF HOURLY</v>
      </c>
      <c r="C143" s="12"/>
      <c r="D143" s="7">
        <v>872.87</v>
      </c>
      <c r="E143" s="3"/>
      <c r="F143" s="8">
        <f t="shared" si="20"/>
        <v>9.2458435120727496E-4</v>
      </c>
      <c r="G143" s="3"/>
      <c r="H143" s="7">
        <v>477.35</v>
      </c>
      <c r="I143" s="3"/>
      <c r="J143" s="8">
        <f t="shared" si="21"/>
        <v>9.4195285345905139E-4</v>
      </c>
      <c r="K143" s="3"/>
      <c r="L143" s="7">
        <f t="shared" si="22"/>
        <v>395.52</v>
      </c>
      <c r="M143" s="3"/>
      <c r="N143" s="8">
        <f t="shared" si="23"/>
        <v>0.82857442128417291</v>
      </c>
      <c r="O143" s="12"/>
      <c r="P143" s="7">
        <v>8716.75</v>
      </c>
      <c r="Q143" s="3"/>
      <c r="R143" s="8">
        <f t="shared" si="24"/>
        <v>1.0872458615887016E-3</v>
      </c>
      <c r="S143" s="3"/>
      <c r="T143" s="7">
        <v>4238.32</v>
      </c>
      <c r="U143" s="3"/>
      <c r="V143" s="8">
        <f t="shared" si="25"/>
        <v>8.1314147999469576E-4</v>
      </c>
      <c r="W143" s="3"/>
      <c r="X143" s="7">
        <f t="shared" si="26"/>
        <v>4478.43</v>
      </c>
      <c r="Y143" s="3"/>
      <c r="Z143" s="8">
        <f t="shared" si="27"/>
        <v>1.0566521640650071</v>
      </c>
    </row>
    <row r="144" spans="1:26" s="69" customFormat="1" ht="15" hidden="1" customHeight="1" outlineLevel="2" x14ac:dyDescent="0.25">
      <c r="A144" s="25"/>
      <c r="B144" s="12" t="str">
        <f>CONCATENATE("          ","6118"," - ","VACATION")</f>
        <v xml:space="preserve">          6118 - VACATION</v>
      </c>
      <c r="C144" s="12"/>
      <c r="D144" s="7">
        <v>5397.3</v>
      </c>
      <c r="E144" s="3"/>
      <c r="F144" s="8">
        <f t="shared" si="20"/>
        <v>5.7170702610595224E-3</v>
      </c>
      <c r="G144" s="3"/>
      <c r="H144" s="7">
        <v>5570.12</v>
      </c>
      <c r="I144" s="3"/>
      <c r="J144" s="8">
        <f t="shared" si="21"/>
        <v>1.0991495607226001E-2</v>
      </c>
      <c r="K144" s="3"/>
      <c r="L144" s="7">
        <f t="shared" si="22"/>
        <v>-172.81999999999971</v>
      </c>
      <c r="M144" s="3"/>
      <c r="N144" s="8">
        <f t="shared" si="23"/>
        <v>-3.1026261552713354E-2</v>
      </c>
      <c r="O144" s="12"/>
      <c r="P144" s="7">
        <v>72362.73</v>
      </c>
      <c r="Q144" s="3"/>
      <c r="R144" s="8">
        <f t="shared" si="24"/>
        <v>9.0258500846944773E-3</v>
      </c>
      <c r="S144" s="3"/>
      <c r="T144" s="7">
        <v>66510.73</v>
      </c>
      <c r="U144" s="3"/>
      <c r="V144" s="8">
        <f t="shared" si="25"/>
        <v>1.2760394077777897E-2</v>
      </c>
      <c r="W144" s="3"/>
      <c r="X144" s="7">
        <f t="shared" si="26"/>
        <v>5852</v>
      </c>
      <c r="Y144" s="3"/>
      <c r="Z144" s="8">
        <f t="shared" si="27"/>
        <v>8.7985803192958498E-2</v>
      </c>
    </row>
    <row r="145" spans="1:26" s="69" customFormat="1" ht="15" hidden="1" customHeight="1" outlineLevel="2" x14ac:dyDescent="0.25">
      <c r="A145" s="25"/>
      <c r="B145" s="12" t="str">
        <f>CONCATENATE("          ","6119"," - ","SICK LEAVE")</f>
        <v xml:space="preserve">          6119 - SICK LEAVE</v>
      </c>
      <c r="C145" s="12"/>
      <c r="D145" s="7">
        <v>4147.1400000000003</v>
      </c>
      <c r="E145" s="3"/>
      <c r="F145" s="8">
        <f t="shared" si="20"/>
        <v>4.3928428589202727E-3</v>
      </c>
      <c r="G145" s="3"/>
      <c r="H145" s="7">
        <v>3824.03</v>
      </c>
      <c r="I145" s="3"/>
      <c r="J145" s="8">
        <f t="shared" si="21"/>
        <v>7.5459431658385177E-3</v>
      </c>
      <c r="K145" s="3"/>
      <c r="L145" s="7">
        <f t="shared" si="22"/>
        <v>323.11000000000013</v>
      </c>
      <c r="M145" s="3"/>
      <c r="N145" s="8">
        <f t="shared" si="23"/>
        <v>8.4494630010747848E-2</v>
      </c>
      <c r="O145" s="12"/>
      <c r="P145" s="7">
        <v>30785.67</v>
      </c>
      <c r="Q145" s="3"/>
      <c r="R145" s="8">
        <f t="shared" si="24"/>
        <v>3.8399165174790423E-3</v>
      </c>
      <c r="S145" s="3"/>
      <c r="T145" s="7">
        <v>46975.76</v>
      </c>
      <c r="U145" s="3"/>
      <c r="V145" s="8">
        <f t="shared" si="25"/>
        <v>9.0125188778279203E-3</v>
      </c>
      <c r="W145" s="3"/>
      <c r="X145" s="7">
        <f t="shared" si="26"/>
        <v>-16190.090000000004</v>
      </c>
      <c r="Y145" s="3"/>
      <c r="Z145" s="8">
        <f t="shared" si="27"/>
        <v>-0.34464775024395566</v>
      </c>
    </row>
    <row r="146" spans="1:26" s="69" customFormat="1" ht="15" hidden="1" customHeight="1" outlineLevel="2" x14ac:dyDescent="0.25">
      <c r="A146" s="25"/>
      <c r="B146" s="12" t="str">
        <f>CONCATENATE("          ","6156"," - ","EMPLOYEE MEALS")</f>
        <v xml:space="preserve">          6156 - EMPLOYEE MEALS</v>
      </c>
      <c r="C146" s="12"/>
      <c r="D146" s="7">
        <v>3665.14</v>
      </c>
      <c r="E146" s="3"/>
      <c r="F146" s="8">
        <f t="shared" si="20"/>
        <v>3.8822861239174583E-3</v>
      </c>
      <c r="G146" s="3"/>
      <c r="H146" s="7">
        <v>1675.12</v>
      </c>
      <c r="I146" s="3"/>
      <c r="J146" s="8">
        <f t="shared" si="21"/>
        <v>3.3055076230990386E-3</v>
      </c>
      <c r="K146" s="3"/>
      <c r="L146" s="7">
        <f t="shared" si="22"/>
        <v>1990.02</v>
      </c>
      <c r="M146" s="3"/>
      <c r="N146" s="8">
        <f t="shared" si="23"/>
        <v>1.1879865323081331</v>
      </c>
      <c r="O146" s="12"/>
      <c r="P146" s="7">
        <v>34405.99</v>
      </c>
      <c r="Q146" s="3"/>
      <c r="R146" s="8">
        <f t="shared" si="24"/>
        <v>4.2914813710800753E-3</v>
      </c>
      <c r="S146" s="3"/>
      <c r="T146" s="7">
        <v>16698.12</v>
      </c>
      <c r="U146" s="3"/>
      <c r="V146" s="8">
        <f t="shared" si="25"/>
        <v>3.2036122826801725E-3</v>
      </c>
      <c r="W146" s="3"/>
      <c r="X146" s="7">
        <f t="shared" si="26"/>
        <v>17707.87</v>
      </c>
      <c r="Y146" s="3"/>
      <c r="Z146" s="8">
        <f t="shared" si="27"/>
        <v>1.0604708793564785</v>
      </c>
    </row>
    <row r="147" spans="1:26" s="68" customFormat="1" ht="15" customHeight="1" outlineLevel="1" collapsed="1" x14ac:dyDescent="0.25">
      <c r="A147" s="26"/>
      <c r="B147" s="14" t="str">
        <f>CONCATENATE("     ","*Payroll                                          ")</f>
        <v xml:space="preserve">     *Payroll                                          </v>
      </c>
      <c r="C147" s="14"/>
      <c r="D147" s="2">
        <f>SUM(OSRRefD22_1x_0)</f>
        <v>177938.33000000002</v>
      </c>
      <c r="E147" s="2"/>
      <c r="F147" s="6">
        <f t="shared" si="20"/>
        <v>0.18848052447438451</v>
      </c>
      <c r="G147" s="2"/>
      <c r="H147" s="2">
        <f>SUM(OSRRefH22_1x_0)</f>
        <v>122510.93000000001</v>
      </c>
      <c r="I147" s="2"/>
      <c r="J147" s="6">
        <f t="shared" si="21"/>
        <v>0.24175033014228994</v>
      </c>
      <c r="K147" s="2"/>
      <c r="L147" s="2">
        <f t="shared" si="22"/>
        <v>55427.400000000009</v>
      </c>
      <c r="M147" s="2"/>
      <c r="N147" s="6">
        <f t="shared" si="23"/>
        <v>0.45242820375292231</v>
      </c>
      <c r="O147" s="14"/>
      <c r="P147" s="2">
        <f>SUM(OSRRefP22_1x_0)</f>
        <v>2002980.29</v>
      </c>
      <c r="Q147" s="2"/>
      <c r="R147" s="6">
        <f t="shared" si="24"/>
        <v>0.24983302620199471</v>
      </c>
      <c r="S147" s="2"/>
      <c r="T147" s="2">
        <f>SUM(OSRRefT22_1x_0)</f>
        <v>1413331.09</v>
      </c>
      <c r="U147" s="2"/>
      <c r="V147" s="6">
        <f t="shared" si="25"/>
        <v>0.27115416821880289</v>
      </c>
      <c r="W147" s="2"/>
      <c r="X147" s="2">
        <f t="shared" si="26"/>
        <v>589649.19999999995</v>
      </c>
      <c r="Y147" s="2"/>
      <c r="Z147" s="6">
        <f t="shared" si="27"/>
        <v>0.4172052848565016</v>
      </c>
    </row>
    <row r="148" spans="1:26" s="69" customFormat="1" ht="15" hidden="1" customHeight="1" outlineLevel="2" x14ac:dyDescent="0.25">
      <c r="A148" s="25"/>
      <c r="B148" s="12" t="str">
        <f>CONCATENATE("          ","6001"," - ","ADMINISTRATIVE SALARIES")</f>
        <v xml:space="preserve">          6001 - ADMINISTRATIVE SALARIES</v>
      </c>
      <c r="C148" s="12"/>
      <c r="D148" s="7">
        <v>3726.6</v>
      </c>
      <c r="E148" s="3"/>
      <c r="F148" s="8">
        <f t="shared" si="20"/>
        <v>3.9473874038620082E-3</v>
      </c>
      <c r="G148" s="3"/>
      <c r="H148" s="7">
        <v>4205.74</v>
      </c>
      <c r="I148" s="3"/>
      <c r="J148" s="8">
        <f t="shared" si="21"/>
        <v>8.2991699882829593E-3</v>
      </c>
      <c r="K148" s="3"/>
      <c r="L148" s="7">
        <f t="shared" si="22"/>
        <v>-479.13999999999987</v>
      </c>
      <c r="M148" s="3"/>
      <c r="N148" s="8">
        <f t="shared" si="23"/>
        <v>-0.11392525453309046</v>
      </c>
      <c r="O148" s="12"/>
      <c r="P148" s="7">
        <v>51393.13</v>
      </c>
      <c r="Q148" s="3"/>
      <c r="R148" s="8">
        <f t="shared" si="24"/>
        <v>6.4102983229518051E-3</v>
      </c>
      <c r="S148" s="3"/>
      <c r="T148" s="7">
        <v>47398.53</v>
      </c>
      <c r="U148" s="3"/>
      <c r="V148" s="8">
        <f t="shared" si="25"/>
        <v>9.0936292761690917E-3</v>
      </c>
      <c r="W148" s="3"/>
      <c r="X148" s="7">
        <f t="shared" si="26"/>
        <v>3994.5999999999985</v>
      </c>
      <c r="Y148" s="3"/>
      <c r="Z148" s="8">
        <f t="shared" si="27"/>
        <v>8.427687525330424E-2</v>
      </c>
    </row>
    <row r="149" spans="1:26" s="69" customFormat="1" ht="15" hidden="1" customHeight="1" outlineLevel="2" x14ac:dyDescent="0.25">
      <c r="A149" s="25"/>
      <c r="B149" s="12" t="str">
        <f>CONCATENATE("          ","6002"," - ","STAFF SALARIES")</f>
        <v xml:space="preserve">          6002 - STAFF SALARIES</v>
      </c>
      <c r="C149" s="12"/>
      <c r="D149" s="7">
        <v>47057.9</v>
      </c>
      <c r="E149" s="3"/>
      <c r="F149" s="8">
        <f t="shared" si="20"/>
        <v>4.9845908257445927E-2</v>
      </c>
      <c r="G149" s="3"/>
      <c r="H149" s="7">
        <v>63555.839999999997</v>
      </c>
      <c r="I149" s="3"/>
      <c r="J149" s="8">
        <f t="shared" si="21"/>
        <v>0.12541448589501814</v>
      </c>
      <c r="K149" s="3"/>
      <c r="L149" s="7">
        <f t="shared" si="22"/>
        <v>-16497.939999999995</v>
      </c>
      <c r="M149" s="3"/>
      <c r="N149" s="8">
        <f t="shared" si="23"/>
        <v>-0.25958181026322674</v>
      </c>
      <c r="O149" s="12"/>
      <c r="P149" s="7">
        <v>642048.5</v>
      </c>
      <c r="Q149" s="3"/>
      <c r="R149" s="8">
        <f t="shared" si="24"/>
        <v>8.008312439432512E-2</v>
      </c>
      <c r="S149" s="3"/>
      <c r="T149" s="7">
        <v>706559.14</v>
      </c>
      <c r="U149" s="3"/>
      <c r="V149" s="8">
        <f t="shared" si="25"/>
        <v>0.13555666981336462</v>
      </c>
      <c r="W149" s="3"/>
      <c r="X149" s="7">
        <f t="shared" si="26"/>
        <v>-64510.640000000014</v>
      </c>
      <c r="Y149" s="3"/>
      <c r="Z149" s="8">
        <f t="shared" si="27"/>
        <v>-9.1302534137482128E-2</v>
      </c>
    </row>
    <row r="150" spans="1:26" s="69" customFormat="1" ht="15" hidden="1" customHeight="1" outlineLevel="2" x14ac:dyDescent="0.25">
      <c r="A150" s="25"/>
      <c r="B150" s="12" t="str">
        <f>CONCATENATE("          ","6004"," - ","STAFF HOURLY")</f>
        <v xml:space="preserve">          6004 - STAFF HOURLY</v>
      </c>
      <c r="C150" s="12"/>
      <c r="D150" s="7">
        <v>31542.85</v>
      </c>
      <c r="E150" s="3"/>
      <c r="F150" s="8">
        <f t="shared" si="20"/>
        <v>3.3411648358264566E-2</v>
      </c>
      <c r="G150" s="3"/>
      <c r="H150" s="7">
        <v>13052.53</v>
      </c>
      <c r="I150" s="3"/>
      <c r="J150" s="8">
        <f t="shared" si="21"/>
        <v>2.5756505453775787E-2</v>
      </c>
      <c r="K150" s="3"/>
      <c r="L150" s="7">
        <f t="shared" si="22"/>
        <v>18490.32</v>
      </c>
      <c r="M150" s="3"/>
      <c r="N150" s="8">
        <f t="shared" si="23"/>
        <v>1.4166081211841688</v>
      </c>
      <c r="O150" s="12"/>
      <c r="P150" s="7">
        <v>301390.87</v>
      </c>
      <c r="Q150" s="3"/>
      <c r="R150" s="8">
        <f t="shared" si="24"/>
        <v>3.7592678019688339E-2</v>
      </c>
      <c r="S150" s="3"/>
      <c r="T150" s="7">
        <v>168344.5</v>
      </c>
      <c r="U150" s="3"/>
      <c r="V150" s="8">
        <f t="shared" si="25"/>
        <v>3.2297678296817386E-2</v>
      </c>
      <c r="W150" s="3"/>
      <c r="X150" s="7">
        <f t="shared" si="26"/>
        <v>133046.37</v>
      </c>
      <c r="Y150" s="3"/>
      <c r="Z150" s="8">
        <f t="shared" si="27"/>
        <v>0.79032204794335426</v>
      </c>
    </row>
    <row r="151" spans="1:26" s="69" customFormat="1" ht="15" hidden="1" customHeight="1" outlineLevel="2" x14ac:dyDescent="0.25">
      <c r="A151" s="25"/>
      <c r="B151" s="12" t="str">
        <f>CONCATENATE("          ","6005"," - ","TEMPORARY WAGES-HOURLY")</f>
        <v xml:space="preserve">          6005 - TEMPORARY WAGES-HOURLY</v>
      </c>
      <c r="C151" s="12"/>
      <c r="D151" s="7">
        <v>5073.82</v>
      </c>
      <c r="E151" s="3"/>
      <c r="F151" s="8">
        <f t="shared" si="20"/>
        <v>5.3744252555850188E-3</v>
      </c>
      <c r="G151" s="3"/>
      <c r="H151" s="7">
        <v>7607.71</v>
      </c>
      <c r="I151" s="3"/>
      <c r="J151" s="8">
        <f t="shared" si="21"/>
        <v>1.5012263837412715E-2</v>
      </c>
      <c r="K151" s="3"/>
      <c r="L151" s="7">
        <f t="shared" si="22"/>
        <v>-2533.8900000000003</v>
      </c>
      <c r="M151" s="3"/>
      <c r="N151" s="8">
        <f t="shared" si="23"/>
        <v>-0.33306868952680901</v>
      </c>
      <c r="O151" s="12"/>
      <c r="P151" s="7">
        <v>109994.77</v>
      </c>
      <c r="Q151" s="3"/>
      <c r="R151" s="8">
        <f t="shared" si="24"/>
        <v>1.3719718757438389E-2</v>
      </c>
      <c r="S151" s="3"/>
      <c r="T151" s="7">
        <v>161971.72</v>
      </c>
      <c r="U151" s="3"/>
      <c r="V151" s="8">
        <f t="shared" si="25"/>
        <v>3.1075030700392248E-2</v>
      </c>
      <c r="W151" s="3"/>
      <c r="X151" s="7">
        <f t="shared" si="26"/>
        <v>-51976.95</v>
      </c>
      <c r="Y151" s="3"/>
      <c r="Z151" s="8">
        <f t="shared" si="27"/>
        <v>-0.3209013894524303</v>
      </c>
    </row>
    <row r="152" spans="1:26" s="69" customFormat="1" ht="15" hidden="1" customHeight="1" outlineLevel="2" x14ac:dyDescent="0.25">
      <c r="A152" s="25"/>
      <c r="B152" s="12" t="str">
        <f>CONCATENATE("          ","6006"," - ","TEMPORARY PART TIME")</f>
        <v xml:space="preserve">          6006 - TEMPORARY PART TIME</v>
      </c>
      <c r="C152" s="12"/>
      <c r="D152" s="7">
        <v>3109.84</v>
      </c>
      <c r="E152" s="3"/>
      <c r="F152" s="8">
        <f t="shared" si="20"/>
        <v>3.2940866323260421E-3</v>
      </c>
      <c r="G152" s="3"/>
      <c r="H152" s="7">
        <v>2769.97</v>
      </c>
      <c r="I152" s="3"/>
      <c r="J152" s="8">
        <f t="shared" si="21"/>
        <v>5.4659707667245594E-3</v>
      </c>
      <c r="K152" s="3"/>
      <c r="L152" s="7">
        <f t="shared" si="22"/>
        <v>339.87000000000035</v>
      </c>
      <c r="M152" s="3"/>
      <c r="N152" s="8">
        <f t="shared" si="23"/>
        <v>0.12269807976259683</v>
      </c>
      <c r="O152" s="12"/>
      <c r="P152" s="7">
        <v>26145.98</v>
      </c>
      <c r="Q152" s="3"/>
      <c r="R152" s="8">
        <f t="shared" si="24"/>
        <v>3.261204984906182E-3</v>
      </c>
      <c r="S152" s="3"/>
      <c r="T152" s="7">
        <v>19716.73</v>
      </c>
      <c r="U152" s="3"/>
      <c r="V152" s="8">
        <f t="shared" si="25"/>
        <v>3.7827467045564796E-3</v>
      </c>
      <c r="W152" s="3"/>
      <c r="X152" s="7">
        <f t="shared" si="26"/>
        <v>6429.25</v>
      </c>
      <c r="Y152" s="3"/>
      <c r="Z152" s="8">
        <f t="shared" si="27"/>
        <v>0.32608094749991506</v>
      </c>
    </row>
    <row r="153" spans="1:26" s="69" customFormat="1" ht="15" hidden="1" customHeight="1" outlineLevel="2" x14ac:dyDescent="0.25">
      <c r="A153" s="25"/>
      <c r="B153" s="12" t="str">
        <f>CONCATENATE("          ","6007"," - ","STUDENT HOURLY")</f>
        <v xml:space="preserve">          6007 - STUDENT HOURLY</v>
      </c>
      <c r="C153" s="12"/>
      <c r="D153" s="7">
        <v>75922.53</v>
      </c>
      <c r="E153" s="3"/>
      <c r="F153" s="8">
        <f t="shared" si="20"/>
        <v>8.0420661887869754E-2</v>
      </c>
      <c r="G153" s="3"/>
      <c r="H153" s="7">
        <v>28779.68</v>
      </c>
      <c r="I153" s="3"/>
      <c r="J153" s="8">
        <f t="shared" si="21"/>
        <v>5.6790827899106298E-2</v>
      </c>
      <c r="K153" s="3"/>
      <c r="L153" s="7">
        <f t="shared" si="22"/>
        <v>47142.85</v>
      </c>
      <c r="M153" s="3"/>
      <c r="N153" s="8">
        <f t="shared" si="23"/>
        <v>1.6380602564031288</v>
      </c>
      <c r="O153" s="12"/>
      <c r="P153" s="7">
        <v>745906.58</v>
      </c>
      <c r="Q153" s="3"/>
      <c r="R153" s="8">
        <f t="shared" si="24"/>
        <v>9.3037409841601706E-2</v>
      </c>
      <c r="S153" s="3"/>
      <c r="T153" s="7">
        <v>296799.06</v>
      </c>
      <c r="U153" s="3"/>
      <c r="V153" s="8">
        <f t="shared" si="25"/>
        <v>5.6942285365294387E-2</v>
      </c>
      <c r="W153" s="3"/>
      <c r="X153" s="7">
        <f t="shared" si="26"/>
        <v>449107.51999999996</v>
      </c>
      <c r="Y153" s="3"/>
      <c r="Z153" s="8">
        <f t="shared" si="27"/>
        <v>1.5131702910379836</v>
      </c>
    </row>
    <row r="154" spans="1:26" s="69" customFormat="1" ht="15" hidden="1" customHeight="1" outlineLevel="2" x14ac:dyDescent="0.25">
      <c r="A154" s="25"/>
      <c r="B154" s="12" t="str">
        <f>CONCATENATE("          ","6008"," - ","STUDENT HOURLY-FICA EXEMPT")</f>
        <v xml:space="preserve">          6008 - STUDENT HOURLY-FICA EXEMPT</v>
      </c>
      <c r="C154" s="12"/>
      <c r="D154" s="7">
        <v>11504.79</v>
      </c>
      <c r="E154" s="3"/>
      <c r="F154" s="8">
        <f t="shared" si="20"/>
        <v>1.2186406679031181E-2</v>
      </c>
      <c r="G154" s="3"/>
      <c r="H154" s="7">
        <v>2539.46</v>
      </c>
      <c r="I154" s="3"/>
      <c r="J154" s="8">
        <f t="shared" si="21"/>
        <v>5.011106301969462E-3</v>
      </c>
      <c r="K154" s="3"/>
      <c r="L154" s="7">
        <f t="shared" si="22"/>
        <v>8965.3300000000017</v>
      </c>
      <c r="M154" s="3"/>
      <c r="N154" s="8">
        <f t="shared" si="23"/>
        <v>3.5304080395044624</v>
      </c>
      <c r="O154" s="12"/>
      <c r="P154" s="7">
        <v>126100.46</v>
      </c>
      <c r="Q154" s="3"/>
      <c r="R154" s="8">
        <f t="shared" si="24"/>
        <v>1.5728591881083158E-2</v>
      </c>
      <c r="S154" s="3"/>
      <c r="T154" s="7">
        <v>12541.41</v>
      </c>
      <c r="U154" s="3"/>
      <c r="V154" s="8">
        <f t="shared" si="25"/>
        <v>2.4061280622086766E-3</v>
      </c>
      <c r="W154" s="3"/>
      <c r="X154" s="7">
        <f t="shared" si="26"/>
        <v>113559.05</v>
      </c>
      <c r="Y154" s="3"/>
      <c r="Z154" s="8">
        <f t="shared" si="27"/>
        <v>9.0547274987421673</v>
      </c>
    </row>
    <row r="155" spans="1:26" s="68" customFormat="1" ht="15" customHeight="1" outlineLevel="1" collapsed="1" x14ac:dyDescent="0.25">
      <c r="A155" s="26"/>
      <c r="B155" s="14" t="str">
        <f>CONCATENATE("     ","Advertising/Promo                                 ")</f>
        <v xml:space="preserve">     Advertising/Promo                                 </v>
      </c>
      <c r="C155" s="14"/>
      <c r="D155" s="2">
        <f>SUM(OSRRefD22_2x_0)</f>
        <v>1274.8800000000001</v>
      </c>
      <c r="E155" s="2"/>
      <c r="F155" s="6">
        <f t="shared" si="20"/>
        <v>1.3504119716190623E-3</v>
      </c>
      <c r="G155" s="2"/>
      <c r="H155" s="2">
        <f>SUM(OSRRefH22_2x_0)</f>
        <v>7.47</v>
      </c>
      <c r="I155" s="2"/>
      <c r="J155" s="6">
        <f t="shared" si="21"/>
        <v>1.474052124298547E-5</v>
      </c>
      <c r="K155" s="2"/>
      <c r="L155" s="2">
        <f t="shared" si="22"/>
        <v>1267.4100000000001</v>
      </c>
      <c r="M155" s="2"/>
      <c r="N155" s="6">
        <f t="shared" si="23"/>
        <v>169.66666666666669</v>
      </c>
      <c r="O155" s="14"/>
      <c r="P155" s="2">
        <f>SUM(OSRRefP22_2x_0)</f>
        <v>14110.33</v>
      </c>
      <c r="Q155" s="2"/>
      <c r="R155" s="6">
        <f t="shared" si="24"/>
        <v>1.7599905811398634E-3</v>
      </c>
      <c r="S155" s="2"/>
      <c r="T155" s="2">
        <f>SUM(OSRRefT22_2x_0)</f>
        <v>17543.52</v>
      </c>
      <c r="U155" s="2"/>
      <c r="V155" s="6">
        <f t="shared" si="25"/>
        <v>3.3658062197088816E-3</v>
      </c>
      <c r="W155" s="2"/>
      <c r="X155" s="2">
        <f t="shared" si="26"/>
        <v>-3433.1900000000005</v>
      </c>
      <c r="Y155" s="2"/>
      <c r="Z155" s="6">
        <f t="shared" si="27"/>
        <v>-0.19569561866717741</v>
      </c>
    </row>
    <row r="156" spans="1:26" s="69" customFormat="1" ht="15" hidden="1" customHeight="1" outlineLevel="2" x14ac:dyDescent="0.25">
      <c r="A156" s="25"/>
      <c r="B156" s="12" t="str">
        <f>CONCATENATE("          ","6362"," - ","ADVERTISING EXPENSE")</f>
        <v xml:space="preserve">          6362 - ADVERTISING EXPENSE</v>
      </c>
      <c r="C156" s="12"/>
      <c r="D156" s="7">
        <v>1274.8800000000001</v>
      </c>
      <c r="E156" s="3"/>
      <c r="F156" s="8">
        <f t="shared" si="20"/>
        <v>1.3504119716190623E-3</v>
      </c>
      <c r="G156" s="3"/>
      <c r="H156" s="7">
        <v>7.47</v>
      </c>
      <c r="I156" s="3"/>
      <c r="J156" s="8">
        <f t="shared" si="21"/>
        <v>1.474052124298547E-5</v>
      </c>
      <c r="K156" s="3"/>
      <c r="L156" s="7">
        <f t="shared" si="22"/>
        <v>1267.4100000000001</v>
      </c>
      <c r="M156" s="3"/>
      <c r="N156" s="8">
        <f t="shared" si="23"/>
        <v>169.66666666666669</v>
      </c>
      <c r="O156" s="12"/>
      <c r="P156" s="7">
        <v>14110.33</v>
      </c>
      <c r="Q156" s="3"/>
      <c r="R156" s="8">
        <f t="shared" si="24"/>
        <v>1.7599905811398634E-3</v>
      </c>
      <c r="S156" s="3"/>
      <c r="T156" s="7">
        <v>17543.52</v>
      </c>
      <c r="U156" s="3"/>
      <c r="V156" s="8">
        <f t="shared" si="25"/>
        <v>3.3658062197088816E-3</v>
      </c>
      <c r="W156" s="3"/>
      <c r="X156" s="7">
        <f t="shared" si="26"/>
        <v>-3433.1900000000005</v>
      </c>
      <c r="Y156" s="3"/>
      <c r="Z156" s="8">
        <f t="shared" si="27"/>
        <v>-0.19569561866717741</v>
      </c>
    </row>
    <row r="157" spans="1:26" s="68" customFormat="1" ht="15" customHeight="1" outlineLevel="1" collapsed="1" x14ac:dyDescent="0.25">
      <c r="A157" s="26"/>
      <c r="B157" s="14" t="str">
        <f>CONCATENATE("     ","Bad Debts/Over/Short                              ")</f>
        <v xml:space="preserve">     Bad Debts/Over/Short                              </v>
      </c>
      <c r="C157" s="14"/>
      <c r="D157" s="2">
        <f>SUM(OSRRefD22_3x_0)</f>
        <v>-10.65</v>
      </c>
      <c r="E157" s="2"/>
      <c r="F157" s="6">
        <f t="shared" si="20"/>
        <v>-1.1280973501618201E-5</v>
      </c>
      <c r="G157" s="2"/>
      <c r="H157" s="2">
        <f>SUM(OSRRefH22_3x_0)</f>
        <v>21.56</v>
      </c>
      <c r="I157" s="2"/>
      <c r="J157" s="6">
        <f t="shared" si="21"/>
        <v>4.2544262114962078E-5</v>
      </c>
      <c r="K157" s="2"/>
      <c r="L157" s="2">
        <f t="shared" si="22"/>
        <v>-32.21</v>
      </c>
      <c r="M157" s="2"/>
      <c r="N157" s="6">
        <f t="shared" si="23"/>
        <v>-1.493970315398887</v>
      </c>
      <c r="O157" s="14"/>
      <c r="P157" s="2">
        <f>SUM(OSRRefP22_3x_0)</f>
        <v>4.88</v>
      </c>
      <c r="Q157" s="2"/>
      <c r="R157" s="6">
        <f t="shared" si="24"/>
        <v>6.0868555419770712E-7</v>
      </c>
      <c r="S157" s="2"/>
      <c r="T157" s="2">
        <f>SUM(OSRRefT22_3x_0)</f>
        <v>5207.57</v>
      </c>
      <c r="U157" s="2"/>
      <c r="V157" s="6">
        <f t="shared" si="25"/>
        <v>9.9909661775797443E-4</v>
      </c>
      <c r="W157" s="2"/>
      <c r="X157" s="2">
        <f t="shared" si="26"/>
        <v>-5202.6899999999996</v>
      </c>
      <c r="Y157" s="2"/>
      <c r="Z157" s="6">
        <f t="shared" si="27"/>
        <v>-0.99906290265901365</v>
      </c>
    </row>
    <row r="158" spans="1:26" s="69" customFormat="1" ht="15" hidden="1" customHeight="1" outlineLevel="2" x14ac:dyDescent="0.25">
      <c r="A158" s="25"/>
      <c r="B158" s="12" t="str">
        <f>CONCATENATE("          ","6272"," - ","CASH (OVER/SHORT)")</f>
        <v xml:space="preserve">          6272 - CASH (OVER/SHORT)</v>
      </c>
      <c r="C158" s="12"/>
      <c r="D158" s="7">
        <v>-10.65</v>
      </c>
      <c r="E158" s="3"/>
      <c r="F158" s="8">
        <f t="shared" si="20"/>
        <v>-1.1280973501618201E-5</v>
      </c>
      <c r="G158" s="3"/>
      <c r="H158" s="7">
        <v>21.56</v>
      </c>
      <c r="I158" s="3"/>
      <c r="J158" s="8">
        <f t="shared" si="21"/>
        <v>4.2544262114962078E-5</v>
      </c>
      <c r="K158" s="3"/>
      <c r="L158" s="7">
        <f t="shared" si="22"/>
        <v>-32.21</v>
      </c>
      <c r="M158" s="3"/>
      <c r="N158" s="8">
        <f t="shared" si="23"/>
        <v>-1.493970315398887</v>
      </c>
      <c r="O158" s="12"/>
      <c r="P158" s="7">
        <v>4.88</v>
      </c>
      <c r="Q158" s="3"/>
      <c r="R158" s="8">
        <f t="shared" si="24"/>
        <v>6.0868555419770712E-7</v>
      </c>
      <c r="S158" s="3"/>
      <c r="T158" s="7">
        <v>-141.85</v>
      </c>
      <c r="U158" s="3"/>
      <c r="V158" s="8">
        <f t="shared" si="25"/>
        <v>-2.7214584773506389E-5</v>
      </c>
      <c r="W158" s="3"/>
      <c r="X158" s="7">
        <f t="shared" si="26"/>
        <v>146.72999999999999</v>
      </c>
      <c r="Y158" s="3"/>
      <c r="Z158" s="8">
        <f t="shared" si="27"/>
        <v>-1.0344025378921395</v>
      </c>
    </row>
    <row r="159" spans="1:26" s="69" customFormat="1" ht="15" hidden="1" customHeight="1" outlineLevel="2" x14ac:dyDescent="0.25">
      <c r="A159" s="25"/>
      <c r="B159" s="12" t="str">
        <f>CONCATENATE("          ","6342"," - ","BAD DEBT")</f>
        <v xml:space="preserve">          6342 - BAD DEBT</v>
      </c>
      <c r="C159" s="12"/>
      <c r="D159" s="7"/>
      <c r="E159" s="3"/>
      <c r="F159" s="8">
        <f t="shared" si="20"/>
        <v>0</v>
      </c>
      <c r="G159" s="3"/>
      <c r="H159" s="7"/>
      <c r="I159" s="3"/>
      <c r="J159" s="8">
        <f t="shared" si="21"/>
        <v>0</v>
      </c>
      <c r="K159" s="3"/>
      <c r="L159" s="7">
        <f t="shared" si="22"/>
        <v>0</v>
      </c>
      <c r="M159" s="3"/>
      <c r="N159" s="8">
        <f t="shared" si="23"/>
        <v>0</v>
      </c>
      <c r="O159" s="12"/>
      <c r="P159" s="7"/>
      <c r="Q159" s="3"/>
      <c r="R159" s="8">
        <f t="shared" si="24"/>
        <v>0</v>
      </c>
      <c r="S159" s="3"/>
      <c r="T159" s="7">
        <v>5349.42</v>
      </c>
      <c r="U159" s="3"/>
      <c r="V159" s="8">
        <f t="shared" si="25"/>
        <v>1.0263112025314808E-3</v>
      </c>
      <c r="W159" s="3"/>
      <c r="X159" s="7">
        <f t="shared" si="26"/>
        <v>-5349.42</v>
      </c>
      <c r="Y159" s="3"/>
      <c r="Z159" s="8">
        <f t="shared" si="27"/>
        <v>-1</v>
      </c>
    </row>
    <row r="160" spans="1:26" s="68" customFormat="1" ht="15" customHeight="1" outlineLevel="1" collapsed="1" x14ac:dyDescent="0.25">
      <c r="A160" s="26"/>
      <c r="B160" s="14" t="str">
        <f>CONCATENATE("     ","Bank/card Fees                                    ")</f>
        <v xml:space="preserve">     Bank/card Fees                                    </v>
      </c>
      <c r="C160" s="14"/>
      <c r="D160" s="2">
        <f>SUM(OSRRefD22_4x_0)</f>
        <v>18292.439999999999</v>
      </c>
      <c r="E160" s="2"/>
      <c r="F160" s="6">
        <f t="shared" si="20"/>
        <v>1.9376200086379421E-2</v>
      </c>
      <c r="G160" s="2"/>
      <c r="H160" s="2">
        <f>SUM(OSRRefH22_4x_0)</f>
        <v>4110.67</v>
      </c>
      <c r="I160" s="2"/>
      <c r="J160" s="6">
        <f t="shared" si="21"/>
        <v>8.1115687359977345E-3</v>
      </c>
      <c r="K160" s="2"/>
      <c r="L160" s="2">
        <f t="shared" si="22"/>
        <v>14181.769999999999</v>
      </c>
      <c r="M160" s="2"/>
      <c r="N160" s="6">
        <f t="shared" si="23"/>
        <v>3.449989904322166</v>
      </c>
      <c r="O160" s="14"/>
      <c r="P160" s="2">
        <f>SUM(OSRRefP22_4x_0)</f>
        <v>164742.76999999999</v>
      </c>
      <c r="Q160" s="2"/>
      <c r="R160" s="6">
        <f t="shared" si="24"/>
        <v>2.0548472183917088E-2</v>
      </c>
      <c r="S160" s="2"/>
      <c r="T160" s="2">
        <f>SUM(OSRRefT22_4x_0)</f>
        <v>81071.25</v>
      </c>
      <c r="U160" s="2"/>
      <c r="V160" s="6">
        <f t="shared" si="25"/>
        <v>1.55538978203675E-2</v>
      </c>
      <c r="W160" s="2"/>
      <c r="X160" s="2">
        <f t="shared" si="26"/>
        <v>83671.51999999999</v>
      </c>
      <c r="Y160" s="2"/>
      <c r="Z160" s="6">
        <f t="shared" si="27"/>
        <v>1.0320738856252987</v>
      </c>
    </row>
    <row r="161" spans="1:26" s="69" customFormat="1" ht="15" hidden="1" customHeight="1" outlineLevel="2" x14ac:dyDescent="0.25">
      <c r="A161" s="25"/>
      <c r="B161" s="12" t="str">
        <f>CONCATENATE("          ","6381"," - ","BANK/CREDIT CARD FEES")</f>
        <v xml:space="preserve">          6381 - BANK/CREDIT CARD FEES</v>
      </c>
      <c r="C161" s="12"/>
      <c r="D161" s="7">
        <v>18292.439999999999</v>
      </c>
      <c r="E161" s="3"/>
      <c r="F161" s="8">
        <f t="shared" si="20"/>
        <v>1.9376200086379421E-2</v>
      </c>
      <c r="G161" s="3"/>
      <c r="H161" s="7">
        <v>4110.67</v>
      </c>
      <c r="I161" s="3"/>
      <c r="J161" s="8">
        <f t="shared" si="21"/>
        <v>8.1115687359977345E-3</v>
      </c>
      <c r="K161" s="3"/>
      <c r="L161" s="7">
        <f t="shared" si="22"/>
        <v>14181.769999999999</v>
      </c>
      <c r="M161" s="3"/>
      <c r="N161" s="8">
        <f t="shared" si="23"/>
        <v>3.449989904322166</v>
      </c>
      <c r="O161" s="12"/>
      <c r="P161" s="7">
        <v>164742.76999999999</v>
      </c>
      <c r="Q161" s="3"/>
      <c r="R161" s="8">
        <f t="shared" si="24"/>
        <v>2.0548472183917088E-2</v>
      </c>
      <c r="S161" s="3"/>
      <c r="T161" s="7">
        <v>81071.25</v>
      </c>
      <c r="U161" s="3"/>
      <c r="V161" s="8">
        <f t="shared" si="25"/>
        <v>1.55538978203675E-2</v>
      </c>
      <c r="W161" s="3"/>
      <c r="X161" s="7">
        <f t="shared" si="26"/>
        <v>83671.51999999999</v>
      </c>
      <c r="Y161" s="3"/>
      <c r="Z161" s="8">
        <f t="shared" si="27"/>
        <v>1.0320738856252987</v>
      </c>
    </row>
    <row r="162" spans="1:26" s="68" customFormat="1" ht="15" customHeight="1" outlineLevel="1" collapsed="1" x14ac:dyDescent="0.25">
      <c r="A162" s="26"/>
      <c r="B162" s="14" t="str">
        <f>CONCATENATE("     ","Depreciation                                      ")</f>
        <v xml:space="preserve">     Depreciation                                      </v>
      </c>
      <c r="C162" s="14"/>
      <c r="D162" s="2">
        <f>SUM(OSRRefD22_5x_0)</f>
        <v>22704.760000000002</v>
      </c>
      <c r="E162" s="2"/>
      <c r="F162" s="6">
        <f t="shared" si="20"/>
        <v>2.4049933889258298E-2</v>
      </c>
      <c r="G162" s="2"/>
      <c r="H162" s="2">
        <f>SUM(OSRRefH22_5x_0)</f>
        <v>39887.94</v>
      </c>
      <c r="I162" s="2"/>
      <c r="J162" s="6">
        <f t="shared" si="21"/>
        <v>7.8710713106951782E-2</v>
      </c>
      <c r="K162" s="2"/>
      <c r="L162" s="2">
        <f t="shared" si="22"/>
        <v>-17183.18</v>
      </c>
      <c r="M162" s="2"/>
      <c r="N162" s="6">
        <f t="shared" si="23"/>
        <v>-0.43078634795379256</v>
      </c>
      <c r="O162" s="14"/>
      <c r="P162" s="2">
        <f>SUM(OSRRefP22_5x_0)</f>
        <v>372201.24</v>
      </c>
      <c r="Q162" s="2"/>
      <c r="R162" s="6">
        <f t="shared" si="24"/>
        <v>4.6424901238211844E-2</v>
      </c>
      <c r="S162" s="2"/>
      <c r="T162" s="2">
        <f>SUM(OSRRefT22_5x_0)</f>
        <v>439244.11</v>
      </c>
      <c r="U162" s="2"/>
      <c r="V162" s="6">
        <f t="shared" si="25"/>
        <v>8.427103325948794E-2</v>
      </c>
      <c r="W162" s="2"/>
      <c r="X162" s="2">
        <f t="shared" si="26"/>
        <v>-67042.87</v>
      </c>
      <c r="Y162" s="2"/>
      <c r="Z162" s="6">
        <f t="shared" si="27"/>
        <v>-0.15263237109770236</v>
      </c>
    </row>
    <row r="163" spans="1:26" s="69" customFormat="1" ht="15" hidden="1" customHeight="1" outlineLevel="2" x14ac:dyDescent="0.25">
      <c r="A163" s="25"/>
      <c r="B163" s="12" t="str">
        <f>CONCATENATE("          ","6321"," - ","BUILDING DEPRECIATION")</f>
        <v xml:space="preserve">          6321 - BUILDING DEPRECIATION</v>
      </c>
      <c r="C163" s="12"/>
      <c r="D163" s="7">
        <v>18402.22</v>
      </c>
      <c r="E163" s="3"/>
      <c r="F163" s="8">
        <f t="shared" si="20"/>
        <v>1.9492484149384835E-2</v>
      </c>
      <c r="G163" s="3"/>
      <c r="H163" s="7">
        <v>21477.03</v>
      </c>
      <c r="I163" s="3"/>
      <c r="J163" s="8">
        <f t="shared" si="21"/>
        <v>4.2380537744476067E-2</v>
      </c>
      <c r="K163" s="3"/>
      <c r="L163" s="7">
        <f t="shared" si="22"/>
        <v>-3074.8099999999977</v>
      </c>
      <c r="M163" s="3"/>
      <c r="N163" s="8">
        <f t="shared" si="23"/>
        <v>-0.14316737463233967</v>
      </c>
      <c r="O163" s="12"/>
      <c r="P163" s="7">
        <v>221683.16</v>
      </c>
      <c r="Q163" s="3"/>
      <c r="R163" s="8">
        <f t="shared" si="24"/>
        <v>2.7650683832151433E-2</v>
      </c>
      <c r="S163" s="3"/>
      <c r="T163" s="7">
        <v>236247.33</v>
      </c>
      <c r="U163" s="3"/>
      <c r="V163" s="8">
        <f t="shared" si="25"/>
        <v>4.5325153259073242E-2</v>
      </c>
      <c r="W163" s="3"/>
      <c r="X163" s="7">
        <f t="shared" si="26"/>
        <v>-14564.169999999984</v>
      </c>
      <c r="Y163" s="3"/>
      <c r="Z163" s="8">
        <f t="shared" si="27"/>
        <v>-6.1647977143276009E-2</v>
      </c>
    </row>
    <row r="164" spans="1:26" s="69" customFormat="1" ht="15" hidden="1" customHeight="1" outlineLevel="2" x14ac:dyDescent="0.25">
      <c r="A164" s="25"/>
      <c r="B164" s="12" t="str">
        <f>CONCATENATE("          ","6322"," - ","EQUIPMENT DEPRECIATION EXPENSE")</f>
        <v xml:space="preserve">          6322 - EQUIPMENT DEPRECIATION EXPENSE</v>
      </c>
      <c r="C164" s="12"/>
      <c r="D164" s="7">
        <v>4302.54</v>
      </c>
      <c r="E164" s="3"/>
      <c r="F164" s="8">
        <f t="shared" si="20"/>
        <v>4.5574497398734619E-3</v>
      </c>
      <c r="G164" s="3"/>
      <c r="H164" s="7">
        <v>18410.91</v>
      </c>
      <c r="I164" s="3"/>
      <c r="J164" s="8">
        <f t="shared" si="21"/>
        <v>3.6330175362475715E-2</v>
      </c>
      <c r="K164" s="3"/>
      <c r="L164" s="7">
        <f t="shared" si="22"/>
        <v>-14108.369999999999</v>
      </c>
      <c r="M164" s="3"/>
      <c r="N164" s="8">
        <f t="shared" si="23"/>
        <v>-0.76630487031874028</v>
      </c>
      <c r="O164" s="12"/>
      <c r="P164" s="7">
        <v>150518.07999999999</v>
      </c>
      <c r="Q164" s="3"/>
      <c r="R164" s="8">
        <f t="shared" si="24"/>
        <v>1.8774217406060414E-2</v>
      </c>
      <c r="S164" s="3"/>
      <c r="T164" s="7">
        <v>202996.78</v>
      </c>
      <c r="U164" s="3"/>
      <c r="V164" s="8">
        <f t="shared" si="25"/>
        <v>3.8945880000414705E-2</v>
      </c>
      <c r="W164" s="3"/>
      <c r="X164" s="7">
        <f t="shared" si="26"/>
        <v>-52478.700000000012</v>
      </c>
      <c r="Y164" s="3"/>
      <c r="Z164" s="8">
        <f t="shared" si="27"/>
        <v>-0.25851986420671308</v>
      </c>
    </row>
    <row r="165" spans="1:26" s="68" customFormat="1" ht="15" customHeight="1" outlineLevel="1" collapsed="1" x14ac:dyDescent="0.25">
      <c r="A165" s="26"/>
      <c r="B165" s="14" t="str">
        <f>CONCATENATE("     ","Discounts and Markdowns                           ")</f>
        <v xml:space="preserve">     Discounts and Markdowns                           </v>
      </c>
      <c r="C165" s="14"/>
      <c r="D165" s="2">
        <f>SUM(OSRRefD22_6x_0)</f>
        <v>-17.57</v>
      </c>
      <c r="E165" s="2"/>
      <c r="F165" s="6">
        <f t="shared" si="20"/>
        <v>-1.8610958161824581E-5</v>
      </c>
      <c r="G165" s="2"/>
      <c r="H165" s="2">
        <f>SUM(OSRRefH22_6x_0)</f>
        <v>0</v>
      </c>
      <c r="I165" s="2"/>
      <c r="J165" s="6">
        <f t="shared" si="21"/>
        <v>0</v>
      </c>
      <c r="K165" s="2"/>
      <c r="L165" s="2">
        <f t="shared" si="22"/>
        <v>-17.57</v>
      </c>
      <c r="M165" s="2"/>
      <c r="N165" s="6">
        <f t="shared" si="23"/>
        <v>0</v>
      </c>
      <c r="O165" s="14"/>
      <c r="P165" s="2">
        <f>SUM(OSRRefP22_6x_0)</f>
        <v>1989.08</v>
      </c>
      <c r="Q165" s="2"/>
      <c r="R165" s="6">
        <f t="shared" si="24"/>
        <v>2.4809923404581463E-4</v>
      </c>
      <c r="S165" s="2"/>
      <c r="T165" s="2">
        <f>SUM(OSRRefT22_6x_0)</f>
        <v>-15.43</v>
      </c>
      <c r="U165" s="2"/>
      <c r="V165" s="6">
        <f t="shared" si="25"/>
        <v>-2.9603175400437335E-6</v>
      </c>
      <c r="W165" s="2"/>
      <c r="X165" s="2">
        <f t="shared" si="26"/>
        <v>2004.51</v>
      </c>
      <c r="Y165" s="2"/>
      <c r="Z165" s="6">
        <f t="shared" si="27"/>
        <v>-129.90991574854181</v>
      </c>
    </row>
    <row r="166" spans="1:26" s="69" customFormat="1" ht="15" hidden="1" customHeight="1" outlineLevel="2" x14ac:dyDescent="0.25">
      <c r="A166" s="25"/>
      <c r="B166" s="12" t="str">
        <f>CONCATENATE("          ","6382"," - ","DISCOUNTS/MARK DOWNS")</f>
        <v xml:space="preserve">          6382 - DISCOUNTS/MARK DOWNS</v>
      </c>
      <c r="C166" s="12"/>
      <c r="D166" s="7"/>
      <c r="E166" s="3"/>
      <c r="F166" s="8">
        <f t="shared" si="20"/>
        <v>0</v>
      </c>
      <c r="G166" s="3"/>
      <c r="H166" s="7">
        <v>0</v>
      </c>
      <c r="I166" s="3"/>
      <c r="J166" s="8">
        <f t="shared" si="21"/>
        <v>0</v>
      </c>
      <c r="K166" s="3"/>
      <c r="L166" s="7">
        <f t="shared" si="22"/>
        <v>0</v>
      </c>
      <c r="M166" s="3"/>
      <c r="N166" s="8">
        <f t="shared" si="23"/>
        <v>0</v>
      </c>
      <c r="O166" s="12"/>
      <c r="P166" s="7">
        <v>2171.35</v>
      </c>
      <c r="Q166" s="3"/>
      <c r="R166" s="8">
        <f t="shared" si="24"/>
        <v>2.7083388895639168E-4</v>
      </c>
      <c r="S166" s="3"/>
      <c r="T166" s="7">
        <v>0</v>
      </c>
      <c r="U166" s="3"/>
      <c r="V166" s="8">
        <f t="shared" si="25"/>
        <v>0</v>
      </c>
      <c r="W166" s="3"/>
      <c r="X166" s="7">
        <f t="shared" si="26"/>
        <v>2171.35</v>
      </c>
      <c r="Y166" s="3"/>
      <c r="Z166" s="8">
        <f t="shared" si="27"/>
        <v>0</v>
      </c>
    </row>
    <row r="167" spans="1:26" s="69" customFormat="1" ht="15" hidden="1" customHeight="1" outlineLevel="2" x14ac:dyDescent="0.25">
      <c r="A167" s="25"/>
      <c r="B167" s="12" t="str">
        <f>CONCATENATE("          ","9175"," - ","EARNED DISCOUNTS")</f>
        <v xml:space="preserve">          9175 - EARNED DISCOUNTS</v>
      </c>
      <c r="C167" s="12"/>
      <c r="D167" s="7">
        <v>-17.57</v>
      </c>
      <c r="E167" s="3"/>
      <c r="F167" s="8">
        <f t="shared" ref="F167:F198" si="28">IF(D$12=0,0,D167/D$12)</f>
        <v>-1.8610958161824581E-5</v>
      </c>
      <c r="G167" s="3"/>
      <c r="H167" s="7">
        <v>0</v>
      </c>
      <c r="I167" s="3"/>
      <c r="J167" s="8">
        <f t="shared" ref="J167:J198" si="29">IF(H$12=0,0,H167/H$12)</f>
        <v>0</v>
      </c>
      <c r="K167" s="3"/>
      <c r="L167" s="7">
        <f t="shared" ref="L167:L198" si="30">+D167-H167</f>
        <v>-17.57</v>
      </c>
      <c r="M167" s="3"/>
      <c r="N167" s="8">
        <f t="shared" ref="N167:N198" si="31">IF(H167=0,0,L167/H167)</f>
        <v>0</v>
      </c>
      <c r="O167" s="12"/>
      <c r="P167" s="7">
        <v>-182.27</v>
      </c>
      <c r="Q167" s="3"/>
      <c r="R167" s="8">
        <f t="shared" ref="R167:R198" si="32">IF(P$12=0,0,P167/P$12)</f>
        <v>-2.2734654910577066E-5</v>
      </c>
      <c r="S167" s="3"/>
      <c r="T167" s="7">
        <v>-15.43</v>
      </c>
      <c r="U167" s="3"/>
      <c r="V167" s="8">
        <f t="shared" ref="V167:V198" si="33">IF(T$12=0,0,T167/T$12)</f>
        <v>-2.9603175400437335E-6</v>
      </c>
      <c r="W167" s="3"/>
      <c r="X167" s="7">
        <f t="shared" ref="X167:X198" si="34">+P167-T167</f>
        <v>-166.84</v>
      </c>
      <c r="Y167" s="3"/>
      <c r="Z167" s="8">
        <f t="shared" ref="Z167:Z198" si="35">IF(T167=0,0,X167/T167)</f>
        <v>10.812702527543747</v>
      </c>
    </row>
    <row r="168" spans="1:26" s="68" customFormat="1" ht="15" customHeight="1" outlineLevel="1" collapsed="1" x14ac:dyDescent="0.25">
      <c r="A168" s="26"/>
      <c r="B168" s="14" t="str">
        <f>CONCATENATE("     ","Donations                                         ")</f>
        <v xml:space="preserve">     Donations                                         </v>
      </c>
      <c r="C168" s="14"/>
      <c r="D168" s="2">
        <f>SUM(OSRRefD22_7x_0)</f>
        <v>132.07</v>
      </c>
      <c r="E168" s="2"/>
      <c r="F168" s="6">
        <f t="shared" si="28"/>
        <v>1.3989466388344748E-4</v>
      </c>
      <c r="G168" s="2"/>
      <c r="H168" s="2">
        <f>SUM(OSRRefH22_7x_0)</f>
        <v>0</v>
      </c>
      <c r="I168" s="2"/>
      <c r="J168" s="6">
        <f t="shared" si="29"/>
        <v>0</v>
      </c>
      <c r="K168" s="2"/>
      <c r="L168" s="2">
        <f t="shared" si="30"/>
        <v>132.07</v>
      </c>
      <c r="M168" s="2"/>
      <c r="N168" s="6">
        <f t="shared" si="31"/>
        <v>0</v>
      </c>
      <c r="O168" s="14"/>
      <c r="P168" s="2">
        <f>SUM(OSRRefP22_7x_0)</f>
        <v>7438.87</v>
      </c>
      <c r="Q168" s="2"/>
      <c r="R168" s="6">
        <f t="shared" si="32"/>
        <v>9.2785506322842163E-4</v>
      </c>
      <c r="S168" s="2"/>
      <c r="T168" s="2">
        <f>SUM(OSRRefT22_7x_0)</f>
        <v>360.9</v>
      </c>
      <c r="U168" s="2"/>
      <c r="V168" s="6">
        <f t="shared" si="33"/>
        <v>6.9240349980672936E-5</v>
      </c>
      <c r="W168" s="2"/>
      <c r="X168" s="2">
        <f t="shared" si="34"/>
        <v>7077.97</v>
      </c>
      <c r="Y168" s="2"/>
      <c r="Z168" s="6">
        <f t="shared" si="35"/>
        <v>19.611997783319481</v>
      </c>
    </row>
    <row r="169" spans="1:26" s="69" customFormat="1" ht="15" hidden="1" customHeight="1" outlineLevel="2" x14ac:dyDescent="0.25">
      <c r="A169" s="25"/>
      <c r="B169" s="12" t="str">
        <f>CONCATENATE("          ","6399"," - ","DONATION-ON CAMPUS")</f>
        <v xml:space="preserve">          6399 - DONATION-ON CAMPUS</v>
      </c>
      <c r="C169" s="12"/>
      <c r="D169" s="7">
        <v>132.07</v>
      </c>
      <c r="E169" s="3"/>
      <c r="F169" s="8">
        <f t="shared" si="28"/>
        <v>1.3989466388344748E-4</v>
      </c>
      <c r="G169" s="3"/>
      <c r="H169" s="7"/>
      <c r="I169" s="3"/>
      <c r="J169" s="8">
        <f t="shared" si="29"/>
        <v>0</v>
      </c>
      <c r="K169" s="3"/>
      <c r="L169" s="7">
        <f t="shared" si="30"/>
        <v>132.07</v>
      </c>
      <c r="M169" s="3"/>
      <c r="N169" s="8">
        <f t="shared" si="31"/>
        <v>0</v>
      </c>
      <c r="O169" s="12"/>
      <c r="P169" s="7">
        <v>7438.87</v>
      </c>
      <c r="Q169" s="3"/>
      <c r="R169" s="8">
        <f t="shared" si="32"/>
        <v>9.2785506322842163E-4</v>
      </c>
      <c r="S169" s="3"/>
      <c r="T169" s="7">
        <v>360.9</v>
      </c>
      <c r="U169" s="3"/>
      <c r="V169" s="8">
        <f t="shared" si="33"/>
        <v>6.9240349980672936E-5</v>
      </c>
      <c r="W169" s="3"/>
      <c r="X169" s="7">
        <f t="shared" si="34"/>
        <v>7077.97</v>
      </c>
      <c r="Y169" s="3"/>
      <c r="Z169" s="8">
        <f t="shared" si="35"/>
        <v>19.611997783319481</v>
      </c>
    </row>
    <row r="170" spans="1:26" s="68" customFormat="1" ht="15" customHeight="1" outlineLevel="1" collapsed="1" x14ac:dyDescent="0.25">
      <c r="A170" s="26"/>
      <c r="B170" s="14" t="str">
        <f>CONCATENATE("     ","Employees' Appreciation                           ")</f>
        <v xml:space="preserve">     Employees' Appreciation                           </v>
      </c>
      <c r="C170" s="14"/>
      <c r="D170" s="2">
        <f>SUM(OSRRefD22_8x_0)</f>
        <v>37.700000000000003</v>
      </c>
      <c r="E170" s="2"/>
      <c r="F170" s="6">
        <f t="shared" si="28"/>
        <v>3.9933586949390253E-5</v>
      </c>
      <c r="G170" s="2"/>
      <c r="H170" s="2">
        <f>SUM(OSRRefH22_8x_0)</f>
        <v>0</v>
      </c>
      <c r="I170" s="2"/>
      <c r="J170" s="6">
        <f t="shared" si="29"/>
        <v>0</v>
      </c>
      <c r="K170" s="2"/>
      <c r="L170" s="2">
        <f t="shared" si="30"/>
        <v>37.700000000000003</v>
      </c>
      <c r="M170" s="2"/>
      <c r="N170" s="6">
        <f t="shared" si="31"/>
        <v>0</v>
      </c>
      <c r="O170" s="14"/>
      <c r="P170" s="2">
        <f>SUM(OSRRefP22_8x_0)</f>
        <v>4357.58</v>
      </c>
      <c r="Q170" s="2"/>
      <c r="R170" s="6">
        <f t="shared" si="32"/>
        <v>5.4352376993050094E-4</v>
      </c>
      <c r="S170" s="2"/>
      <c r="T170" s="2">
        <f>SUM(OSRRefT22_8x_0)</f>
        <v>186.03</v>
      </c>
      <c r="U170" s="2"/>
      <c r="V170" s="6">
        <f t="shared" si="33"/>
        <v>3.5690724042406724E-5</v>
      </c>
      <c r="W170" s="2"/>
      <c r="X170" s="2">
        <f t="shared" si="34"/>
        <v>4171.55</v>
      </c>
      <c r="Y170" s="2"/>
      <c r="Z170" s="6">
        <f t="shared" si="35"/>
        <v>22.424071386335537</v>
      </c>
    </row>
    <row r="171" spans="1:26" s="69" customFormat="1" ht="15" hidden="1" customHeight="1" outlineLevel="2" x14ac:dyDescent="0.25">
      <c r="A171" s="25"/>
      <c r="B171" s="12" t="str">
        <f>CONCATENATE("          ","6277"," - ","EMPLOYEE APPRECIATION")</f>
        <v xml:space="preserve">          6277 - EMPLOYEE APPRECIATION</v>
      </c>
      <c r="C171" s="12"/>
      <c r="D171" s="7">
        <v>37.700000000000003</v>
      </c>
      <c r="E171" s="3"/>
      <c r="F171" s="8">
        <f t="shared" si="28"/>
        <v>3.9933586949390253E-5</v>
      </c>
      <c r="G171" s="3"/>
      <c r="H171" s="7"/>
      <c r="I171" s="3"/>
      <c r="J171" s="8">
        <f t="shared" si="29"/>
        <v>0</v>
      </c>
      <c r="K171" s="3"/>
      <c r="L171" s="7">
        <f t="shared" si="30"/>
        <v>37.700000000000003</v>
      </c>
      <c r="M171" s="3"/>
      <c r="N171" s="8">
        <f t="shared" si="31"/>
        <v>0</v>
      </c>
      <c r="O171" s="12"/>
      <c r="P171" s="7">
        <v>4357.58</v>
      </c>
      <c r="Q171" s="3"/>
      <c r="R171" s="8">
        <f t="shared" si="32"/>
        <v>5.4352376993050094E-4</v>
      </c>
      <c r="S171" s="3"/>
      <c r="T171" s="7">
        <v>186.03</v>
      </c>
      <c r="U171" s="3"/>
      <c r="V171" s="8">
        <f t="shared" si="33"/>
        <v>3.5690724042406724E-5</v>
      </c>
      <c r="W171" s="3"/>
      <c r="X171" s="7">
        <f t="shared" si="34"/>
        <v>4171.55</v>
      </c>
      <c r="Y171" s="3"/>
      <c r="Z171" s="8">
        <f t="shared" si="35"/>
        <v>22.424071386335537</v>
      </c>
    </row>
    <row r="172" spans="1:26" s="68" customFormat="1" ht="15" customHeight="1" outlineLevel="1" collapsed="1" x14ac:dyDescent="0.25">
      <c r="A172" s="26"/>
      <c r="B172" s="14" t="str">
        <f>CONCATENATE("     ","Equipment Rental                                  ")</f>
        <v xml:space="preserve">     Equipment Rental                                  </v>
      </c>
      <c r="C172" s="14"/>
      <c r="D172" s="2">
        <f>SUM(OSRRefD22_9x_0)</f>
        <v>1712.05</v>
      </c>
      <c r="E172" s="2"/>
      <c r="F172" s="6">
        <f t="shared" si="28"/>
        <v>1.813482693281262E-3</v>
      </c>
      <c r="G172" s="2"/>
      <c r="H172" s="2">
        <f>SUM(OSRRefH22_9x_0)</f>
        <v>1712.05</v>
      </c>
      <c r="I172" s="2"/>
      <c r="J172" s="6">
        <f t="shared" si="29"/>
        <v>3.3783814449870513E-3</v>
      </c>
      <c r="K172" s="2"/>
      <c r="L172" s="2">
        <f t="shared" si="30"/>
        <v>0</v>
      </c>
      <c r="M172" s="2"/>
      <c r="N172" s="6">
        <f t="shared" si="31"/>
        <v>0</v>
      </c>
      <c r="O172" s="14"/>
      <c r="P172" s="2">
        <f>SUM(OSRRefP22_9x_0)</f>
        <v>17540.36</v>
      </c>
      <c r="Q172" s="2"/>
      <c r="R172" s="6">
        <f t="shared" si="32"/>
        <v>2.1878204400465769E-3</v>
      </c>
      <c r="S172" s="2"/>
      <c r="T172" s="2">
        <f>SUM(OSRRefT22_9x_0)</f>
        <v>17163.57</v>
      </c>
      <c r="U172" s="2"/>
      <c r="V172" s="6">
        <f t="shared" si="33"/>
        <v>3.2929110382870007E-3</v>
      </c>
      <c r="W172" s="2"/>
      <c r="X172" s="2">
        <f t="shared" si="34"/>
        <v>376.79000000000087</v>
      </c>
      <c r="Y172" s="2"/>
      <c r="Z172" s="6">
        <f t="shared" si="35"/>
        <v>2.1952892084805251E-2</v>
      </c>
    </row>
    <row r="173" spans="1:26" s="69" customFormat="1" ht="15" hidden="1" customHeight="1" outlineLevel="2" x14ac:dyDescent="0.25">
      <c r="A173" s="25"/>
      <c r="B173" s="12" t="str">
        <f>CONCATENATE("          ","6351"," - ","EQUIPMENT RENTAL")</f>
        <v xml:space="preserve">          6351 - EQUIPMENT RENTAL</v>
      </c>
      <c r="C173" s="12"/>
      <c r="D173" s="7">
        <v>1712.05</v>
      </c>
      <c r="E173" s="3"/>
      <c r="F173" s="8">
        <f t="shared" si="28"/>
        <v>1.813482693281262E-3</v>
      </c>
      <c r="G173" s="3"/>
      <c r="H173" s="7">
        <v>1712.05</v>
      </c>
      <c r="I173" s="3"/>
      <c r="J173" s="8">
        <f t="shared" si="29"/>
        <v>3.3783814449870513E-3</v>
      </c>
      <c r="K173" s="3"/>
      <c r="L173" s="7">
        <f t="shared" si="30"/>
        <v>0</v>
      </c>
      <c r="M173" s="3"/>
      <c r="N173" s="8">
        <f t="shared" si="31"/>
        <v>0</v>
      </c>
      <c r="O173" s="12"/>
      <c r="P173" s="7">
        <v>17540.36</v>
      </c>
      <c r="Q173" s="3"/>
      <c r="R173" s="8">
        <f t="shared" si="32"/>
        <v>2.1878204400465769E-3</v>
      </c>
      <c r="S173" s="3"/>
      <c r="T173" s="7">
        <v>17163.57</v>
      </c>
      <c r="U173" s="3"/>
      <c r="V173" s="8">
        <f t="shared" si="33"/>
        <v>3.2929110382870007E-3</v>
      </c>
      <c r="W173" s="3"/>
      <c r="X173" s="7">
        <f t="shared" si="34"/>
        <v>376.79000000000087</v>
      </c>
      <c r="Y173" s="3"/>
      <c r="Z173" s="8">
        <f t="shared" si="35"/>
        <v>2.1952892084805251E-2</v>
      </c>
    </row>
    <row r="174" spans="1:26" s="68" customFormat="1" ht="15" customHeight="1" outlineLevel="1" collapsed="1" x14ac:dyDescent="0.25">
      <c r="A174" s="26"/>
      <c r="B174" s="14" t="str">
        <f>CONCATENATE("     ","Freight out/Postage                               ")</f>
        <v xml:space="preserve">     Freight out/Postage                               </v>
      </c>
      <c r="C174" s="14"/>
      <c r="D174" s="2">
        <f>SUM(OSRRefD22_10x_0)</f>
        <v>-1240.0600000000004</v>
      </c>
      <c r="E174" s="2"/>
      <c r="F174" s="6">
        <f t="shared" si="28"/>
        <v>-1.313529014123631E-3</v>
      </c>
      <c r="G174" s="2"/>
      <c r="H174" s="2">
        <f>SUM(OSRRefH22_10x_0)</f>
        <v>-20865.219999999998</v>
      </c>
      <c r="I174" s="2"/>
      <c r="J174" s="6">
        <f t="shared" si="29"/>
        <v>-4.1173255508643272E-2</v>
      </c>
      <c r="K174" s="2"/>
      <c r="L174" s="2">
        <f t="shared" si="30"/>
        <v>19625.159999999996</v>
      </c>
      <c r="M174" s="2"/>
      <c r="N174" s="6">
        <f t="shared" si="31"/>
        <v>-0.94056808411317971</v>
      </c>
      <c r="O174" s="14"/>
      <c r="P174" s="2">
        <f>SUM(OSRRefP22_10x_0)</f>
        <v>-45218.649999999994</v>
      </c>
      <c r="Q174" s="2"/>
      <c r="R174" s="6">
        <f t="shared" si="32"/>
        <v>-5.6401514416643747E-3</v>
      </c>
      <c r="S174" s="2"/>
      <c r="T174" s="2">
        <f>SUM(OSRRefT22_10x_0)</f>
        <v>-67606.669999999984</v>
      </c>
      <c r="U174" s="2"/>
      <c r="V174" s="6">
        <f t="shared" si="33"/>
        <v>-1.2970655283535219E-2</v>
      </c>
      <c r="W174" s="2"/>
      <c r="X174" s="2">
        <f t="shared" si="34"/>
        <v>22388.01999999999</v>
      </c>
      <c r="Y174" s="2"/>
      <c r="Z174" s="6">
        <f t="shared" si="35"/>
        <v>-0.33115105358687236</v>
      </c>
    </row>
    <row r="175" spans="1:26" s="69" customFormat="1" ht="15" hidden="1" customHeight="1" outlineLevel="2" x14ac:dyDescent="0.25">
      <c r="A175" s="25"/>
      <c r="B175" s="12" t="str">
        <f>CONCATENATE("          ","6305"," - ","FREIGHT OUT")</f>
        <v xml:space="preserve">          6305 - FREIGHT OUT</v>
      </c>
      <c r="C175" s="12"/>
      <c r="D175" s="7">
        <v>8082.94</v>
      </c>
      <c r="E175" s="3"/>
      <c r="F175" s="8">
        <f t="shared" si="28"/>
        <v>8.5618245967295607E-3</v>
      </c>
      <c r="G175" s="3"/>
      <c r="H175" s="7">
        <v>22482.81</v>
      </c>
      <c r="I175" s="3"/>
      <c r="J175" s="8">
        <f t="shared" si="29"/>
        <v>4.4365239411915149E-2</v>
      </c>
      <c r="K175" s="3"/>
      <c r="L175" s="7">
        <f t="shared" si="30"/>
        <v>-14399.870000000003</v>
      </c>
      <c r="M175" s="3"/>
      <c r="N175" s="8">
        <f t="shared" si="31"/>
        <v>-0.64048355165568727</v>
      </c>
      <c r="O175" s="12"/>
      <c r="P175" s="7">
        <v>134420.12</v>
      </c>
      <c r="Q175" s="3"/>
      <c r="R175" s="8">
        <f t="shared" si="32"/>
        <v>1.6766308450311945E-2</v>
      </c>
      <c r="S175" s="3"/>
      <c r="T175" s="7">
        <v>224663.74</v>
      </c>
      <c r="U175" s="3"/>
      <c r="V175" s="8">
        <f t="shared" si="33"/>
        <v>4.3102787435763117E-2</v>
      </c>
      <c r="W175" s="3"/>
      <c r="X175" s="7">
        <f t="shared" si="34"/>
        <v>-90243.62</v>
      </c>
      <c r="Y175" s="3"/>
      <c r="Z175" s="8">
        <f t="shared" si="35"/>
        <v>-0.40168306643519774</v>
      </c>
    </row>
    <row r="176" spans="1:26" s="69" customFormat="1" ht="15" hidden="1" customHeight="1" outlineLevel="2" x14ac:dyDescent="0.25">
      <c r="A176" s="25"/>
      <c r="B176" s="12" t="str">
        <f>CONCATENATE("          ","6307"," - ","POSTAGE")</f>
        <v xml:space="preserve">          6307 - POSTAGE</v>
      </c>
      <c r="C176" s="12"/>
      <c r="D176" s="7">
        <v>-9323</v>
      </c>
      <c r="E176" s="3"/>
      <c r="F176" s="8">
        <f t="shared" si="28"/>
        <v>-9.8753536108531909E-3</v>
      </c>
      <c r="G176" s="3"/>
      <c r="H176" s="7">
        <v>-43348.03</v>
      </c>
      <c r="I176" s="3"/>
      <c r="J176" s="8">
        <f t="shared" si="29"/>
        <v>-8.5538494920558428E-2</v>
      </c>
      <c r="K176" s="3"/>
      <c r="L176" s="7">
        <f t="shared" si="30"/>
        <v>34025.03</v>
      </c>
      <c r="M176" s="3"/>
      <c r="N176" s="8">
        <f t="shared" si="31"/>
        <v>-0.78492678906054092</v>
      </c>
      <c r="O176" s="12"/>
      <c r="P176" s="7">
        <v>-179638.77</v>
      </c>
      <c r="Q176" s="3"/>
      <c r="R176" s="8">
        <f t="shared" si="32"/>
        <v>-2.2406459891976319E-2</v>
      </c>
      <c r="S176" s="3"/>
      <c r="T176" s="7">
        <v>-292270.40999999997</v>
      </c>
      <c r="U176" s="3"/>
      <c r="V176" s="8">
        <f t="shared" si="33"/>
        <v>-5.6073442719298337E-2</v>
      </c>
      <c r="W176" s="3"/>
      <c r="X176" s="7">
        <f t="shared" si="34"/>
        <v>112631.63999999998</v>
      </c>
      <c r="Y176" s="3"/>
      <c r="Z176" s="8">
        <f t="shared" si="35"/>
        <v>-0.38536792007100545</v>
      </c>
    </row>
    <row r="177" spans="1:26" s="68" customFormat="1" ht="15" customHeight="1" outlineLevel="1" collapsed="1" x14ac:dyDescent="0.25">
      <c r="A177" s="26"/>
      <c r="B177" s="14" t="str">
        <f>CONCATENATE("     ","General                                           ")</f>
        <v xml:space="preserve">     General                                           </v>
      </c>
      <c r="C177" s="14"/>
      <c r="D177" s="2">
        <f>SUM(OSRRefD22_11x_0)</f>
        <v>302.24</v>
      </c>
      <c r="E177" s="2"/>
      <c r="F177" s="6">
        <f t="shared" si="28"/>
        <v>3.2014661325155728E-4</v>
      </c>
      <c r="G177" s="2"/>
      <c r="H177" s="2">
        <f>SUM(OSRRefH22_11x_0)</f>
        <v>-646.37</v>
      </c>
      <c r="I177" s="2"/>
      <c r="J177" s="6">
        <f t="shared" si="29"/>
        <v>-1.2754793461617828E-3</v>
      </c>
      <c r="K177" s="2"/>
      <c r="L177" s="2">
        <f t="shared" si="30"/>
        <v>948.61</v>
      </c>
      <c r="M177" s="2"/>
      <c r="N177" s="6">
        <f t="shared" si="31"/>
        <v>-1.467595958970868</v>
      </c>
      <c r="O177" s="14"/>
      <c r="P177" s="2">
        <f>SUM(OSRRefP22_11x_0)</f>
        <v>10504.21</v>
      </c>
      <c r="Q177" s="2"/>
      <c r="R177" s="6">
        <f t="shared" si="32"/>
        <v>1.3101969027170281E-3</v>
      </c>
      <c r="S177" s="2"/>
      <c r="T177" s="2">
        <f>SUM(OSRRefT22_11x_0)</f>
        <v>5512.12</v>
      </c>
      <c r="U177" s="2"/>
      <c r="V177" s="6">
        <f t="shared" si="33"/>
        <v>1.0575259571500885E-3</v>
      </c>
      <c r="W177" s="2"/>
      <c r="X177" s="2">
        <f t="shared" si="34"/>
        <v>4992.0899999999992</v>
      </c>
      <c r="Y177" s="2"/>
      <c r="Z177" s="6">
        <f t="shared" si="35"/>
        <v>0.90565698859966748</v>
      </c>
    </row>
    <row r="178" spans="1:26" s="69" customFormat="1" ht="15" hidden="1" customHeight="1" outlineLevel="2" x14ac:dyDescent="0.25">
      <c r="A178" s="25"/>
      <c r="B178" s="12" t="str">
        <f>CONCATENATE("          ","6279"," - ","GENERAL EXPENSE")</f>
        <v xml:space="preserve">          6279 - GENERAL EXPENSE</v>
      </c>
      <c r="C178" s="12"/>
      <c r="D178" s="7">
        <v>302.24</v>
      </c>
      <c r="E178" s="3"/>
      <c r="F178" s="8">
        <f t="shared" si="28"/>
        <v>3.2014661325155728E-4</v>
      </c>
      <c r="G178" s="3"/>
      <c r="H178" s="7">
        <v>-646.37</v>
      </c>
      <c r="I178" s="3"/>
      <c r="J178" s="8">
        <f t="shared" si="29"/>
        <v>-1.2754793461617828E-3</v>
      </c>
      <c r="K178" s="3"/>
      <c r="L178" s="7">
        <f t="shared" si="30"/>
        <v>948.61</v>
      </c>
      <c r="M178" s="3"/>
      <c r="N178" s="8">
        <f t="shared" si="31"/>
        <v>-1.467595958970868</v>
      </c>
      <c r="O178" s="12"/>
      <c r="P178" s="7">
        <v>10504.21</v>
      </c>
      <c r="Q178" s="3"/>
      <c r="R178" s="8">
        <f t="shared" si="32"/>
        <v>1.3101969027170281E-3</v>
      </c>
      <c r="S178" s="3"/>
      <c r="T178" s="7">
        <v>5512.12</v>
      </c>
      <c r="U178" s="3"/>
      <c r="V178" s="8">
        <f t="shared" si="33"/>
        <v>1.0575259571500885E-3</v>
      </c>
      <c r="W178" s="3"/>
      <c r="X178" s="7">
        <f t="shared" si="34"/>
        <v>4992.0899999999992</v>
      </c>
      <c r="Y178" s="3"/>
      <c r="Z178" s="8">
        <f t="shared" si="35"/>
        <v>0.90565698859966748</v>
      </c>
    </row>
    <row r="179" spans="1:26" s="68" customFormat="1" ht="15" customHeight="1" outlineLevel="1" collapsed="1" x14ac:dyDescent="0.25">
      <c r="A179" s="26"/>
      <c r="B179" s="14" t="str">
        <f>CONCATENATE("     ","Insurance                                         ")</f>
        <v xml:space="preserve">     Insurance                                         </v>
      </c>
      <c r="C179" s="14"/>
      <c r="D179" s="2">
        <f>SUM(OSRRefD22_12x_0)</f>
        <v>5825.58</v>
      </c>
      <c r="E179" s="2"/>
      <c r="F179" s="6">
        <f t="shared" si="28"/>
        <v>6.1707242827753013E-3</v>
      </c>
      <c r="G179" s="2"/>
      <c r="H179" s="2">
        <f>SUM(OSRRefH22_12x_0)</f>
        <v>4288.28</v>
      </c>
      <c r="I179" s="2"/>
      <c r="J179" s="6">
        <f t="shared" si="29"/>
        <v>8.4620458414818907E-3</v>
      </c>
      <c r="K179" s="2"/>
      <c r="L179" s="2">
        <f t="shared" si="30"/>
        <v>1537.3000000000002</v>
      </c>
      <c r="M179" s="2"/>
      <c r="N179" s="6">
        <f t="shared" si="31"/>
        <v>0.35848871808743837</v>
      </c>
      <c r="O179" s="14"/>
      <c r="P179" s="2">
        <f>SUM(OSRRefP22_12x_0)</f>
        <v>64081.38</v>
      </c>
      <c r="Q179" s="2"/>
      <c r="R179" s="6">
        <f t="shared" si="32"/>
        <v>7.9929119465274312E-3</v>
      </c>
      <c r="S179" s="2"/>
      <c r="T179" s="2">
        <f>SUM(OSRRefT22_12x_0)</f>
        <v>47171.08</v>
      </c>
      <c r="U179" s="2"/>
      <c r="V179" s="6">
        <f t="shared" si="33"/>
        <v>9.0499919317437571E-3</v>
      </c>
      <c r="W179" s="2"/>
      <c r="X179" s="2">
        <f t="shared" si="34"/>
        <v>16910.299999999996</v>
      </c>
      <c r="Y179" s="2"/>
      <c r="Z179" s="6">
        <f t="shared" si="35"/>
        <v>0.35848871808743821</v>
      </c>
    </row>
    <row r="180" spans="1:26" s="69" customFormat="1" ht="15" hidden="1" customHeight="1" outlineLevel="2" x14ac:dyDescent="0.25">
      <c r="A180" s="25"/>
      <c r="B180" s="12" t="str">
        <f>CONCATENATE("          ","6314"," - ","LIABILITY INSURANCE")</f>
        <v xml:space="preserve">          6314 - LIABILITY INSURANCE</v>
      </c>
      <c r="C180" s="12"/>
      <c r="D180" s="7">
        <v>5825.58</v>
      </c>
      <c r="E180" s="3"/>
      <c r="F180" s="8">
        <f t="shared" si="28"/>
        <v>6.1707242827753013E-3</v>
      </c>
      <c r="G180" s="3"/>
      <c r="H180" s="7">
        <v>4288.28</v>
      </c>
      <c r="I180" s="3"/>
      <c r="J180" s="8">
        <f t="shared" si="29"/>
        <v>8.4620458414818907E-3</v>
      </c>
      <c r="K180" s="3"/>
      <c r="L180" s="7">
        <f t="shared" si="30"/>
        <v>1537.3000000000002</v>
      </c>
      <c r="M180" s="3"/>
      <c r="N180" s="8">
        <f t="shared" si="31"/>
        <v>0.35848871808743837</v>
      </c>
      <c r="O180" s="12"/>
      <c r="P180" s="7">
        <v>64081.38</v>
      </c>
      <c r="Q180" s="3"/>
      <c r="R180" s="8">
        <f t="shared" si="32"/>
        <v>7.9929119465274312E-3</v>
      </c>
      <c r="S180" s="3"/>
      <c r="T180" s="7">
        <v>47171.08</v>
      </c>
      <c r="U180" s="3"/>
      <c r="V180" s="8">
        <f t="shared" si="33"/>
        <v>9.0499919317437571E-3</v>
      </c>
      <c r="W180" s="3"/>
      <c r="X180" s="7">
        <f t="shared" si="34"/>
        <v>16910.299999999996</v>
      </c>
      <c r="Y180" s="3"/>
      <c r="Z180" s="8">
        <f t="shared" si="35"/>
        <v>0.35848871808743821</v>
      </c>
    </row>
    <row r="181" spans="1:26" s="68" customFormat="1" ht="15" customHeight="1" outlineLevel="1" collapsed="1" x14ac:dyDescent="0.25">
      <c r="A181" s="26"/>
      <c r="B181" s="14" t="str">
        <f>CONCATENATE("     ","Interest                                          ")</f>
        <v xml:space="preserve">     Interest                                          </v>
      </c>
      <c r="C181" s="14"/>
      <c r="D181" s="2">
        <f>SUM(OSRRefD22_13x_0)</f>
        <v>3905</v>
      </c>
      <c r="E181" s="2"/>
      <c r="F181" s="6">
        <f t="shared" si="28"/>
        <v>4.13635695059334E-3</v>
      </c>
      <c r="G181" s="2"/>
      <c r="H181" s="2">
        <f>SUM(OSRRefH22_13x_0)</f>
        <v>4044</v>
      </c>
      <c r="I181" s="2"/>
      <c r="J181" s="6">
        <f t="shared" si="29"/>
        <v>7.9800090905800848E-3</v>
      </c>
      <c r="K181" s="2"/>
      <c r="L181" s="2">
        <f t="shared" si="30"/>
        <v>-139</v>
      </c>
      <c r="M181" s="2"/>
      <c r="N181" s="6">
        <f t="shared" si="31"/>
        <v>-3.4371909000989118E-2</v>
      </c>
      <c r="O181" s="14"/>
      <c r="P181" s="2">
        <f>SUM(OSRRefP22_13x_0)</f>
        <v>41805</v>
      </c>
      <c r="Q181" s="2"/>
      <c r="R181" s="6">
        <f t="shared" si="32"/>
        <v>5.2143646707449075E-3</v>
      </c>
      <c r="S181" s="2"/>
      <c r="T181" s="2">
        <f>SUM(OSRRefT22_13x_0)</f>
        <v>43390.85</v>
      </c>
      <c r="U181" s="2"/>
      <c r="V181" s="6">
        <f t="shared" si="33"/>
        <v>8.3247371569933008E-3</v>
      </c>
      <c r="W181" s="2"/>
      <c r="X181" s="2">
        <f t="shared" si="34"/>
        <v>-1585.8499999999985</v>
      </c>
      <c r="Y181" s="2"/>
      <c r="Z181" s="6">
        <f t="shared" si="35"/>
        <v>-3.6548027982858104E-2</v>
      </c>
    </row>
    <row r="182" spans="1:26" s="69" customFormat="1" ht="15" hidden="1" customHeight="1" outlineLevel="2" x14ac:dyDescent="0.25">
      <c r="A182" s="25"/>
      <c r="B182" s="12" t="str">
        <f>CONCATENATE("          ","6401"," - ","INTEREST EXPENSE")</f>
        <v xml:space="preserve">          6401 - INTEREST EXPENSE</v>
      </c>
      <c r="C182" s="12"/>
      <c r="D182" s="7">
        <v>3905</v>
      </c>
      <c r="E182" s="3"/>
      <c r="F182" s="8">
        <f t="shared" si="28"/>
        <v>4.13635695059334E-3</v>
      </c>
      <c r="G182" s="3"/>
      <c r="H182" s="7">
        <v>4044</v>
      </c>
      <c r="I182" s="3"/>
      <c r="J182" s="8">
        <f t="shared" si="29"/>
        <v>7.9800090905800848E-3</v>
      </c>
      <c r="K182" s="3"/>
      <c r="L182" s="7">
        <f t="shared" si="30"/>
        <v>-139</v>
      </c>
      <c r="M182" s="3"/>
      <c r="N182" s="8">
        <f t="shared" si="31"/>
        <v>-3.4371909000989118E-2</v>
      </c>
      <c r="O182" s="12"/>
      <c r="P182" s="7">
        <v>41805</v>
      </c>
      <c r="Q182" s="3"/>
      <c r="R182" s="8">
        <f t="shared" si="32"/>
        <v>5.2143646707449075E-3</v>
      </c>
      <c r="S182" s="3"/>
      <c r="T182" s="7">
        <v>43390.85</v>
      </c>
      <c r="U182" s="3"/>
      <c r="V182" s="8">
        <f t="shared" si="33"/>
        <v>8.3247371569933008E-3</v>
      </c>
      <c r="W182" s="3"/>
      <c r="X182" s="7">
        <f t="shared" si="34"/>
        <v>-1585.8499999999985</v>
      </c>
      <c r="Y182" s="3"/>
      <c r="Z182" s="8">
        <f t="shared" si="35"/>
        <v>-3.6548027982858104E-2</v>
      </c>
    </row>
    <row r="183" spans="1:26" s="68" customFormat="1" ht="15" customHeight="1" outlineLevel="1" collapsed="1" x14ac:dyDescent="0.25">
      <c r="A183" s="26"/>
      <c r="B183" s="14" t="str">
        <f>CONCATENATE("     ","Inventory Adjustment                              ")</f>
        <v xml:space="preserve">     Inventory Adjustment                              </v>
      </c>
      <c r="C183" s="14"/>
      <c r="D183" s="2">
        <f>SUM(OSRRefD22_14x_0)</f>
        <v>5100</v>
      </c>
      <c r="E183" s="2"/>
      <c r="F183" s="6">
        <f t="shared" si="28"/>
        <v>5.4021563247185749E-3</v>
      </c>
      <c r="G183" s="2"/>
      <c r="H183" s="2">
        <f>SUM(OSRRefH22_14x_0)</f>
        <v>2100</v>
      </c>
      <c r="I183" s="2"/>
      <c r="J183" s="6">
        <f t="shared" si="29"/>
        <v>4.1439216345742283E-3</v>
      </c>
      <c r="K183" s="2"/>
      <c r="L183" s="2">
        <f t="shared" si="30"/>
        <v>3000</v>
      </c>
      <c r="M183" s="2"/>
      <c r="N183" s="6">
        <f t="shared" si="31"/>
        <v>1.4285714285714286</v>
      </c>
      <c r="O183" s="14"/>
      <c r="P183" s="2">
        <f>SUM(OSRRefP22_14x_0)</f>
        <v>60100</v>
      </c>
      <c r="Q183" s="2"/>
      <c r="R183" s="6">
        <f t="shared" si="32"/>
        <v>7.4963118457545492E-3</v>
      </c>
      <c r="S183" s="2"/>
      <c r="T183" s="2">
        <f>SUM(OSRRefT22_14x_0)</f>
        <v>28100</v>
      </c>
      <c r="U183" s="2"/>
      <c r="V183" s="6">
        <f t="shared" si="33"/>
        <v>5.3911161941172332E-3</v>
      </c>
      <c r="W183" s="2"/>
      <c r="X183" s="2">
        <f t="shared" si="34"/>
        <v>32000</v>
      </c>
      <c r="Y183" s="2"/>
      <c r="Z183" s="6">
        <f t="shared" si="35"/>
        <v>1.1387900355871887</v>
      </c>
    </row>
    <row r="184" spans="1:26" s="69" customFormat="1" ht="15" hidden="1" customHeight="1" outlineLevel="2" x14ac:dyDescent="0.25">
      <c r="A184" s="25"/>
      <c r="B184" s="12" t="str">
        <f>CONCATENATE("          ","6408"," - ","INVENTORY ADJUSTMENT")</f>
        <v xml:space="preserve">          6408 - INVENTORY ADJUSTMENT</v>
      </c>
      <c r="C184" s="12"/>
      <c r="D184" s="7">
        <v>5100</v>
      </c>
      <c r="E184" s="3"/>
      <c r="F184" s="8">
        <f t="shared" si="28"/>
        <v>5.4021563247185749E-3</v>
      </c>
      <c r="G184" s="3"/>
      <c r="H184" s="7">
        <v>2100</v>
      </c>
      <c r="I184" s="3"/>
      <c r="J184" s="8">
        <f t="shared" si="29"/>
        <v>4.1439216345742283E-3</v>
      </c>
      <c r="K184" s="3"/>
      <c r="L184" s="7">
        <f t="shared" si="30"/>
        <v>3000</v>
      </c>
      <c r="M184" s="3"/>
      <c r="N184" s="8">
        <f t="shared" si="31"/>
        <v>1.4285714285714286</v>
      </c>
      <c r="O184" s="12"/>
      <c r="P184" s="7">
        <v>60100</v>
      </c>
      <c r="Q184" s="3"/>
      <c r="R184" s="8">
        <f t="shared" si="32"/>
        <v>7.4963118457545492E-3</v>
      </c>
      <c r="S184" s="3"/>
      <c r="T184" s="7">
        <v>28100</v>
      </c>
      <c r="U184" s="3"/>
      <c r="V184" s="8">
        <f t="shared" si="33"/>
        <v>5.3911161941172332E-3</v>
      </c>
      <c r="W184" s="3"/>
      <c r="X184" s="7">
        <f t="shared" si="34"/>
        <v>32000</v>
      </c>
      <c r="Y184" s="3"/>
      <c r="Z184" s="8">
        <f t="shared" si="35"/>
        <v>1.1387900355871887</v>
      </c>
    </row>
    <row r="185" spans="1:26" s="69" customFormat="1" ht="15" hidden="1" customHeight="1" outlineLevel="2" x14ac:dyDescent="0.25">
      <c r="A185" s="25"/>
      <c r="B185" s="12" t="str">
        <f>CONCATENATE("          ","7741"," - ","INV. SHRINKAGE-LOGO GIFTS")</f>
        <v xml:space="preserve">          7741 - INV. SHRINKAGE-LOGO GIFTS</v>
      </c>
      <c r="C185" s="12"/>
      <c r="D185" s="7"/>
      <c r="E185" s="3"/>
      <c r="F185" s="8">
        <f t="shared" si="28"/>
        <v>0</v>
      </c>
      <c r="G185" s="3"/>
      <c r="H185" s="7"/>
      <c r="I185" s="3"/>
      <c r="J185" s="8">
        <f t="shared" si="29"/>
        <v>0</v>
      </c>
      <c r="K185" s="3"/>
      <c r="L185" s="7">
        <f t="shared" si="30"/>
        <v>0</v>
      </c>
      <c r="M185" s="3"/>
      <c r="N185" s="8">
        <f t="shared" si="31"/>
        <v>0</v>
      </c>
      <c r="O185" s="12"/>
      <c r="P185" s="7"/>
      <c r="Q185" s="3"/>
      <c r="R185" s="8">
        <f t="shared" si="32"/>
        <v>0</v>
      </c>
      <c r="S185" s="3"/>
      <c r="T185" s="7">
        <v>0</v>
      </c>
      <c r="U185" s="3"/>
      <c r="V185" s="8">
        <f t="shared" si="33"/>
        <v>0</v>
      </c>
      <c r="W185" s="3"/>
      <c r="X185" s="7">
        <f t="shared" si="34"/>
        <v>0</v>
      </c>
      <c r="Y185" s="3"/>
      <c r="Z185" s="8">
        <f t="shared" si="35"/>
        <v>0</v>
      </c>
    </row>
    <row r="186" spans="1:26" s="68" customFormat="1" ht="15" customHeight="1" outlineLevel="1" collapsed="1" x14ac:dyDescent="0.25">
      <c r="A186" s="26"/>
      <c r="B186" s="14" t="str">
        <f>CONCATENATE("     ","Professional Services                             ")</f>
        <v xml:space="preserve">     Professional Services                             </v>
      </c>
      <c r="C186" s="14"/>
      <c r="D186" s="2">
        <f>SUM(OSRRefD22_15x_0)</f>
        <v>0</v>
      </c>
      <c r="E186" s="2"/>
      <c r="F186" s="6">
        <f t="shared" si="28"/>
        <v>0</v>
      </c>
      <c r="G186" s="2"/>
      <c r="H186" s="2">
        <f>SUM(OSRRefH22_15x_0)</f>
        <v>0</v>
      </c>
      <c r="I186" s="2"/>
      <c r="J186" s="6">
        <f t="shared" si="29"/>
        <v>0</v>
      </c>
      <c r="K186" s="2"/>
      <c r="L186" s="2">
        <f t="shared" si="30"/>
        <v>0</v>
      </c>
      <c r="M186" s="2"/>
      <c r="N186" s="6">
        <f t="shared" si="31"/>
        <v>0</v>
      </c>
      <c r="O186" s="14"/>
      <c r="P186" s="2">
        <f>SUM(OSRRefP22_15x_0)</f>
        <v>9626.5300000000007</v>
      </c>
      <c r="Q186" s="2"/>
      <c r="R186" s="6">
        <f t="shared" si="32"/>
        <v>1.2007233090268144E-3</v>
      </c>
      <c r="S186" s="2"/>
      <c r="T186" s="2">
        <f>SUM(OSRRefT22_15x_0)</f>
        <v>0</v>
      </c>
      <c r="U186" s="2"/>
      <c r="V186" s="6">
        <f t="shared" si="33"/>
        <v>0</v>
      </c>
      <c r="W186" s="2"/>
      <c r="X186" s="2">
        <f t="shared" si="34"/>
        <v>9626.5300000000007</v>
      </c>
      <c r="Y186" s="2"/>
      <c r="Z186" s="6">
        <f t="shared" si="35"/>
        <v>0</v>
      </c>
    </row>
    <row r="187" spans="1:26" s="69" customFormat="1" ht="15" hidden="1" customHeight="1" outlineLevel="2" x14ac:dyDescent="0.25">
      <c r="A187" s="25"/>
      <c r="B187" s="12" t="str">
        <f>CONCATENATE("          ","6336"," - ","PROFESSIONAL SERVICES")</f>
        <v xml:space="preserve">          6336 - PROFESSIONAL SERVICES</v>
      </c>
      <c r="C187" s="12"/>
      <c r="D187" s="7"/>
      <c r="E187" s="3"/>
      <c r="F187" s="8">
        <f t="shared" si="28"/>
        <v>0</v>
      </c>
      <c r="G187" s="3"/>
      <c r="H187" s="7"/>
      <c r="I187" s="3"/>
      <c r="J187" s="8">
        <f t="shared" si="29"/>
        <v>0</v>
      </c>
      <c r="K187" s="3"/>
      <c r="L187" s="7">
        <f t="shared" si="30"/>
        <v>0</v>
      </c>
      <c r="M187" s="3"/>
      <c r="N187" s="8">
        <f t="shared" si="31"/>
        <v>0</v>
      </c>
      <c r="O187" s="12"/>
      <c r="P187" s="7">
        <v>9626.5300000000007</v>
      </c>
      <c r="Q187" s="3"/>
      <c r="R187" s="8">
        <f t="shared" si="32"/>
        <v>1.2007233090268144E-3</v>
      </c>
      <c r="S187" s="3"/>
      <c r="T187" s="7"/>
      <c r="U187" s="3"/>
      <c r="V187" s="8">
        <f t="shared" si="33"/>
        <v>0</v>
      </c>
      <c r="W187" s="3"/>
      <c r="X187" s="7">
        <f t="shared" si="34"/>
        <v>9626.5300000000007</v>
      </c>
      <c r="Y187" s="3"/>
      <c r="Z187" s="8">
        <f t="shared" si="35"/>
        <v>0</v>
      </c>
    </row>
    <row r="188" spans="1:26" s="68" customFormat="1" ht="15" customHeight="1" outlineLevel="1" collapsed="1" x14ac:dyDescent="0.25">
      <c r="A188" s="26"/>
      <c r="B188" s="14" t="str">
        <f>CONCATENATE("     ","Rent                                              ")</f>
        <v xml:space="preserve">     Rent                                              </v>
      </c>
      <c r="C188" s="14"/>
      <c r="D188" s="2">
        <f>SUM(OSRRefD22_16x_0)</f>
        <v>6100</v>
      </c>
      <c r="E188" s="2"/>
      <c r="F188" s="6">
        <f t="shared" si="28"/>
        <v>6.461402662898688E-3</v>
      </c>
      <c r="G188" s="2"/>
      <c r="H188" s="2">
        <f>SUM(OSRRefH22_16x_0)</f>
        <v>6100</v>
      </c>
      <c r="I188" s="2"/>
      <c r="J188" s="6">
        <f t="shared" si="29"/>
        <v>1.2037105700429901E-2</v>
      </c>
      <c r="K188" s="2"/>
      <c r="L188" s="2">
        <f t="shared" si="30"/>
        <v>0</v>
      </c>
      <c r="M188" s="2"/>
      <c r="N188" s="6">
        <f t="shared" si="31"/>
        <v>0</v>
      </c>
      <c r="O188" s="14"/>
      <c r="P188" s="2">
        <f>SUM(OSRRefP22_16x_0)</f>
        <v>67100</v>
      </c>
      <c r="Q188" s="2"/>
      <c r="R188" s="6">
        <f t="shared" si="32"/>
        <v>8.3694263702184732E-3</v>
      </c>
      <c r="S188" s="2"/>
      <c r="T188" s="2">
        <f>SUM(OSRRefT22_16x_0)</f>
        <v>67100</v>
      </c>
      <c r="U188" s="2"/>
      <c r="V188" s="6">
        <f t="shared" si="33"/>
        <v>1.287344827847923E-2</v>
      </c>
      <c r="W188" s="2"/>
      <c r="X188" s="2">
        <f t="shared" si="34"/>
        <v>0</v>
      </c>
      <c r="Y188" s="2"/>
      <c r="Z188" s="6">
        <f t="shared" si="35"/>
        <v>0</v>
      </c>
    </row>
    <row r="189" spans="1:26" s="69" customFormat="1" ht="15" hidden="1" customHeight="1" outlineLevel="2" x14ac:dyDescent="0.25">
      <c r="A189" s="25"/>
      <c r="B189" s="12" t="str">
        <f>CONCATENATE("          ","6273"," - ","RENT")</f>
        <v xml:space="preserve">          6273 - RENT</v>
      </c>
      <c r="C189" s="12"/>
      <c r="D189" s="7">
        <v>6100</v>
      </c>
      <c r="E189" s="3"/>
      <c r="F189" s="8">
        <f t="shared" si="28"/>
        <v>6.461402662898688E-3</v>
      </c>
      <c r="G189" s="3"/>
      <c r="H189" s="7">
        <v>6100</v>
      </c>
      <c r="I189" s="3"/>
      <c r="J189" s="8">
        <f t="shared" si="29"/>
        <v>1.2037105700429901E-2</v>
      </c>
      <c r="K189" s="3"/>
      <c r="L189" s="7">
        <f t="shared" si="30"/>
        <v>0</v>
      </c>
      <c r="M189" s="3"/>
      <c r="N189" s="8">
        <f t="shared" si="31"/>
        <v>0</v>
      </c>
      <c r="O189" s="12"/>
      <c r="P189" s="7">
        <v>67100</v>
      </c>
      <c r="Q189" s="3"/>
      <c r="R189" s="8">
        <f t="shared" si="32"/>
        <v>8.3694263702184732E-3</v>
      </c>
      <c r="S189" s="3"/>
      <c r="T189" s="7">
        <v>67100</v>
      </c>
      <c r="U189" s="3"/>
      <c r="V189" s="8">
        <f t="shared" si="33"/>
        <v>1.287344827847923E-2</v>
      </c>
      <c r="W189" s="3"/>
      <c r="X189" s="7">
        <f t="shared" si="34"/>
        <v>0</v>
      </c>
      <c r="Y189" s="3"/>
      <c r="Z189" s="8">
        <f t="shared" si="35"/>
        <v>0</v>
      </c>
    </row>
    <row r="190" spans="1:26" s="68" customFormat="1" ht="15" customHeight="1" outlineLevel="1" collapsed="1" x14ac:dyDescent="0.25">
      <c r="A190" s="26"/>
      <c r="B190" s="14" t="str">
        <f>CONCATENATE("     ","Repair and Maintenance                            ")</f>
        <v xml:space="preserve">     Repair and Maintenance                            </v>
      </c>
      <c r="C190" s="14"/>
      <c r="D190" s="2">
        <f>SUM(OSRRefD22_17x_0)</f>
        <v>6027.8899999999994</v>
      </c>
      <c r="E190" s="2"/>
      <c r="F190" s="6">
        <f t="shared" si="28"/>
        <v>6.3850204094525187E-3</v>
      </c>
      <c r="G190" s="2"/>
      <c r="H190" s="2">
        <f>SUM(OSRRefH22_17x_0)</f>
        <v>9444.35</v>
      </c>
      <c r="I190" s="2"/>
      <c r="J190" s="6">
        <f t="shared" si="29"/>
        <v>1.8636498233091006E-2</v>
      </c>
      <c r="K190" s="2"/>
      <c r="L190" s="2">
        <f t="shared" si="30"/>
        <v>-3416.4600000000009</v>
      </c>
      <c r="M190" s="2"/>
      <c r="N190" s="6">
        <f t="shared" si="31"/>
        <v>-0.36174644099382181</v>
      </c>
      <c r="O190" s="14"/>
      <c r="P190" s="2">
        <f>SUM(OSRRefP22_17x_0)</f>
        <v>149696.74</v>
      </c>
      <c r="Q190" s="2"/>
      <c r="R190" s="6">
        <f t="shared" si="32"/>
        <v>1.867177113698567E-2</v>
      </c>
      <c r="S190" s="2"/>
      <c r="T190" s="2">
        <f>SUM(OSRRefT22_17x_0)</f>
        <v>145186.34</v>
      </c>
      <c r="U190" s="2"/>
      <c r="V190" s="6">
        <f t="shared" si="33"/>
        <v>2.7854677179309985E-2</v>
      </c>
      <c r="W190" s="2"/>
      <c r="X190" s="2">
        <f t="shared" si="34"/>
        <v>4510.3999999999942</v>
      </c>
      <c r="Y190" s="2"/>
      <c r="Z190" s="6">
        <f t="shared" si="35"/>
        <v>3.1066283508489809E-2</v>
      </c>
    </row>
    <row r="191" spans="1:26" s="69" customFormat="1" ht="15" hidden="1" customHeight="1" outlineLevel="2" x14ac:dyDescent="0.25">
      <c r="A191" s="25"/>
      <c r="B191" s="12" t="str">
        <f>CONCATENATE("          ","6371"," - ","COMPUTER SOFTWARE MAINTENANCE")</f>
        <v xml:space="preserve">          6371 - COMPUTER SOFTWARE MAINTENANCE</v>
      </c>
      <c r="C191" s="12"/>
      <c r="D191" s="7"/>
      <c r="E191" s="3"/>
      <c r="F191" s="8">
        <f t="shared" si="28"/>
        <v>0</v>
      </c>
      <c r="G191" s="3"/>
      <c r="H191" s="7"/>
      <c r="I191" s="3"/>
      <c r="J191" s="8">
        <f t="shared" si="29"/>
        <v>0</v>
      </c>
      <c r="K191" s="3"/>
      <c r="L191" s="7">
        <f t="shared" si="30"/>
        <v>0</v>
      </c>
      <c r="M191" s="3"/>
      <c r="N191" s="8">
        <f t="shared" si="31"/>
        <v>0</v>
      </c>
      <c r="O191" s="12"/>
      <c r="P191" s="7">
        <v>62511</v>
      </c>
      <c r="Q191" s="3"/>
      <c r="R191" s="8">
        <f t="shared" si="32"/>
        <v>7.7970374341091954E-3</v>
      </c>
      <c r="S191" s="3"/>
      <c r="T191" s="7">
        <v>59767.72</v>
      </c>
      <c r="U191" s="3"/>
      <c r="V191" s="8">
        <f t="shared" si="33"/>
        <v>1.1466716127311902E-2</v>
      </c>
      <c r="W191" s="3"/>
      <c r="X191" s="7">
        <f t="shared" si="34"/>
        <v>2743.2799999999988</v>
      </c>
      <c r="Y191" s="3"/>
      <c r="Z191" s="8">
        <f t="shared" si="35"/>
        <v>4.5899023753959475E-2</v>
      </c>
    </row>
    <row r="192" spans="1:26" s="69" customFormat="1" ht="15" hidden="1" customHeight="1" outlineLevel="2" x14ac:dyDescent="0.25">
      <c r="A192" s="25"/>
      <c r="B192" s="12" t="str">
        <f>CONCATENATE("          ","6372"," - ","COMPUTER HARDWARE MAINTENANCE")</f>
        <v xml:space="preserve">          6372 - COMPUTER HARDWARE MAINTENANCE</v>
      </c>
      <c r="C192" s="12"/>
      <c r="D192" s="7"/>
      <c r="E192" s="3"/>
      <c r="F192" s="8">
        <f t="shared" si="28"/>
        <v>0</v>
      </c>
      <c r="G192" s="3"/>
      <c r="H192" s="7"/>
      <c r="I192" s="3"/>
      <c r="J192" s="8">
        <f t="shared" si="29"/>
        <v>0</v>
      </c>
      <c r="K192" s="3"/>
      <c r="L192" s="7">
        <f t="shared" si="30"/>
        <v>0</v>
      </c>
      <c r="M192" s="3"/>
      <c r="N192" s="8">
        <f t="shared" si="31"/>
        <v>0</v>
      </c>
      <c r="O192" s="12"/>
      <c r="P192" s="7"/>
      <c r="Q192" s="3"/>
      <c r="R192" s="8">
        <f t="shared" si="32"/>
        <v>0</v>
      </c>
      <c r="S192" s="3"/>
      <c r="T192" s="7">
        <v>-1.1499999999999999</v>
      </c>
      <c r="U192" s="3"/>
      <c r="V192" s="8">
        <f t="shared" si="33"/>
        <v>-2.2063286915426399E-7</v>
      </c>
      <c r="W192" s="3"/>
      <c r="X192" s="7">
        <f t="shared" si="34"/>
        <v>1.1499999999999999</v>
      </c>
      <c r="Y192" s="3"/>
      <c r="Z192" s="8">
        <f t="shared" si="35"/>
        <v>-1</v>
      </c>
    </row>
    <row r="193" spans="1:26" s="69" customFormat="1" ht="15" hidden="1" customHeight="1" outlineLevel="2" x14ac:dyDescent="0.25">
      <c r="A193" s="25"/>
      <c r="B193" s="12" t="str">
        <f>CONCATENATE("          ","6373"," - ","MAINTENANCE CONTRACTS")</f>
        <v xml:space="preserve">          6373 - MAINTENANCE CONTRACTS</v>
      </c>
      <c r="C193" s="12"/>
      <c r="D193" s="7">
        <v>2032.98</v>
      </c>
      <c r="E193" s="3"/>
      <c r="F193" s="8">
        <f t="shared" si="28"/>
        <v>2.1534266205934056E-3</v>
      </c>
      <c r="G193" s="3"/>
      <c r="H193" s="7">
        <v>3187.44</v>
      </c>
      <c r="I193" s="3"/>
      <c r="J193" s="8">
        <f t="shared" si="29"/>
        <v>6.2897626547177522E-3</v>
      </c>
      <c r="K193" s="3"/>
      <c r="L193" s="7">
        <f t="shared" si="30"/>
        <v>-1154.46</v>
      </c>
      <c r="M193" s="3"/>
      <c r="N193" s="8">
        <f t="shared" si="31"/>
        <v>-0.36219034711241627</v>
      </c>
      <c r="O193" s="12"/>
      <c r="P193" s="7">
        <v>25433.88</v>
      </c>
      <c r="Q193" s="3"/>
      <c r="R193" s="8">
        <f t="shared" si="32"/>
        <v>3.1723842916389303E-3</v>
      </c>
      <c r="S193" s="3"/>
      <c r="T193" s="7">
        <v>50564.07</v>
      </c>
      <c r="U193" s="3"/>
      <c r="V193" s="8">
        <f t="shared" si="33"/>
        <v>9.7009529045365608E-3</v>
      </c>
      <c r="W193" s="3"/>
      <c r="X193" s="7">
        <f t="shared" si="34"/>
        <v>-25130.19</v>
      </c>
      <c r="Y193" s="3"/>
      <c r="Z193" s="8">
        <f t="shared" si="35"/>
        <v>-0.49699697828912898</v>
      </c>
    </row>
    <row r="194" spans="1:26" s="69" customFormat="1" ht="15" hidden="1" customHeight="1" outlineLevel="2" x14ac:dyDescent="0.25">
      <c r="A194" s="25"/>
      <c r="B194" s="12" t="str">
        <f>CONCATENATE("          ","6375"," - ","OUTSIDE REPAIRS &amp; MAINTENANCE")</f>
        <v xml:space="preserve">          6375 - OUTSIDE REPAIRS &amp; MAINTENANCE</v>
      </c>
      <c r="C194" s="12"/>
      <c r="D194" s="7">
        <v>3994.91</v>
      </c>
      <c r="E194" s="3"/>
      <c r="F194" s="8">
        <f t="shared" si="28"/>
        <v>4.231593788859114E-3</v>
      </c>
      <c r="G194" s="3"/>
      <c r="H194" s="7">
        <v>6256.91</v>
      </c>
      <c r="I194" s="3"/>
      <c r="J194" s="8">
        <f t="shared" si="29"/>
        <v>1.2346735578373255E-2</v>
      </c>
      <c r="K194" s="3"/>
      <c r="L194" s="7">
        <f t="shared" si="30"/>
        <v>-2262</v>
      </c>
      <c r="M194" s="3"/>
      <c r="N194" s="8">
        <f t="shared" si="31"/>
        <v>-0.36152030315283423</v>
      </c>
      <c r="O194" s="12"/>
      <c r="P194" s="7">
        <v>61751.86</v>
      </c>
      <c r="Q194" s="3"/>
      <c r="R194" s="8">
        <f t="shared" si="32"/>
        <v>7.7023494112375464E-3</v>
      </c>
      <c r="S194" s="3"/>
      <c r="T194" s="7">
        <v>34855.699999999997</v>
      </c>
      <c r="U194" s="3"/>
      <c r="V194" s="8">
        <f t="shared" si="33"/>
        <v>6.6872287803306776E-3</v>
      </c>
      <c r="W194" s="3"/>
      <c r="X194" s="7">
        <f t="shared" si="34"/>
        <v>26896.160000000003</v>
      </c>
      <c r="Y194" s="3"/>
      <c r="Z194" s="8">
        <f t="shared" si="35"/>
        <v>0.77164308850489316</v>
      </c>
    </row>
    <row r="195" spans="1:26" s="68" customFormat="1" ht="15" customHeight="1" outlineLevel="1" collapsed="1" x14ac:dyDescent="0.25">
      <c r="A195" s="26"/>
      <c r="B195" s="14" t="str">
        <f>CONCATENATE("     ","Royalty &amp; Commissions                             ")</f>
        <v xml:space="preserve">     Royalty &amp; Commissions                             </v>
      </c>
      <c r="C195" s="14"/>
      <c r="D195" s="2">
        <f>SUM(OSRRefD22_18x_0)</f>
        <v>3844.9400000000005</v>
      </c>
      <c r="E195" s="2"/>
      <c r="F195" s="6">
        <f t="shared" si="28"/>
        <v>4.0727386155222428E-3</v>
      </c>
      <c r="G195" s="2"/>
      <c r="H195" s="2">
        <f>SUM(OSRRefH22_18x_0)</f>
        <v>393.98</v>
      </c>
      <c r="I195" s="2"/>
      <c r="J195" s="6">
        <f t="shared" si="29"/>
        <v>7.7743916456645453E-4</v>
      </c>
      <c r="K195" s="2"/>
      <c r="L195" s="2">
        <f t="shared" si="30"/>
        <v>3450.9600000000005</v>
      </c>
      <c r="M195" s="2"/>
      <c r="N195" s="6">
        <f t="shared" si="31"/>
        <v>8.7592263566678525</v>
      </c>
      <c r="O195" s="14"/>
      <c r="P195" s="2">
        <f>SUM(OSRRefP22_18x_0)</f>
        <v>89834.979999999981</v>
      </c>
      <c r="Q195" s="2"/>
      <c r="R195" s="6">
        <f t="shared" si="32"/>
        <v>1.1205175120418017E-2</v>
      </c>
      <c r="S195" s="2"/>
      <c r="T195" s="2">
        <f>SUM(OSRRefT22_18x_0)</f>
        <v>48972.63</v>
      </c>
      <c r="U195" s="2"/>
      <c r="V195" s="6">
        <f t="shared" si="33"/>
        <v>9.3956277103740722E-3</v>
      </c>
      <c r="W195" s="2"/>
      <c r="X195" s="2">
        <f t="shared" si="34"/>
        <v>40862.349999999984</v>
      </c>
      <c r="Y195" s="2"/>
      <c r="Z195" s="6">
        <f t="shared" si="35"/>
        <v>0.8343915774995132</v>
      </c>
    </row>
    <row r="196" spans="1:26" s="69" customFormat="1" ht="15" hidden="1" customHeight="1" outlineLevel="2" x14ac:dyDescent="0.25">
      <c r="A196" s="25"/>
      <c r="B196" s="12" t="str">
        <f>CONCATENATE("          ","6253"," - ","ROYALTY DUE ATHLETICS-LRG")</f>
        <v xml:space="preserve">          6253 - ROYALTY DUE ATHLETICS-LRG</v>
      </c>
      <c r="C196" s="12"/>
      <c r="D196" s="7">
        <v>-3708.97</v>
      </c>
      <c r="E196" s="3"/>
      <c r="F196" s="8">
        <f t="shared" si="28"/>
        <v>-3.9287128909198926E-3</v>
      </c>
      <c r="G196" s="3"/>
      <c r="H196" s="7"/>
      <c r="I196" s="3"/>
      <c r="J196" s="8">
        <f t="shared" si="29"/>
        <v>0</v>
      </c>
      <c r="K196" s="3"/>
      <c r="L196" s="7">
        <f t="shared" si="30"/>
        <v>-3708.97</v>
      </c>
      <c r="M196" s="3"/>
      <c r="N196" s="8">
        <f t="shared" si="31"/>
        <v>0</v>
      </c>
      <c r="O196" s="12"/>
      <c r="P196" s="7">
        <v>51456.52</v>
      </c>
      <c r="Q196" s="3"/>
      <c r="R196" s="8">
        <f t="shared" si="32"/>
        <v>6.418204998624057E-3</v>
      </c>
      <c r="S196" s="3"/>
      <c r="T196" s="7">
        <v>35159.06</v>
      </c>
      <c r="U196" s="3"/>
      <c r="V196" s="8">
        <f t="shared" si="33"/>
        <v>6.7454298126668841E-3</v>
      </c>
      <c r="W196" s="3"/>
      <c r="X196" s="7">
        <f t="shared" si="34"/>
        <v>16297.46</v>
      </c>
      <c r="Y196" s="3"/>
      <c r="Z196" s="8">
        <f t="shared" si="35"/>
        <v>0.46353514570639831</v>
      </c>
    </row>
    <row r="197" spans="1:26" s="69" customFormat="1" ht="15" hidden="1" customHeight="1" outlineLevel="2" x14ac:dyDescent="0.25">
      <c r="A197" s="25"/>
      <c r="B197" s="12" t="str">
        <f>CONCATENATE("          ","6254"," - ","ROYALTY &amp; COMMISSIONS")</f>
        <v xml:space="preserve">          6254 - ROYALTY &amp; COMMISSIONS</v>
      </c>
      <c r="C197" s="12"/>
      <c r="D197" s="7">
        <v>6293.1</v>
      </c>
      <c r="E197" s="3"/>
      <c r="F197" s="8">
        <f t="shared" si="28"/>
        <v>6.6659431308012679E-3</v>
      </c>
      <c r="G197" s="3"/>
      <c r="H197" s="7"/>
      <c r="I197" s="3"/>
      <c r="J197" s="8">
        <f t="shared" si="29"/>
        <v>0</v>
      </c>
      <c r="K197" s="3"/>
      <c r="L197" s="7">
        <f t="shared" si="30"/>
        <v>6293.1</v>
      </c>
      <c r="M197" s="3"/>
      <c r="N197" s="8">
        <f t="shared" si="31"/>
        <v>0</v>
      </c>
      <c r="O197" s="12"/>
      <c r="P197" s="7">
        <v>25067</v>
      </c>
      <c r="Q197" s="3"/>
      <c r="R197" s="8">
        <f t="shared" si="32"/>
        <v>3.1266231121053127E-3</v>
      </c>
      <c r="S197" s="3"/>
      <c r="T197" s="7">
        <v>185.7</v>
      </c>
      <c r="U197" s="3"/>
      <c r="V197" s="8">
        <f t="shared" si="33"/>
        <v>3.562741200169289E-5</v>
      </c>
      <c r="W197" s="3"/>
      <c r="X197" s="7">
        <f t="shared" si="34"/>
        <v>24881.3</v>
      </c>
      <c r="Y197" s="3"/>
      <c r="Z197" s="8">
        <f t="shared" si="35"/>
        <v>133.98653742595585</v>
      </c>
    </row>
    <row r="198" spans="1:26" s="69" customFormat="1" ht="15" hidden="1" customHeight="1" outlineLevel="2" x14ac:dyDescent="0.25">
      <c r="A198" s="25"/>
      <c r="B198" s="12" t="str">
        <f>CONCATENATE("          ","6259"," - ","ROYALTY &amp; COMMISSIONS")</f>
        <v xml:space="preserve">          6259 - ROYALTY &amp; COMMISSIONS</v>
      </c>
      <c r="C198" s="12"/>
      <c r="D198" s="7">
        <v>1260.81</v>
      </c>
      <c r="E198" s="3"/>
      <c r="F198" s="8">
        <f t="shared" si="28"/>
        <v>1.3355083756408678E-3</v>
      </c>
      <c r="G198" s="3"/>
      <c r="H198" s="7">
        <v>393.98</v>
      </c>
      <c r="I198" s="3"/>
      <c r="J198" s="8">
        <f t="shared" si="29"/>
        <v>7.7743916456645453E-4</v>
      </c>
      <c r="K198" s="3"/>
      <c r="L198" s="7">
        <f t="shared" si="30"/>
        <v>866.82999999999993</v>
      </c>
      <c r="M198" s="3"/>
      <c r="N198" s="8">
        <f t="shared" si="31"/>
        <v>2.200187826793238</v>
      </c>
      <c r="O198" s="12"/>
      <c r="P198" s="7">
        <v>13311.46</v>
      </c>
      <c r="Q198" s="3"/>
      <c r="R198" s="8">
        <f t="shared" si="32"/>
        <v>1.6603470096886496E-3</v>
      </c>
      <c r="S198" s="3"/>
      <c r="T198" s="7">
        <v>13627.87</v>
      </c>
      <c r="U198" s="3"/>
      <c r="V198" s="8">
        <f t="shared" si="33"/>
        <v>2.6145704857054954E-3</v>
      </c>
      <c r="W198" s="3"/>
      <c r="X198" s="7">
        <f t="shared" si="34"/>
        <v>-316.41000000000167</v>
      </c>
      <c r="Y198" s="3"/>
      <c r="Z198" s="8">
        <f t="shared" si="35"/>
        <v>-2.3217861632082025E-2</v>
      </c>
    </row>
    <row r="199" spans="1:26" s="68" customFormat="1" ht="15" customHeight="1" outlineLevel="1" collapsed="1" x14ac:dyDescent="0.25">
      <c r="A199" s="26"/>
      <c r="B199" s="14" t="str">
        <f>CONCATENATE("     ","Services                                          ")</f>
        <v xml:space="preserve">     Services                                          </v>
      </c>
      <c r="C199" s="14"/>
      <c r="D199" s="2">
        <f>SUM(OSRRefD22_19x_0)</f>
        <v>5306.1799999999994</v>
      </c>
      <c r="E199" s="2"/>
      <c r="F199" s="6">
        <f t="shared" ref="F199:F226" si="36">IF(D$12=0,0,D199/D$12)</f>
        <v>5.62055173472455E-3</v>
      </c>
      <c r="G199" s="2"/>
      <c r="H199" s="2">
        <f>SUM(OSRRefH22_19x_0)</f>
        <v>4906.57</v>
      </c>
      <c r="I199" s="2"/>
      <c r="J199" s="6">
        <f t="shared" ref="J199:J226" si="37">IF(H$12=0,0,H199/H$12)</f>
        <v>9.6821150355013673E-3</v>
      </c>
      <c r="K199" s="2"/>
      <c r="L199" s="2">
        <f t="shared" ref="L199:L226" si="38">+D199-H199</f>
        <v>399.60999999999967</v>
      </c>
      <c r="M199" s="2"/>
      <c r="N199" s="6">
        <f t="shared" ref="N199:N226" si="39">IF(H199=0,0,L199/H199)</f>
        <v>8.1443859967349833E-2</v>
      </c>
      <c r="O199" s="14"/>
      <c r="P199" s="2">
        <f>SUM(OSRRefP22_19x_0)</f>
        <v>74233.739999999991</v>
      </c>
      <c r="Q199" s="2"/>
      <c r="R199" s="6">
        <f t="shared" ref="R199:R226" si="40">IF(P$12=0,0,P199/P$12)</f>
        <v>9.2592223713255112E-3</v>
      </c>
      <c r="S199" s="2"/>
      <c r="T199" s="2">
        <f>SUM(OSRRefT22_19x_0)</f>
        <v>47496.76</v>
      </c>
      <c r="U199" s="2"/>
      <c r="V199" s="6">
        <f t="shared" ref="V199:V226" si="41">IF(T$12=0,0,T199/T$12)</f>
        <v>9.1124751602882446E-3</v>
      </c>
      <c r="W199" s="2"/>
      <c r="X199" s="2">
        <f t="shared" ref="X199:X226" si="42">+P199-T199</f>
        <v>26736.979999999989</v>
      </c>
      <c r="Y199" s="2"/>
      <c r="Z199" s="6">
        <f t="shared" ref="Z199:Z226" si="43">IF(T199=0,0,X199/T199)</f>
        <v>0.56292218669231309</v>
      </c>
    </row>
    <row r="200" spans="1:26" s="69" customFormat="1" ht="15" hidden="1" customHeight="1" outlineLevel="2" x14ac:dyDescent="0.25">
      <c r="A200" s="25"/>
      <c r="B200" s="12" t="str">
        <f>CONCATENATE("          ","6282"," - ","JANITORIAL/EXTERMINATOR EXPENS")</f>
        <v xml:space="preserve">          6282 - JANITORIAL/EXTERMINATOR EXPENS</v>
      </c>
      <c r="C200" s="12"/>
      <c r="D200" s="7">
        <v>365.05</v>
      </c>
      <c r="E200" s="3"/>
      <c r="F200" s="8">
        <f t="shared" si="36"/>
        <v>3.8667787575265018E-4</v>
      </c>
      <c r="G200" s="3"/>
      <c r="H200" s="7">
        <v>611.25</v>
      </c>
      <c r="I200" s="3"/>
      <c r="J200" s="8">
        <f t="shared" si="37"/>
        <v>1.20617719006357E-3</v>
      </c>
      <c r="K200" s="3"/>
      <c r="L200" s="7">
        <f t="shared" si="38"/>
        <v>-246.2</v>
      </c>
      <c r="M200" s="3"/>
      <c r="N200" s="8">
        <f t="shared" si="39"/>
        <v>-0.40278118609406949</v>
      </c>
      <c r="O200" s="12"/>
      <c r="P200" s="7">
        <v>6951.53</v>
      </c>
      <c r="Q200" s="3"/>
      <c r="R200" s="8">
        <f t="shared" si="40"/>
        <v>8.6706883003524326E-4</v>
      </c>
      <c r="S200" s="3"/>
      <c r="T200" s="7">
        <v>10104.18</v>
      </c>
      <c r="U200" s="3"/>
      <c r="V200" s="8">
        <f t="shared" si="41"/>
        <v>1.9385341076966359E-3</v>
      </c>
      <c r="W200" s="3"/>
      <c r="X200" s="7">
        <f t="shared" si="42"/>
        <v>-3152.6500000000005</v>
      </c>
      <c r="Y200" s="3"/>
      <c r="Z200" s="8">
        <f t="shared" si="43"/>
        <v>-0.31201443363043813</v>
      </c>
    </row>
    <row r="201" spans="1:26" s="69" customFormat="1" ht="15" hidden="1" customHeight="1" outlineLevel="2" x14ac:dyDescent="0.25">
      <c r="A201" s="25"/>
      <c r="B201" s="12" t="str">
        <f>CONCATENATE("          ","6283"," - ","PLANT SERVICE")</f>
        <v xml:space="preserve">          6283 - PLANT SERVICE</v>
      </c>
      <c r="C201" s="12"/>
      <c r="D201" s="7"/>
      <c r="E201" s="3"/>
      <c r="F201" s="8">
        <f t="shared" si="36"/>
        <v>0</v>
      </c>
      <c r="G201" s="3"/>
      <c r="H201" s="7"/>
      <c r="I201" s="3"/>
      <c r="J201" s="8">
        <f t="shared" si="37"/>
        <v>0</v>
      </c>
      <c r="K201" s="3"/>
      <c r="L201" s="7">
        <f t="shared" si="38"/>
        <v>0</v>
      </c>
      <c r="M201" s="3"/>
      <c r="N201" s="8">
        <f t="shared" si="39"/>
        <v>0</v>
      </c>
      <c r="O201" s="12"/>
      <c r="P201" s="7"/>
      <c r="Q201" s="3"/>
      <c r="R201" s="8">
        <f t="shared" si="40"/>
        <v>0</v>
      </c>
      <c r="S201" s="3"/>
      <c r="T201" s="7">
        <v>171.31</v>
      </c>
      <c r="U201" s="3"/>
      <c r="V201" s="8">
        <f t="shared" si="41"/>
        <v>3.2866623317232146E-5</v>
      </c>
      <c r="W201" s="3"/>
      <c r="X201" s="7">
        <f t="shared" si="42"/>
        <v>-171.31</v>
      </c>
      <c r="Y201" s="3"/>
      <c r="Z201" s="8">
        <f t="shared" si="43"/>
        <v>-1</v>
      </c>
    </row>
    <row r="202" spans="1:26" s="69" customFormat="1" ht="15" hidden="1" customHeight="1" outlineLevel="2" x14ac:dyDescent="0.25">
      <c r="A202" s="25"/>
      <c r="B202" s="12" t="str">
        <f>CONCATENATE("          ","6284"," - ","TRASH REMOVAL EXPENSE")</f>
        <v xml:space="preserve">          6284 - TRASH REMOVAL EXPENSE</v>
      </c>
      <c r="C202" s="12"/>
      <c r="D202" s="7">
        <v>149.69999999999999</v>
      </c>
      <c r="E202" s="3"/>
      <c r="F202" s="8">
        <f t="shared" si="36"/>
        <v>1.5856917682556285E-4</v>
      </c>
      <c r="G202" s="3"/>
      <c r="H202" s="7">
        <v>431.57</v>
      </c>
      <c r="I202" s="3"/>
      <c r="J202" s="8">
        <f t="shared" si="37"/>
        <v>8.5161536182533316E-4</v>
      </c>
      <c r="K202" s="3"/>
      <c r="L202" s="7">
        <f t="shared" si="38"/>
        <v>-281.87</v>
      </c>
      <c r="M202" s="3"/>
      <c r="N202" s="8">
        <f t="shared" si="39"/>
        <v>-0.65312695507101981</v>
      </c>
      <c r="O202" s="12"/>
      <c r="P202" s="7">
        <v>1489.87</v>
      </c>
      <c r="Q202" s="3"/>
      <c r="R202" s="8">
        <f t="shared" si="40"/>
        <v>1.858324480804381E-4</v>
      </c>
      <c r="S202" s="3"/>
      <c r="T202" s="7">
        <v>3036.29</v>
      </c>
      <c r="U202" s="3"/>
      <c r="V202" s="8">
        <f t="shared" si="41"/>
        <v>5.8252641242121761E-4</v>
      </c>
      <c r="W202" s="3"/>
      <c r="X202" s="7">
        <f t="shared" si="42"/>
        <v>-1546.42</v>
      </c>
      <c r="Y202" s="3"/>
      <c r="Z202" s="8">
        <f t="shared" si="43"/>
        <v>-0.50931235158696964</v>
      </c>
    </row>
    <row r="203" spans="1:26" s="69" customFormat="1" ht="15" hidden="1" customHeight="1" outlineLevel="2" x14ac:dyDescent="0.25">
      <c r="A203" s="25"/>
      <c r="B203" s="12" t="str">
        <f>CONCATENATE("          ","6285"," - ","JANITORIAL SERVICES")</f>
        <v xml:space="preserve">          6285 - JANITORIAL SERVICES</v>
      </c>
      <c r="C203" s="12"/>
      <c r="D203" s="7">
        <v>4698.3999999999996</v>
      </c>
      <c r="E203" s="3"/>
      <c r="F203" s="8">
        <f t="shared" si="36"/>
        <v>4.9767629953054414E-3</v>
      </c>
      <c r="G203" s="3"/>
      <c r="H203" s="7">
        <v>3863.75</v>
      </c>
      <c r="I203" s="3"/>
      <c r="J203" s="8">
        <f t="shared" si="37"/>
        <v>7.6243224836124645E-3</v>
      </c>
      <c r="K203" s="3"/>
      <c r="L203" s="7">
        <f t="shared" si="38"/>
        <v>834.64999999999964</v>
      </c>
      <c r="M203" s="3"/>
      <c r="N203" s="8">
        <f t="shared" si="39"/>
        <v>0.21602070527337422</v>
      </c>
      <c r="O203" s="12"/>
      <c r="P203" s="7">
        <v>64644.55</v>
      </c>
      <c r="Q203" s="3"/>
      <c r="R203" s="8">
        <f t="shared" si="40"/>
        <v>8.0631565046334827E-3</v>
      </c>
      <c r="S203" s="3"/>
      <c r="T203" s="7">
        <v>34184.980000000003</v>
      </c>
      <c r="U203" s="3"/>
      <c r="V203" s="8">
        <f t="shared" si="41"/>
        <v>6.5585480168531586E-3</v>
      </c>
      <c r="W203" s="3"/>
      <c r="X203" s="7">
        <f t="shared" si="42"/>
        <v>30459.57</v>
      </c>
      <c r="Y203" s="3"/>
      <c r="Z203" s="8">
        <f t="shared" si="43"/>
        <v>0.89102202195233104</v>
      </c>
    </row>
    <row r="204" spans="1:26" s="69" customFormat="1" ht="15" hidden="1" customHeight="1" outlineLevel="2" x14ac:dyDescent="0.25">
      <c r="A204" s="25"/>
      <c r="B204" s="12" t="str">
        <f>CONCATENATE("          ","6286"," - ","LAUNDRY EXPENSE")</f>
        <v xml:space="preserve">          6286 - LAUNDRY EXPENSE</v>
      </c>
      <c r="C204" s="12"/>
      <c r="D204" s="7">
        <v>93.03</v>
      </c>
      <c r="E204" s="3"/>
      <c r="F204" s="8">
        <f t="shared" si="36"/>
        <v>9.8541686840895889E-5</v>
      </c>
      <c r="G204" s="3"/>
      <c r="H204" s="7"/>
      <c r="I204" s="3"/>
      <c r="J204" s="8">
        <f t="shared" si="37"/>
        <v>0</v>
      </c>
      <c r="K204" s="3"/>
      <c r="L204" s="7">
        <f t="shared" si="38"/>
        <v>93.03</v>
      </c>
      <c r="M204" s="3"/>
      <c r="N204" s="8">
        <f t="shared" si="39"/>
        <v>0</v>
      </c>
      <c r="O204" s="12"/>
      <c r="P204" s="7">
        <v>1147.79</v>
      </c>
      <c r="Q204" s="3"/>
      <c r="R204" s="8">
        <f t="shared" si="40"/>
        <v>1.4316458857634965E-4</v>
      </c>
      <c r="S204" s="3"/>
      <c r="T204" s="7"/>
      <c r="U204" s="3"/>
      <c r="V204" s="8">
        <f t="shared" si="41"/>
        <v>0</v>
      </c>
      <c r="W204" s="3"/>
      <c r="X204" s="7">
        <f t="shared" si="42"/>
        <v>1147.79</v>
      </c>
      <c r="Y204" s="3"/>
      <c r="Z204" s="8">
        <f t="shared" si="43"/>
        <v>0</v>
      </c>
    </row>
    <row r="205" spans="1:26" s="68" customFormat="1" ht="15" customHeight="1" outlineLevel="1" collapsed="1" x14ac:dyDescent="0.25">
      <c r="A205" s="26"/>
      <c r="B205" s="14" t="str">
        <f>CONCATENATE("     ","Subscriptions &amp; Dues                              ")</f>
        <v xml:space="preserve">     Subscriptions &amp; Dues                              </v>
      </c>
      <c r="C205" s="14"/>
      <c r="D205" s="2">
        <f>SUM(OSRRefD22_20x_0)</f>
        <v>2287.59</v>
      </c>
      <c r="E205" s="2"/>
      <c r="F205" s="6">
        <f t="shared" si="36"/>
        <v>2.4231213307574443E-3</v>
      </c>
      <c r="G205" s="2"/>
      <c r="H205" s="2">
        <f>SUM(OSRRefH22_20x_0)</f>
        <v>611.22</v>
      </c>
      <c r="I205" s="2"/>
      <c r="J205" s="6">
        <f t="shared" si="37"/>
        <v>1.2061179911830762E-3</v>
      </c>
      <c r="K205" s="2"/>
      <c r="L205" s="2">
        <f t="shared" si="38"/>
        <v>1676.3700000000001</v>
      </c>
      <c r="M205" s="2"/>
      <c r="N205" s="6">
        <f t="shared" si="39"/>
        <v>2.7426622165505057</v>
      </c>
      <c r="O205" s="14"/>
      <c r="P205" s="2">
        <f>SUM(OSRRefP22_20x_0)</f>
        <v>7183.53</v>
      </c>
      <c r="Q205" s="2"/>
      <c r="R205" s="6">
        <f t="shared" si="40"/>
        <v>8.9600633998890473E-4</v>
      </c>
      <c r="S205" s="2"/>
      <c r="T205" s="2">
        <f>SUM(OSRRefT22_20x_0)</f>
        <v>7289.13</v>
      </c>
      <c r="U205" s="2"/>
      <c r="V205" s="6">
        <f t="shared" si="41"/>
        <v>1.3984536222073221E-3</v>
      </c>
      <c r="W205" s="2"/>
      <c r="X205" s="2">
        <f t="shared" si="42"/>
        <v>-105.60000000000036</v>
      </c>
      <c r="Y205" s="2"/>
      <c r="Z205" s="6">
        <f t="shared" si="43"/>
        <v>-1.4487325647916879E-2</v>
      </c>
    </row>
    <row r="206" spans="1:26" s="69" customFormat="1" ht="15" hidden="1" customHeight="1" outlineLevel="2" x14ac:dyDescent="0.25">
      <c r="A206" s="25"/>
      <c r="B206" s="12" t="str">
        <f>CONCATENATE("          ","6258"," - ","MEMBERSHIP DUES")</f>
        <v xml:space="preserve">          6258 - MEMBERSHIP DUES</v>
      </c>
      <c r="C206" s="12"/>
      <c r="D206" s="7">
        <v>843.84</v>
      </c>
      <c r="E206" s="3"/>
      <c r="F206" s="8">
        <f t="shared" si="36"/>
        <v>8.9383443000990641E-4</v>
      </c>
      <c r="G206" s="3"/>
      <c r="H206" s="7">
        <v>611.22</v>
      </c>
      <c r="I206" s="3"/>
      <c r="J206" s="8">
        <f t="shared" si="37"/>
        <v>1.2061179911830762E-3</v>
      </c>
      <c r="K206" s="3"/>
      <c r="L206" s="7">
        <f t="shared" si="38"/>
        <v>232.62</v>
      </c>
      <c r="M206" s="3"/>
      <c r="N206" s="8">
        <f t="shared" si="39"/>
        <v>0.38058309610287622</v>
      </c>
      <c r="O206" s="12"/>
      <c r="P206" s="7">
        <v>3832.14</v>
      </c>
      <c r="Q206" s="3"/>
      <c r="R206" s="8">
        <f t="shared" si="40"/>
        <v>4.7798529911131178E-4</v>
      </c>
      <c r="S206" s="3"/>
      <c r="T206" s="7">
        <v>3046.45</v>
      </c>
      <c r="U206" s="3"/>
      <c r="V206" s="8">
        <f t="shared" si="41"/>
        <v>5.8447565585652826E-4</v>
      </c>
      <c r="W206" s="3"/>
      <c r="X206" s="7">
        <f t="shared" si="42"/>
        <v>785.69</v>
      </c>
      <c r="Y206" s="3"/>
      <c r="Z206" s="8">
        <f t="shared" si="43"/>
        <v>0.2579034614058987</v>
      </c>
    </row>
    <row r="207" spans="1:26" s="69" customFormat="1" ht="15" hidden="1" customHeight="1" outlineLevel="2" x14ac:dyDescent="0.25">
      <c r="A207" s="25"/>
      <c r="B207" s="12" t="str">
        <f>CONCATENATE("          ","6275"," - ","SUBSCRIPTIONS")</f>
        <v xml:space="preserve">          6275 - SUBSCRIPTIONS</v>
      </c>
      <c r="C207" s="12"/>
      <c r="D207" s="7">
        <v>1443.75</v>
      </c>
      <c r="E207" s="3"/>
      <c r="F207" s="8">
        <f t="shared" si="36"/>
        <v>1.5292869007475377E-3</v>
      </c>
      <c r="G207" s="3"/>
      <c r="H207" s="7"/>
      <c r="I207" s="3"/>
      <c r="J207" s="8">
        <f t="shared" si="37"/>
        <v>0</v>
      </c>
      <c r="K207" s="3"/>
      <c r="L207" s="7">
        <f t="shared" si="38"/>
        <v>1443.75</v>
      </c>
      <c r="M207" s="3"/>
      <c r="N207" s="8">
        <f t="shared" si="39"/>
        <v>0</v>
      </c>
      <c r="O207" s="12"/>
      <c r="P207" s="7">
        <v>3351.39</v>
      </c>
      <c r="Q207" s="3"/>
      <c r="R207" s="8">
        <f t="shared" si="40"/>
        <v>4.1802104087759295E-4</v>
      </c>
      <c r="S207" s="3"/>
      <c r="T207" s="7">
        <v>4242.68</v>
      </c>
      <c r="U207" s="3"/>
      <c r="V207" s="8">
        <f t="shared" si="41"/>
        <v>8.1397796635079378E-4</v>
      </c>
      <c r="W207" s="3"/>
      <c r="X207" s="7">
        <f t="shared" si="42"/>
        <v>-891.29000000000042</v>
      </c>
      <c r="Y207" s="3"/>
      <c r="Z207" s="8">
        <f t="shared" si="43"/>
        <v>-0.2100771210649873</v>
      </c>
    </row>
    <row r="208" spans="1:26" s="68" customFormat="1" ht="15" customHeight="1" outlineLevel="1" collapsed="1" x14ac:dyDescent="0.25">
      <c r="A208" s="26"/>
      <c r="B208" s="14" t="str">
        <f>CONCATENATE("     ","Supplies                                          ")</f>
        <v xml:space="preserve">     Supplies                                          </v>
      </c>
      <c r="C208" s="14"/>
      <c r="D208" s="2">
        <f>SUM(OSRRefD22_21x_0)</f>
        <v>19102.199999999997</v>
      </c>
      <c r="E208" s="2"/>
      <c r="F208" s="6">
        <f t="shared" si="36"/>
        <v>2.0233935401184146E-2</v>
      </c>
      <c r="G208" s="2"/>
      <c r="H208" s="2">
        <f>SUM(OSRRefH22_21x_0)</f>
        <v>10202.06</v>
      </c>
      <c r="I208" s="2"/>
      <c r="J208" s="6">
        <f t="shared" si="37"/>
        <v>2.0131684357725881E-2</v>
      </c>
      <c r="K208" s="2"/>
      <c r="L208" s="2">
        <f t="shared" si="38"/>
        <v>8900.1399999999976</v>
      </c>
      <c r="M208" s="2"/>
      <c r="N208" s="6">
        <f t="shared" si="39"/>
        <v>0.87238655722471714</v>
      </c>
      <c r="O208" s="14"/>
      <c r="P208" s="2">
        <f>SUM(OSRRefP22_21x_0)</f>
        <v>122568.67000000001</v>
      </c>
      <c r="Q208" s="2"/>
      <c r="R208" s="6">
        <f t="shared" si="40"/>
        <v>1.5288069431603666E-2</v>
      </c>
      <c r="S208" s="2"/>
      <c r="T208" s="2">
        <f>SUM(OSRRefT22_21x_0)</f>
        <v>122992.84</v>
      </c>
      <c r="U208" s="2"/>
      <c r="V208" s="6">
        <f t="shared" si="41"/>
        <v>2.3596750586635937E-2</v>
      </c>
      <c r="W208" s="2"/>
      <c r="X208" s="2">
        <f t="shared" si="42"/>
        <v>-424.1699999999837</v>
      </c>
      <c r="Y208" s="2"/>
      <c r="Z208" s="6">
        <f t="shared" si="43"/>
        <v>-3.4487373411328961E-3</v>
      </c>
    </row>
    <row r="209" spans="1:26" s="69" customFormat="1" ht="15" hidden="1" customHeight="1" outlineLevel="2" x14ac:dyDescent="0.25">
      <c r="A209" s="25"/>
      <c r="B209" s="12" t="str">
        <f>CONCATENATE("          ","6234"," - ","EXPENDABLE SUPPLIES &amp; EQUIPMEN")</f>
        <v xml:space="preserve">          6234 - EXPENDABLE SUPPLIES &amp; EQUIPMEN</v>
      </c>
      <c r="C209" s="12"/>
      <c r="D209" s="7"/>
      <c r="E209" s="3"/>
      <c r="F209" s="8">
        <f t="shared" si="36"/>
        <v>0</v>
      </c>
      <c r="G209" s="3"/>
      <c r="H209" s="7"/>
      <c r="I209" s="3"/>
      <c r="J209" s="8">
        <f t="shared" si="37"/>
        <v>0</v>
      </c>
      <c r="K209" s="3"/>
      <c r="L209" s="7">
        <f t="shared" si="38"/>
        <v>0</v>
      </c>
      <c r="M209" s="3"/>
      <c r="N209" s="8">
        <f t="shared" si="39"/>
        <v>0</v>
      </c>
      <c r="O209" s="12"/>
      <c r="P209" s="7">
        <v>11477.77</v>
      </c>
      <c r="Q209" s="3"/>
      <c r="R209" s="8">
        <f t="shared" si="40"/>
        <v>1.4316296707794708E-3</v>
      </c>
      <c r="S209" s="3"/>
      <c r="T209" s="7">
        <v>316.83</v>
      </c>
      <c r="U209" s="3"/>
      <c r="V209" s="8">
        <f t="shared" si="41"/>
        <v>6.0785314725343878E-5</v>
      </c>
      <c r="W209" s="3"/>
      <c r="X209" s="7">
        <f t="shared" si="42"/>
        <v>11160.94</v>
      </c>
      <c r="Y209" s="3"/>
      <c r="Z209" s="8">
        <f t="shared" si="43"/>
        <v>35.226904017927602</v>
      </c>
    </row>
    <row r="210" spans="1:26" s="69" customFormat="1" ht="15" hidden="1" customHeight="1" outlineLevel="2" x14ac:dyDescent="0.25">
      <c r="A210" s="25"/>
      <c r="B210" s="12" t="str">
        <f>CONCATENATE("          ","6235"," - ","COVID-19 EXPENSES")</f>
        <v xml:space="preserve">          6235 - COVID-19 EXPENSES</v>
      </c>
      <c r="C210" s="12"/>
      <c r="D210" s="7">
        <v>156</v>
      </c>
      <c r="E210" s="3"/>
      <c r="F210" s="8">
        <f t="shared" si="36"/>
        <v>1.6524242875609759E-4</v>
      </c>
      <c r="G210" s="3"/>
      <c r="H210" s="7">
        <v>2928.27</v>
      </c>
      <c r="I210" s="3"/>
      <c r="J210" s="8">
        <f t="shared" si="37"/>
        <v>5.7783435261307978E-3</v>
      </c>
      <c r="K210" s="3"/>
      <c r="L210" s="7">
        <f t="shared" si="38"/>
        <v>-2772.27</v>
      </c>
      <c r="M210" s="3"/>
      <c r="N210" s="8">
        <f t="shared" si="39"/>
        <v>-0.94672622401622797</v>
      </c>
      <c r="O210" s="12"/>
      <c r="P210" s="7">
        <v>3657.77</v>
      </c>
      <c r="Q210" s="3"/>
      <c r="R210" s="8">
        <f t="shared" si="40"/>
        <v>4.5623601630691545E-4</v>
      </c>
      <c r="S210" s="3"/>
      <c r="T210" s="7">
        <v>44205.33</v>
      </c>
      <c r="U210" s="3"/>
      <c r="V210" s="8">
        <f t="shared" si="41"/>
        <v>8.4809989476617928E-3</v>
      </c>
      <c r="W210" s="3"/>
      <c r="X210" s="7">
        <f t="shared" si="42"/>
        <v>-40547.560000000005</v>
      </c>
      <c r="Y210" s="3"/>
      <c r="Z210" s="8">
        <f t="shared" si="43"/>
        <v>-0.91725500069787969</v>
      </c>
    </row>
    <row r="211" spans="1:26" s="69" customFormat="1" ht="15" hidden="1" customHeight="1" outlineLevel="2" x14ac:dyDescent="0.25">
      <c r="A211" s="25"/>
      <c r="B211" s="12" t="str">
        <f>CONCATENATE("          ","6237"," - ","JANITORIAL SUPPLIES")</f>
        <v xml:space="preserve">          6237 - JANITORIAL SUPPLIES</v>
      </c>
      <c r="C211" s="12"/>
      <c r="D211" s="7">
        <v>648.61</v>
      </c>
      <c r="E211" s="3"/>
      <c r="F211" s="8">
        <f t="shared" si="36"/>
        <v>6.870377674070029E-4</v>
      </c>
      <c r="G211" s="3"/>
      <c r="H211" s="7">
        <v>390.73</v>
      </c>
      <c r="I211" s="3"/>
      <c r="J211" s="8">
        <f t="shared" si="37"/>
        <v>7.7102595251294682E-4</v>
      </c>
      <c r="K211" s="3"/>
      <c r="L211" s="7">
        <f t="shared" si="38"/>
        <v>257.88</v>
      </c>
      <c r="M211" s="3"/>
      <c r="N211" s="8">
        <f t="shared" si="39"/>
        <v>0.65999539323829748</v>
      </c>
      <c r="O211" s="12"/>
      <c r="P211" s="7">
        <v>7783.32</v>
      </c>
      <c r="Q211" s="3"/>
      <c r="R211" s="8">
        <f t="shared" si="40"/>
        <v>9.7081853436436431E-4</v>
      </c>
      <c r="S211" s="3"/>
      <c r="T211" s="7">
        <v>4197.8500000000004</v>
      </c>
      <c r="U211" s="3"/>
      <c r="V211" s="8">
        <f t="shared" si="41"/>
        <v>8.0537712154715409E-4</v>
      </c>
      <c r="W211" s="3"/>
      <c r="X211" s="7">
        <f t="shared" si="42"/>
        <v>3585.4699999999993</v>
      </c>
      <c r="Y211" s="3"/>
      <c r="Z211" s="8">
        <f t="shared" si="43"/>
        <v>0.85412056171611639</v>
      </c>
    </row>
    <row r="212" spans="1:26" s="69" customFormat="1" ht="15" hidden="1" customHeight="1" outlineLevel="2" x14ac:dyDescent="0.25">
      <c r="A212" s="25"/>
      <c r="B212" s="12" t="str">
        <f>CONCATENATE("          ","6241"," - ","OFFICE EXPENSE")</f>
        <v xml:space="preserve">          6241 - OFFICE EXPENSE</v>
      </c>
      <c r="C212" s="12"/>
      <c r="D212" s="7">
        <v>648.09</v>
      </c>
      <c r="E212" s="3"/>
      <c r="F212" s="8">
        <f t="shared" si="36"/>
        <v>6.8648695931114933E-4</v>
      </c>
      <c r="G212" s="3"/>
      <c r="H212" s="7">
        <v>137.71</v>
      </c>
      <c r="I212" s="3"/>
      <c r="J212" s="8">
        <f t="shared" si="37"/>
        <v>2.717425944272462E-4</v>
      </c>
      <c r="K212" s="3"/>
      <c r="L212" s="7">
        <f t="shared" si="38"/>
        <v>510.38</v>
      </c>
      <c r="M212" s="3"/>
      <c r="N212" s="8">
        <f t="shared" si="39"/>
        <v>3.7061941761673078</v>
      </c>
      <c r="O212" s="12"/>
      <c r="P212" s="7">
        <v>18132.54</v>
      </c>
      <c r="Q212" s="3"/>
      <c r="R212" s="8">
        <f t="shared" si="40"/>
        <v>2.2616834342032979E-3</v>
      </c>
      <c r="S212" s="3"/>
      <c r="T212" s="7">
        <v>11136.72</v>
      </c>
      <c r="U212" s="3"/>
      <c r="V212" s="8">
        <f t="shared" si="41"/>
        <v>2.1366317274501521E-3</v>
      </c>
      <c r="W212" s="3"/>
      <c r="X212" s="7">
        <f t="shared" si="42"/>
        <v>6995.8200000000015</v>
      </c>
      <c r="Y212" s="3"/>
      <c r="Z212" s="8">
        <f t="shared" si="43"/>
        <v>0.62817598000129315</v>
      </c>
    </row>
    <row r="213" spans="1:26" s="69" customFormat="1" ht="15" hidden="1" customHeight="1" outlineLevel="2" x14ac:dyDescent="0.25">
      <c r="A213" s="25"/>
      <c r="B213" s="12" t="str">
        <f>CONCATENATE("          ","6243"," - ","PAPER SUPPLIES")</f>
        <v xml:space="preserve">          6243 - PAPER SUPPLIES</v>
      </c>
      <c r="C213" s="12"/>
      <c r="D213" s="7">
        <v>3522.7</v>
      </c>
      <c r="E213" s="3"/>
      <c r="F213" s="8">
        <f t="shared" si="36"/>
        <v>3.7314070755070827E-3</v>
      </c>
      <c r="G213" s="3"/>
      <c r="H213" s="7"/>
      <c r="I213" s="3"/>
      <c r="J213" s="8">
        <f t="shared" si="37"/>
        <v>0</v>
      </c>
      <c r="K213" s="3"/>
      <c r="L213" s="7">
        <f t="shared" si="38"/>
        <v>3522.7</v>
      </c>
      <c r="M213" s="3"/>
      <c r="N213" s="8">
        <f t="shared" si="39"/>
        <v>0</v>
      </c>
      <c r="O213" s="12"/>
      <c r="P213" s="7">
        <v>10812.44</v>
      </c>
      <c r="Q213" s="3"/>
      <c r="R213" s="8">
        <f t="shared" si="40"/>
        <v>1.3486426298421018E-3</v>
      </c>
      <c r="S213" s="3"/>
      <c r="T213" s="7">
        <v>6682.58</v>
      </c>
      <c r="U213" s="3"/>
      <c r="V213" s="8">
        <f t="shared" si="41"/>
        <v>1.2820841728286099E-3</v>
      </c>
      <c r="W213" s="3"/>
      <c r="X213" s="7">
        <f t="shared" si="42"/>
        <v>4129.8600000000006</v>
      </c>
      <c r="Y213" s="3"/>
      <c r="Z213" s="8">
        <f t="shared" si="43"/>
        <v>0.61800382487003536</v>
      </c>
    </row>
    <row r="214" spans="1:26" s="69" customFormat="1" ht="15" hidden="1" customHeight="1" outlineLevel="2" x14ac:dyDescent="0.25">
      <c r="A214" s="25"/>
      <c r="B214" s="12" t="str">
        <f>CONCATENATE("          ","6245"," - ","PRINTING")</f>
        <v xml:space="preserve">          6245 - PRINTING</v>
      </c>
      <c r="C214" s="12"/>
      <c r="D214" s="7">
        <v>4762.72</v>
      </c>
      <c r="E214" s="3"/>
      <c r="F214" s="8">
        <f t="shared" si="36"/>
        <v>5.0448937197771866E-3</v>
      </c>
      <c r="G214" s="3"/>
      <c r="H214" s="7">
        <v>5963.79</v>
      </c>
      <c r="I214" s="3"/>
      <c r="J214" s="8">
        <f t="shared" si="37"/>
        <v>1.1768323050027351E-2</v>
      </c>
      <c r="K214" s="3"/>
      <c r="L214" s="7">
        <f t="shared" si="38"/>
        <v>-1201.0699999999997</v>
      </c>
      <c r="M214" s="3"/>
      <c r="N214" s="8">
        <f t="shared" si="39"/>
        <v>-0.20139374458188497</v>
      </c>
      <c r="O214" s="12"/>
      <c r="P214" s="7">
        <v>11703.4</v>
      </c>
      <c r="Q214" s="3"/>
      <c r="R214" s="8">
        <f t="shared" si="40"/>
        <v>1.4597726465158699E-3</v>
      </c>
      <c r="S214" s="3"/>
      <c r="T214" s="7">
        <v>9084.3799999999992</v>
      </c>
      <c r="U214" s="3"/>
      <c r="V214" s="8">
        <f t="shared" si="41"/>
        <v>1.7428807164240109E-3</v>
      </c>
      <c r="W214" s="3"/>
      <c r="X214" s="7">
        <f t="shared" si="42"/>
        <v>2619.0200000000004</v>
      </c>
      <c r="Y214" s="3"/>
      <c r="Z214" s="8">
        <f t="shared" si="43"/>
        <v>0.28829925652603705</v>
      </c>
    </row>
    <row r="215" spans="1:26" s="69" customFormat="1" ht="15" hidden="1" customHeight="1" outlineLevel="2" x14ac:dyDescent="0.25">
      <c r="A215" s="25"/>
      <c r="B215" s="12" t="str">
        <f>CONCATENATE("          ","6247"," - ","STORE SUPPLIES")</f>
        <v xml:space="preserve">          6247 - STORE SUPPLIES</v>
      </c>
      <c r="C215" s="12"/>
      <c r="D215" s="7">
        <v>9364.08</v>
      </c>
      <c r="E215" s="3"/>
      <c r="F215" s="8">
        <f t="shared" si="36"/>
        <v>9.9188674504256304E-3</v>
      </c>
      <c r="G215" s="3"/>
      <c r="H215" s="7">
        <v>781.56</v>
      </c>
      <c r="I215" s="3"/>
      <c r="J215" s="8">
        <f t="shared" si="37"/>
        <v>1.5422492346275399E-3</v>
      </c>
      <c r="K215" s="3"/>
      <c r="L215" s="7">
        <f t="shared" si="38"/>
        <v>8582.52</v>
      </c>
      <c r="M215" s="3"/>
      <c r="N215" s="8">
        <f t="shared" si="39"/>
        <v>10.98126823276524</v>
      </c>
      <c r="O215" s="12"/>
      <c r="P215" s="7">
        <v>59001.43</v>
      </c>
      <c r="Q215" s="3"/>
      <c r="R215" s="8">
        <f t="shared" si="40"/>
        <v>7.3592864995916446E-3</v>
      </c>
      <c r="S215" s="3"/>
      <c r="T215" s="7">
        <v>47369.15</v>
      </c>
      <c r="U215" s="3"/>
      <c r="V215" s="8">
        <f t="shared" si="41"/>
        <v>9.087992585998874E-3</v>
      </c>
      <c r="W215" s="3"/>
      <c r="X215" s="7">
        <f t="shared" si="42"/>
        <v>11632.279999999999</v>
      </c>
      <c r="Y215" s="3"/>
      <c r="Z215" s="8">
        <f t="shared" si="43"/>
        <v>0.24556657655879405</v>
      </c>
    </row>
    <row r="216" spans="1:26" s="68" customFormat="1" ht="15" customHeight="1" outlineLevel="1" collapsed="1" x14ac:dyDescent="0.25">
      <c r="A216" s="26"/>
      <c r="B216" s="14" t="str">
        <f>CONCATENATE("     ","Telephone/Data Lines                              ")</f>
        <v xml:space="preserve">     Telephone/Data Lines                              </v>
      </c>
      <c r="C216" s="14"/>
      <c r="D216" s="2">
        <f>SUM(OSRRefD22_22x_0)</f>
        <v>1907.69</v>
      </c>
      <c r="E216" s="2"/>
      <c r="F216" s="6">
        <f t="shared" si="36"/>
        <v>2.0207136468828194E-3</v>
      </c>
      <c r="G216" s="2"/>
      <c r="H216" s="2">
        <f>SUM(OSRRefH22_22x_0)</f>
        <v>1888.05</v>
      </c>
      <c r="I216" s="2"/>
      <c r="J216" s="6">
        <f t="shared" si="37"/>
        <v>3.7256815438847009E-3</v>
      </c>
      <c r="K216" s="2"/>
      <c r="L216" s="2">
        <f t="shared" si="38"/>
        <v>19.6400000000001</v>
      </c>
      <c r="M216" s="2"/>
      <c r="N216" s="6">
        <f t="shared" si="39"/>
        <v>1.0402266889118456E-2</v>
      </c>
      <c r="O216" s="14"/>
      <c r="P216" s="2">
        <f>SUM(OSRRefP22_22x_0)</f>
        <v>22052.05</v>
      </c>
      <c r="Q216" s="2"/>
      <c r="R216" s="6">
        <f t="shared" si="40"/>
        <v>2.7505664498863828E-3</v>
      </c>
      <c r="S216" s="2"/>
      <c r="T216" s="2">
        <f>SUM(OSRRefT22_22x_0)</f>
        <v>27237.87</v>
      </c>
      <c r="U216" s="2"/>
      <c r="V216" s="6">
        <f t="shared" si="41"/>
        <v>5.2257125284790023E-3</v>
      </c>
      <c r="W216" s="2"/>
      <c r="X216" s="2">
        <f t="shared" si="42"/>
        <v>-5185.82</v>
      </c>
      <c r="Y216" s="2"/>
      <c r="Z216" s="6">
        <f t="shared" si="43"/>
        <v>-0.19039007088292881</v>
      </c>
    </row>
    <row r="217" spans="1:26" s="69" customFormat="1" ht="15" hidden="1" customHeight="1" outlineLevel="2" x14ac:dyDescent="0.25">
      <c r="A217" s="25"/>
      <c r="B217" s="12" t="str">
        <f>CONCATENATE("          ","6303"," - ","DATA PHONE LINES")</f>
        <v xml:space="preserve">          6303 - DATA PHONE LINES</v>
      </c>
      <c r="C217" s="12"/>
      <c r="D217" s="7"/>
      <c r="E217" s="3"/>
      <c r="F217" s="8">
        <f t="shared" si="36"/>
        <v>0</v>
      </c>
      <c r="G217" s="3"/>
      <c r="H217" s="7"/>
      <c r="I217" s="3"/>
      <c r="J217" s="8">
        <f t="shared" si="37"/>
        <v>0</v>
      </c>
      <c r="K217" s="3"/>
      <c r="L217" s="7">
        <f t="shared" si="38"/>
        <v>0</v>
      </c>
      <c r="M217" s="3"/>
      <c r="N217" s="8">
        <f t="shared" si="39"/>
        <v>0</v>
      </c>
      <c r="O217" s="12"/>
      <c r="P217" s="7">
        <v>295</v>
      </c>
      <c r="Q217" s="3"/>
      <c r="R217" s="8">
        <f t="shared" si="40"/>
        <v>3.6795540673836807E-5</v>
      </c>
      <c r="S217" s="3"/>
      <c r="T217" s="7">
        <v>3540</v>
      </c>
      <c r="U217" s="3"/>
      <c r="V217" s="8">
        <f t="shared" si="41"/>
        <v>6.7916552765747351E-4</v>
      </c>
      <c r="W217" s="3"/>
      <c r="X217" s="7">
        <f t="shared" si="42"/>
        <v>-3245</v>
      </c>
      <c r="Y217" s="3"/>
      <c r="Z217" s="8">
        <f t="shared" si="43"/>
        <v>-0.91666666666666663</v>
      </c>
    </row>
    <row r="218" spans="1:26" s="69" customFormat="1" ht="15" hidden="1" customHeight="1" outlineLevel="2" x14ac:dyDescent="0.25">
      <c r="A218" s="25"/>
      <c r="B218" s="12" t="str">
        <f>CONCATENATE("          ","6309"," - ","TELEPHONE")</f>
        <v xml:space="preserve">          6309 - TELEPHONE</v>
      </c>
      <c r="C218" s="12"/>
      <c r="D218" s="7">
        <v>1907.69</v>
      </c>
      <c r="E218" s="3"/>
      <c r="F218" s="8">
        <f t="shared" si="36"/>
        <v>2.0207136468828194E-3</v>
      </c>
      <c r="G218" s="3"/>
      <c r="H218" s="7">
        <v>1888.05</v>
      </c>
      <c r="I218" s="3"/>
      <c r="J218" s="8">
        <f t="shared" si="37"/>
        <v>3.7256815438847009E-3</v>
      </c>
      <c r="K218" s="3"/>
      <c r="L218" s="7">
        <f t="shared" si="38"/>
        <v>19.6400000000001</v>
      </c>
      <c r="M218" s="3"/>
      <c r="N218" s="8">
        <f t="shared" si="39"/>
        <v>1.0402266889118456E-2</v>
      </c>
      <c r="O218" s="12"/>
      <c r="P218" s="7">
        <v>21757.05</v>
      </c>
      <c r="Q218" s="3"/>
      <c r="R218" s="8">
        <f t="shared" si="40"/>
        <v>2.7137709092125459E-3</v>
      </c>
      <c r="S218" s="3"/>
      <c r="T218" s="7">
        <v>23697.87</v>
      </c>
      <c r="U218" s="3"/>
      <c r="V218" s="8">
        <f t="shared" si="41"/>
        <v>4.5465470008215284E-3</v>
      </c>
      <c r="W218" s="3"/>
      <c r="X218" s="7">
        <f t="shared" si="42"/>
        <v>-1940.8199999999997</v>
      </c>
      <c r="Y218" s="3"/>
      <c r="Z218" s="8">
        <f t="shared" si="43"/>
        <v>-8.1898499738584096E-2</v>
      </c>
    </row>
    <row r="219" spans="1:26" s="68" customFormat="1" ht="15" customHeight="1" outlineLevel="1" collapsed="1" x14ac:dyDescent="0.25">
      <c r="A219" s="26"/>
      <c r="B219" s="14" t="str">
        <f>CONCATENATE("     ","Training                                          ")</f>
        <v xml:space="preserve">     Training                                          </v>
      </c>
      <c r="C219" s="14"/>
      <c r="D219" s="2">
        <f>SUM(OSRRefD22_23x_0)</f>
        <v>5700</v>
      </c>
      <c r="E219" s="2"/>
      <c r="F219" s="6">
        <f t="shared" si="36"/>
        <v>6.0377041276266424E-3</v>
      </c>
      <c r="G219" s="2"/>
      <c r="H219" s="2">
        <f>SUM(OSRRefH22_23x_0)</f>
        <v>0</v>
      </c>
      <c r="I219" s="2"/>
      <c r="J219" s="6">
        <f t="shared" si="37"/>
        <v>0</v>
      </c>
      <c r="K219" s="2"/>
      <c r="L219" s="2">
        <f t="shared" si="38"/>
        <v>5700</v>
      </c>
      <c r="M219" s="2"/>
      <c r="N219" s="6">
        <f t="shared" si="39"/>
        <v>0</v>
      </c>
      <c r="O219" s="14"/>
      <c r="P219" s="2">
        <f>SUM(OSRRefP22_23x_0)</f>
        <v>7239</v>
      </c>
      <c r="Q219" s="2"/>
      <c r="R219" s="6">
        <f t="shared" si="40"/>
        <v>9.0292514894204962E-4</v>
      </c>
      <c r="S219" s="2"/>
      <c r="T219" s="2">
        <f>SUM(OSRRefT22_23x_0)</f>
        <v>895.63</v>
      </c>
      <c r="U219" s="2"/>
      <c r="V219" s="6">
        <f t="shared" si="41"/>
        <v>1.718307970440291E-4</v>
      </c>
      <c r="W219" s="2"/>
      <c r="X219" s="2">
        <f t="shared" si="42"/>
        <v>6343.37</v>
      </c>
      <c r="Y219" s="2"/>
      <c r="Z219" s="6">
        <f t="shared" si="43"/>
        <v>7.0825787434543281</v>
      </c>
    </row>
    <row r="220" spans="1:26" s="69" customFormat="1" ht="15" hidden="1" customHeight="1" outlineLevel="2" x14ac:dyDescent="0.25">
      <c r="A220" s="25"/>
      <c r="B220" s="12" t="str">
        <f>CONCATENATE("          ","6376"," - ","TRAINING")</f>
        <v xml:space="preserve">          6376 - TRAINING</v>
      </c>
      <c r="C220" s="12"/>
      <c r="D220" s="7">
        <v>5700</v>
      </c>
      <c r="E220" s="3"/>
      <c r="F220" s="8">
        <f t="shared" si="36"/>
        <v>6.0377041276266424E-3</v>
      </c>
      <c r="G220" s="3"/>
      <c r="H220" s="7"/>
      <c r="I220" s="3"/>
      <c r="J220" s="8">
        <f t="shared" si="37"/>
        <v>0</v>
      </c>
      <c r="K220" s="3"/>
      <c r="L220" s="7">
        <f t="shared" si="38"/>
        <v>5700</v>
      </c>
      <c r="M220" s="3"/>
      <c r="N220" s="8">
        <f t="shared" si="39"/>
        <v>0</v>
      </c>
      <c r="O220" s="12"/>
      <c r="P220" s="7">
        <v>7239</v>
      </c>
      <c r="Q220" s="3"/>
      <c r="R220" s="8">
        <f t="shared" si="40"/>
        <v>9.0292514894204962E-4</v>
      </c>
      <c r="S220" s="3"/>
      <c r="T220" s="7">
        <v>895.63</v>
      </c>
      <c r="U220" s="3"/>
      <c r="V220" s="8">
        <f t="shared" si="41"/>
        <v>1.718307970440291E-4</v>
      </c>
      <c r="W220" s="3"/>
      <c r="X220" s="7">
        <f t="shared" si="42"/>
        <v>6343.37</v>
      </c>
      <c r="Y220" s="3"/>
      <c r="Z220" s="8">
        <f t="shared" si="43"/>
        <v>7.0825787434543281</v>
      </c>
    </row>
    <row r="221" spans="1:26" s="68" customFormat="1" ht="15" customHeight="1" outlineLevel="1" collapsed="1" x14ac:dyDescent="0.25">
      <c r="A221" s="26"/>
      <c r="B221" s="14" t="str">
        <f>CONCATENATE("     ","Travel                                            ")</f>
        <v xml:space="preserve">     Travel                                            </v>
      </c>
      <c r="C221" s="14"/>
      <c r="D221" s="2">
        <f>SUM(OSRRefD22_24x_0)</f>
        <v>320.27</v>
      </c>
      <c r="E221" s="2"/>
      <c r="F221" s="6">
        <f t="shared" si="36"/>
        <v>3.3924482472894469E-4</v>
      </c>
      <c r="G221" s="2"/>
      <c r="H221" s="2">
        <f>SUM(OSRRefH22_24x_0)</f>
        <v>0</v>
      </c>
      <c r="I221" s="2"/>
      <c r="J221" s="6">
        <f t="shared" si="37"/>
        <v>0</v>
      </c>
      <c r="K221" s="2"/>
      <c r="L221" s="2">
        <f t="shared" si="38"/>
        <v>320.27</v>
      </c>
      <c r="M221" s="2"/>
      <c r="N221" s="6">
        <f t="shared" si="39"/>
        <v>0</v>
      </c>
      <c r="O221" s="14"/>
      <c r="P221" s="2">
        <f>SUM(OSRRefP22_24x_0)</f>
        <v>1605.25</v>
      </c>
      <c r="Q221" s="2"/>
      <c r="R221" s="6">
        <f t="shared" si="40"/>
        <v>2.0022387005653062E-4</v>
      </c>
      <c r="S221" s="2"/>
      <c r="T221" s="2">
        <f>SUM(OSRRefT22_24x_0)</f>
        <v>972.4</v>
      </c>
      <c r="U221" s="2"/>
      <c r="V221" s="6">
        <f t="shared" si="41"/>
        <v>1.8655947997009244E-4</v>
      </c>
      <c r="W221" s="2"/>
      <c r="X221" s="2">
        <f t="shared" si="42"/>
        <v>632.85</v>
      </c>
      <c r="Y221" s="2"/>
      <c r="Z221" s="6">
        <f t="shared" si="43"/>
        <v>0.65081242287124641</v>
      </c>
    </row>
    <row r="222" spans="1:26" s="69" customFormat="1" ht="15" hidden="1" customHeight="1" outlineLevel="2" x14ac:dyDescent="0.25">
      <c r="A222" s="25"/>
      <c r="B222" s="12" t="str">
        <f>CONCATENATE("          ","6292"," - ","TRAVEL/CONFERENCE")</f>
        <v xml:space="preserve">          6292 - TRAVEL/CONFERENCE</v>
      </c>
      <c r="C222" s="12"/>
      <c r="D222" s="7"/>
      <c r="E222" s="3"/>
      <c r="F222" s="8">
        <f t="shared" si="36"/>
        <v>0</v>
      </c>
      <c r="G222" s="3"/>
      <c r="H222" s="7"/>
      <c r="I222" s="3"/>
      <c r="J222" s="8">
        <f t="shared" si="37"/>
        <v>0</v>
      </c>
      <c r="K222" s="3"/>
      <c r="L222" s="7">
        <f t="shared" si="38"/>
        <v>0</v>
      </c>
      <c r="M222" s="3"/>
      <c r="N222" s="8">
        <f t="shared" si="39"/>
        <v>0</v>
      </c>
      <c r="O222" s="12"/>
      <c r="P222" s="7">
        <v>495</v>
      </c>
      <c r="Q222" s="3"/>
      <c r="R222" s="8">
        <f t="shared" si="40"/>
        <v>6.1741669944234641E-5</v>
      </c>
      <c r="S222" s="3"/>
      <c r="T222" s="7">
        <v>299.16000000000003</v>
      </c>
      <c r="U222" s="3"/>
      <c r="V222" s="8">
        <f t="shared" si="41"/>
        <v>5.7395242727121411E-5</v>
      </c>
      <c r="W222" s="3"/>
      <c r="X222" s="7">
        <f t="shared" si="42"/>
        <v>195.83999999999997</v>
      </c>
      <c r="Y222" s="3"/>
      <c r="Z222" s="8">
        <f t="shared" si="43"/>
        <v>0.65463297232250284</v>
      </c>
    </row>
    <row r="223" spans="1:26" s="69" customFormat="1" ht="15" hidden="1" customHeight="1" outlineLevel="2" x14ac:dyDescent="0.25">
      <c r="A223" s="25"/>
      <c r="B223" s="12" t="str">
        <f>CONCATENATE("          ","6294"," - ","TRAVEL OPERATIONAL")</f>
        <v xml:space="preserve">          6294 - TRAVEL OPERATIONAL</v>
      </c>
      <c r="C223" s="12"/>
      <c r="D223" s="7">
        <v>207.39</v>
      </c>
      <c r="E223" s="3"/>
      <c r="F223" s="8">
        <f t="shared" si="36"/>
        <v>2.1967709807517357E-4</v>
      </c>
      <c r="G223" s="3"/>
      <c r="H223" s="7"/>
      <c r="I223" s="3"/>
      <c r="J223" s="8">
        <f t="shared" si="37"/>
        <v>0</v>
      </c>
      <c r="K223" s="3"/>
      <c r="L223" s="7">
        <f t="shared" si="38"/>
        <v>207.39</v>
      </c>
      <c r="M223" s="3"/>
      <c r="N223" s="8">
        <f t="shared" si="39"/>
        <v>0</v>
      </c>
      <c r="O223" s="12"/>
      <c r="P223" s="7">
        <v>610.87</v>
      </c>
      <c r="Q223" s="3"/>
      <c r="R223" s="8">
        <f t="shared" si="40"/>
        <v>7.6194209937039631E-5</v>
      </c>
      <c r="S223" s="3"/>
      <c r="T223" s="7">
        <v>613.35</v>
      </c>
      <c r="U223" s="3"/>
      <c r="V223" s="8">
        <f t="shared" si="41"/>
        <v>1.1767406112675463E-4</v>
      </c>
      <c r="W223" s="3"/>
      <c r="X223" s="7">
        <f t="shared" si="42"/>
        <v>-2.4800000000000182</v>
      </c>
      <c r="Y223" s="3"/>
      <c r="Z223" s="8">
        <f t="shared" si="43"/>
        <v>-4.0433683867286511E-3</v>
      </c>
    </row>
    <row r="224" spans="1:26" s="69" customFormat="1" ht="15" hidden="1" customHeight="1" outlineLevel="2" x14ac:dyDescent="0.25">
      <c r="A224" s="25"/>
      <c r="B224" s="12" t="str">
        <f>CONCATENATE("          ","6298"," - ","VEHICLE MILEAGE")</f>
        <v xml:space="preserve">          6298 - VEHICLE MILEAGE</v>
      </c>
      <c r="C224" s="12"/>
      <c r="D224" s="7">
        <v>112.88</v>
      </c>
      <c r="E224" s="3"/>
      <c r="F224" s="8">
        <f t="shared" si="36"/>
        <v>1.1956772665377112E-4</v>
      </c>
      <c r="G224" s="3"/>
      <c r="H224" s="7"/>
      <c r="I224" s="3"/>
      <c r="J224" s="8">
        <f t="shared" si="37"/>
        <v>0</v>
      </c>
      <c r="K224" s="3"/>
      <c r="L224" s="7">
        <f t="shared" si="38"/>
        <v>112.88</v>
      </c>
      <c r="M224" s="3"/>
      <c r="N224" s="8">
        <f t="shared" si="39"/>
        <v>0</v>
      </c>
      <c r="O224" s="12"/>
      <c r="P224" s="7">
        <v>499.38</v>
      </c>
      <c r="Q224" s="3"/>
      <c r="R224" s="8">
        <f t="shared" si="40"/>
        <v>6.2287990175256358E-5</v>
      </c>
      <c r="S224" s="3"/>
      <c r="T224" s="7">
        <v>59.89</v>
      </c>
      <c r="U224" s="3"/>
      <c r="V224" s="8">
        <f t="shared" si="41"/>
        <v>1.149017611621641E-5</v>
      </c>
      <c r="W224" s="3"/>
      <c r="X224" s="7">
        <f t="shared" si="42"/>
        <v>439.49</v>
      </c>
      <c r="Y224" s="3"/>
      <c r="Z224" s="8">
        <f t="shared" si="43"/>
        <v>7.3382868592419435</v>
      </c>
    </row>
    <row r="225" spans="1:26" s="68" customFormat="1" ht="15" customHeight="1" outlineLevel="1" collapsed="1" x14ac:dyDescent="0.25">
      <c r="A225" s="26"/>
      <c r="B225" s="14" t="str">
        <f>CONCATENATE("     ","Utilities                                         ")</f>
        <v xml:space="preserve">     Utilities                                         </v>
      </c>
      <c r="C225" s="14"/>
      <c r="D225" s="2">
        <f>SUM(OSRRefD22_25x_0)</f>
        <v>29958.65</v>
      </c>
      <c r="E225" s="2"/>
      <c r="F225" s="6">
        <f t="shared" si="36"/>
        <v>3.1733590309319638E-2</v>
      </c>
      <c r="G225" s="2"/>
      <c r="H225" s="2">
        <f>SUM(OSRRefH22_25x_0)</f>
        <v>7298.9</v>
      </c>
      <c r="I225" s="2"/>
      <c r="J225" s="6">
        <f t="shared" si="37"/>
        <v>1.4402890294568493E-2</v>
      </c>
      <c r="K225" s="2"/>
      <c r="L225" s="2">
        <f t="shared" si="38"/>
        <v>22659.75</v>
      </c>
      <c r="M225" s="2"/>
      <c r="N225" s="6">
        <f t="shared" si="39"/>
        <v>3.1045431503377223</v>
      </c>
      <c r="O225" s="14"/>
      <c r="P225" s="2">
        <f>SUM(OSRRefP22_25x_0)</f>
        <v>86245.87</v>
      </c>
      <c r="Q225" s="2"/>
      <c r="R225" s="6">
        <f t="shared" si="40"/>
        <v>1.0757503110289631E-2</v>
      </c>
      <c r="S225" s="2"/>
      <c r="T225" s="2">
        <f>SUM(OSRRefT22_25x_0)</f>
        <v>71762.45</v>
      </c>
      <c r="U225" s="2"/>
      <c r="V225" s="6">
        <f t="shared" si="41"/>
        <v>1.3767961079164706E-2</v>
      </c>
      <c r="W225" s="2"/>
      <c r="X225" s="2">
        <f t="shared" si="42"/>
        <v>14483.419999999998</v>
      </c>
      <c r="Y225" s="2"/>
      <c r="Z225" s="6">
        <f t="shared" si="43"/>
        <v>0.2018244917780817</v>
      </c>
    </row>
    <row r="226" spans="1:26" s="69" customFormat="1" ht="15" hidden="1" customHeight="1" outlineLevel="2" x14ac:dyDescent="0.25">
      <c r="A226" s="25"/>
      <c r="B226" s="12" t="str">
        <f>CONCATENATE("          ","6274"," - ","UTILITIES")</f>
        <v xml:space="preserve">          6274 - UTILITIES</v>
      </c>
      <c r="C226" s="12"/>
      <c r="D226" s="7">
        <v>29958.65</v>
      </c>
      <c r="E226" s="3"/>
      <c r="F226" s="8">
        <f t="shared" si="36"/>
        <v>3.1733590309319638E-2</v>
      </c>
      <c r="G226" s="3"/>
      <c r="H226" s="7">
        <v>7298.9</v>
      </c>
      <c r="I226" s="3"/>
      <c r="J226" s="8">
        <f t="shared" si="37"/>
        <v>1.4402890294568493E-2</v>
      </c>
      <c r="K226" s="3"/>
      <c r="L226" s="7">
        <f t="shared" si="38"/>
        <v>22659.75</v>
      </c>
      <c r="M226" s="3"/>
      <c r="N226" s="8">
        <f t="shared" si="39"/>
        <v>3.1045431503377223</v>
      </c>
      <c r="O226" s="12"/>
      <c r="P226" s="7">
        <v>86245.87</v>
      </c>
      <c r="Q226" s="3"/>
      <c r="R226" s="8">
        <f t="shared" si="40"/>
        <v>1.0757503110289631E-2</v>
      </c>
      <c r="S226" s="3"/>
      <c r="T226" s="7">
        <v>71762.45</v>
      </c>
      <c r="U226" s="3"/>
      <c r="V226" s="8">
        <f t="shared" si="41"/>
        <v>1.3767961079164706E-2</v>
      </c>
      <c r="W226" s="3"/>
      <c r="X226" s="7">
        <f t="shared" si="42"/>
        <v>14483.419999999998</v>
      </c>
      <c r="Y226" s="3"/>
      <c r="Z226" s="8">
        <f t="shared" si="43"/>
        <v>0.2018244917780817</v>
      </c>
    </row>
    <row r="227" spans="1:26" s="64" customFormat="1" ht="15" customHeight="1" x14ac:dyDescent="0.25">
      <c r="A227" s="36"/>
      <c r="B227" s="36"/>
      <c r="C227" s="36"/>
      <c r="D227" s="2"/>
      <c r="E227" s="2"/>
      <c r="F227" s="6"/>
      <c r="G227" s="2"/>
      <c r="H227" s="2"/>
      <c r="I227" s="2"/>
      <c r="J227" s="6"/>
      <c r="K227" s="2"/>
      <c r="L227" s="2"/>
      <c r="M227" s="2"/>
      <c r="N227" s="6"/>
      <c r="O227" s="36"/>
      <c r="P227" s="2"/>
      <c r="Q227" s="2"/>
      <c r="R227" s="6"/>
      <c r="S227" s="2"/>
      <c r="T227" s="2"/>
      <c r="U227" s="2"/>
      <c r="V227" s="6"/>
      <c r="W227" s="2"/>
      <c r="X227" s="2"/>
      <c r="Y227" s="2"/>
      <c r="Z227" s="6"/>
    </row>
    <row r="228" spans="1:26" s="62" customFormat="1" ht="15" customHeight="1" collapsed="1" x14ac:dyDescent="0.25">
      <c r="A228" s="11"/>
      <c r="B228" s="28" t="s">
        <v>290</v>
      </c>
      <c r="C228" s="11"/>
      <c r="D228" s="5">
        <f>SUM(OSRRefD25x_0)</f>
        <v>440339.5</v>
      </c>
      <c r="E228" s="5"/>
      <c r="F228" s="13">
        <f t="shared" ref="F228:F233" si="44">IF(D$12=0,0,D228/D$12)</f>
        <v>0.46642800293106174</v>
      </c>
      <c r="G228" s="5"/>
      <c r="H228" s="5">
        <f>SUM(OSRRefH25x_0)</f>
        <v>60098.659999999996</v>
      </c>
      <c r="I228" s="5"/>
      <c r="J228" s="13">
        <f t="shared" ref="J228:J233" si="45">IF(H$12=0,0,H228/H$12)</f>
        <v>0.11859244637281942</v>
      </c>
      <c r="K228" s="5"/>
      <c r="L228" s="5">
        <f t="shared" ref="L228:L233" si="46">+D228-H228</f>
        <v>380240.84</v>
      </c>
      <c r="M228" s="5"/>
      <c r="N228" s="13">
        <f t="shared" ref="N228:N233" si="47">IF(H228=0,0,L228/H228)</f>
        <v>6.326943728861842</v>
      </c>
      <c r="O228" s="11"/>
      <c r="P228" s="5">
        <f>SUM(OSRRefP25x_0)</f>
        <v>1406300.6099999999</v>
      </c>
      <c r="Q228" s="5"/>
      <c r="R228" s="13">
        <f t="shared" ref="R228:R233" si="48">IF(P$12=0,0,P228/P$12)</f>
        <v>0.17540878405049662</v>
      </c>
      <c r="S228" s="5"/>
      <c r="T228" s="5">
        <f>SUM(OSRRefT25x_0)</f>
        <v>1053091.8299999998</v>
      </c>
      <c r="U228" s="5"/>
      <c r="V228" s="13">
        <f t="shared" ref="V228:V233" si="49">IF(T$12=0,0,T228/T$12)</f>
        <v>0.20204058429201252</v>
      </c>
      <c r="W228" s="5"/>
      <c r="X228" s="5">
        <f t="shared" ref="X228:X233" si="50">+P228-T228</f>
        <v>353208.78</v>
      </c>
      <c r="Y228" s="5"/>
      <c r="Z228" s="13">
        <f t="shared" ref="Z228:Z233" si="51">IF(T228=0,0,X228/T228)</f>
        <v>0.33540169046796242</v>
      </c>
    </row>
    <row r="229" spans="1:26" s="69" customFormat="1" ht="15" hidden="1" customHeight="1" outlineLevel="1" x14ac:dyDescent="0.25">
      <c r="A229" s="42"/>
      <c r="B229" s="12" t="str">
        <f>CONCATENATE("          ","4098"," - ","TAXABLE SALES-GRAD RENTALS")</f>
        <v xml:space="preserve">          4098 - TAXABLE SALES-GRAD RENTALS</v>
      </c>
      <c r="C229" s="12"/>
      <c r="D229" s="3">
        <f>0</f>
        <v>0</v>
      </c>
      <c r="E229" s="3"/>
      <c r="F229" s="20">
        <f t="shared" si="44"/>
        <v>0</v>
      </c>
      <c r="G229" s="3"/>
      <c r="H229" s="3">
        <f>0</f>
        <v>0</v>
      </c>
      <c r="I229" s="3"/>
      <c r="J229" s="20">
        <f t="shared" si="45"/>
        <v>0</v>
      </c>
      <c r="K229" s="3"/>
      <c r="L229" s="3">
        <f t="shared" si="46"/>
        <v>0</v>
      </c>
      <c r="M229" s="3"/>
      <c r="N229" s="20">
        <f t="shared" si="47"/>
        <v>0</v>
      </c>
      <c r="O229" s="12"/>
      <c r="P229" s="3">
        <f>0</f>
        <v>0</v>
      </c>
      <c r="Q229" s="3"/>
      <c r="R229" s="20">
        <f t="shared" si="48"/>
        <v>0</v>
      </c>
      <c r="S229" s="3"/>
      <c r="T229" s="3">
        <f>--49.95</f>
        <v>49.95</v>
      </c>
      <c r="U229" s="3"/>
      <c r="V229" s="20">
        <f t="shared" si="49"/>
        <v>9.58314070804825E-6</v>
      </c>
      <c r="W229" s="3"/>
      <c r="X229" s="3">
        <f t="shared" si="50"/>
        <v>-49.95</v>
      </c>
      <c r="Y229" s="3"/>
      <c r="Z229" s="20">
        <f t="shared" si="51"/>
        <v>-1</v>
      </c>
    </row>
    <row r="230" spans="1:26" s="69" customFormat="1" ht="15" hidden="1" customHeight="1" outlineLevel="1" x14ac:dyDescent="0.25">
      <c r="A230" s="42"/>
      <c r="B230" s="12" t="str">
        <f>CONCATENATE("          ","9150"," - ","MISC. INCOME")</f>
        <v xml:space="preserve">          9150 - MISC. INCOME</v>
      </c>
      <c r="C230" s="12"/>
      <c r="D230" s="3">
        <f>--53704.78</f>
        <v>53704.78</v>
      </c>
      <c r="E230" s="3"/>
      <c r="F230" s="20">
        <f t="shared" si="44"/>
        <v>5.6886591557768554E-2</v>
      </c>
      <c r="G230" s="3"/>
      <c r="H230" s="3">
        <f>--56800.59</f>
        <v>56800.59</v>
      </c>
      <c r="I230" s="3"/>
      <c r="J230" s="20">
        <f t="shared" si="45"/>
        <v>0.11208437797980027</v>
      </c>
      <c r="K230" s="3"/>
      <c r="L230" s="3">
        <f t="shared" si="46"/>
        <v>-3095.8099999999977</v>
      </c>
      <c r="M230" s="3"/>
      <c r="N230" s="20">
        <f t="shared" si="47"/>
        <v>-5.4503131041420481E-2</v>
      </c>
      <c r="O230" s="12"/>
      <c r="P230" s="3">
        <f>--435196.06</f>
        <v>435196.06</v>
      </c>
      <c r="Q230" s="3"/>
      <c r="R230" s="20">
        <f t="shared" si="48"/>
        <v>5.4282285853639062E-2</v>
      </c>
      <c r="S230" s="3"/>
      <c r="T230" s="3">
        <f>--403420.29</f>
        <v>403420.29</v>
      </c>
      <c r="U230" s="3"/>
      <c r="V230" s="20">
        <f t="shared" si="49"/>
        <v>7.7398066137169763E-2</v>
      </c>
      <c r="W230" s="3"/>
      <c r="X230" s="3">
        <f t="shared" si="50"/>
        <v>31775.770000000019</v>
      </c>
      <c r="Y230" s="3"/>
      <c r="Z230" s="20">
        <f t="shared" si="51"/>
        <v>7.8765919284823335E-2</v>
      </c>
    </row>
    <row r="231" spans="1:26" s="69" customFormat="1" ht="15" hidden="1" customHeight="1" outlineLevel="1" x14ac:dyDescent="0.25">
      <c r="A231" s="42"/>
      <c r="B231" s="12" t="str">
        <f>CONCATENATE("          ","9151"," - ","MISC. INCOME")</f>
        <v xml:space="preserve">          9151 - MISC. INCOME</v>
      </c>
      <c r="C231" s="12"/>
      <c r="D231" s="3">
        <f>--626.04</f>
        <v>626.04</v>
      </c>
      <c r="E231" s="3"/>
      <c r="F231" s="20">
        <f t="shared" si="44"/>
        <v>6.6313057755427768E-4</v>
      </c>
      <c r="G231" s="3"/>
      <c r="H231" s="3">
        <f>0</f>
        <v>0</v>
      </c>
      <c r="I231" s="3"/>
      <c r="J231" s="20">
        <f t="shared" si="45"/>
        <v>0</v>
      </c>
      <c r="K231" s="3"/>
      <c r="L231" s="3">
        <f t="shared" si="46"/>
        <v>626.04</v>
      </c>
      <c r="M231" s="3"/>
      <c r="N231" s="20">
        <f t="shared" si="47"/>
        <v>0</v>
      </c>
      <c r="O231" s="12"/>
      <c r="P231" s="3">
        <f>--324387.74</f>
        <v>324387.74</v>
      </c>
      <c r="Q231" s="3"/>
      <c r="R231" s="20">
        <f t="shared" si="48"/>
        <v>4.046109247886101E-2</v>
      </c>
      <c r="S231" s="3"/>
      <c r="T231" s="3">
        <f>--295628.46</f>
        <v>295628.46000000002</v>
      </c>
      <c r="U231" s="3"/>
      <c r="V231" s="20">
        <f t="shared" si="49"/>
        <v>5.6717700289962238E-2</v>
      </c>
      <c r="W231" s="3"/>
      <c r="X231" s="3">
        <f t="shared" si="50"/>
        <v>28759.27999999997</v>
      </c>
      <c r="Y231" s="3"/>
      <c r="Z231" s="20">
        <f t="shared" si="51"/>
        <v>9.7281838155906797E-2</v>
      </c>
    </row>
    <row r="232" spans="1:26" s="69" customFormat="1" ht="15" hidden="1" customHeight="1" outlineLevel="1" x14ac:dyDescent="0.25">
      <c r="A232" s="42"/>
      <c r="B232" s="12" t="str">
        <f>CONCATENATE("          ","9152"," - ","MISC. INCOME")</f>
        <v xml:space="preserve">          9152 - MISC. INCOME</v>
      </c>
      <c r="C232" s="12"/>
      <c r="D232" s="3">
        <f>--1358.68</f>
        <v>1358.68</v>
      </c>
      <c r="E232" s="3"/>
      <c r="F232" s="20">
        <f t="shared" si="44"/>
        <v>1.4391768147585557E-3</v>
      </c>
      <c r="G232" s="3"/>
      <c r="H232" s="3">
        <f>--1436.07</f>
        <v>1436.07</v>
      </c>
      <c r="I232" s="3"/>
      <c r="J232" s="20">
        <f t="shared" si="45"/>
        <v>2.8337912103633392E-3</v>
      </c>
      <c r="K232" s="3"/>
      <c r="L232" s="3">
        <f t="shared" si="46"/>
        <v>-77.389999999999873</v>
      </c>
      <c r="M232" s="3"/>
      <c r="N232" s="20">
        <f t="shared" si="47"/>
        <v>-5.389013070393496E-2</v>
      </c>
      <c r="O232" s="12"/>
      <c r="P232" s="3">
        <f>--5247.11</f>
        <v>5247.11</v>
      </c>
      <c r="Q232" s="3"/>
      <c r="R232" s="20">
        <f t="shared" si="48"/>
        <v>6.5447542177998589E-4</v>
      </c>
      <c r="S232" s="3"/>
      <c r="T232" s="3">
        <f>--5652.57</f>
        <v>5652.57</v>
      </c>
      <c r="U232" s="3"/>
      <c r="V232" s="20">
        <f t="shared" si="49"/>
        <v>1.084471945387233E-3</v>
      </c>
      <c r="W232" s="3"/>
      <c r="X232" s="3">
        <f t="shared" si="50"/>
        <v>-405.46000000000004</v>
      </c>
      <c r="Y232" s="3"/>
      <c r="Z232" s="20">
        <f t="shared" si="51"/>
        <v>-7.1730204137233161E-2</v>
      </c>
    </row>
    <row r="233" spans="1:26" s="69" customFormat="1" ht="15" hidden="1" customHeight="1" outlineLevel="1" x14ac:dyDescent="0.25">
      <c r="A233" s="42"/>
      <c r="B233" s="12" t="str">
        <f>CONCATENATE("          ","9163"," - ","MISC. INCOME")</f>
        <v xml:space="preserve">          9163 - MISC. INCOME</v>
      </c>
      <c r="C233" s="12"/>
      <c r="D233" s="3">
        <f>--384650</f>
        <v>384650</v>
      </c>
      <c r="E233" s="3"/>
      <c r="F233" s="20">
        <f t="shared" si="44"/>
        <v>0.40743910398098038</v>
      </c>
      <c r="G233" s="3"/>
      <c r="H233" s="3">
        <f>--1862</f>
        <v>1862</v>
      </c>
      <c r="I233" s="3"/>
      <c r="J233" s="20">
        <f t="shared" si="45"/>
        <v>3.6742771826558159E-3</v>
      </c>
      <c r="K233" s="3"/>
      <c r="L233" s="3">
        <f t="shared" si="46"/>
        <v>382788</v>
      </c>
      <c r="M233" s="3"/>
      <c r="N233" s="20">
        <f t="shared" si="47"/>
        <v>205.57894736842104</v>
      </c>
      <c r="O233" s="12"/>
      <c r="P233" s="3">
        <f>--641469.7</f>
        <v>641469.69999999995</v>
      </c>
      <c r="Q233" s="3"/>
      <c r="R233" s="20">
        <f t="shared" si="48"/>
        <v>8.0010930296216587E-2</v>
      </c>
      <c r="S233" s="3"/>
      <c r="T233" s="3">
        <f>--348340.56</f>
        <v>348340.56</v>
      </c>
      <c r="U233" s="3"/>
      <c r="V233" s="20">
        <f t="shared" si="49"/>
        <v>6.683076277878526E-2</v>
      </c>
      <c r="W233" s="3"/>
      <c r="X233" s="3">
        <f t="shared" si="50"/>
        <v>293129.13999999996</v>
      </c>
      <c r="Y233" s="3"/>
      <c r="Z233" s="20">
        <f t="shared" si="51"/>
        <v>0.84150160406241514</v>
      </c>
    </row>
    <row r="234" spans="1:26" ht="15" customHeight="1" x14ac:dyDescent="0.25">
      <c r="A234" s="10"/>
      <c r="B234" s="11"/>
      <c r="C234" s="11"/>
      <c r="D234" s="4"/>
      <c r="E234" s="4"/>
      <c r="F234" s="9"/>
      <c r="G234" s="4"/>
      <c r="H234" s="4"/>
      <c r="I234" s="4"/>
      <c r="J234" s="9"/>
      <c r="K234" s="4"/>
      <c r="L234" s="4"/>
      <c r="M234" s="4"/>
      <c r="N234" s="9"/>
      <c r="O234" s="11"/>
      <c r="P234" s="4"/>
      <c r="Q234" s="4"/>
      <c r="R234" s="9"/>
      <c r="S234" s="4"/>
      <c r="T234" s="4"/>
      <c r="U234" s="4"/>
      <c r="V234" s="9"/>
      <c r="W234" s="4"/>
      <c r="X234" s="4"/>
      <c r="Y234" s="4"/>
      <c r="Z234" s="9"/>
    </row>
    <row r="235" spans="1:26" s="62" customFormat="1" ht="15" customHeight="1" x14ac:dyDescent="0.25">
      <c r="A235" s="11"/>
      <c r="B235" s="27" t="s">
        <v>291</v>
      </c>
      <c r="C235" s="27"/>
      <c r="D235" s="22">
        <f>+D133-D135+D228</f>
        <v>604428.79999999993</v>
      </c>
      <c r="E235" s="15"/>
      <c r="F235" s="23">
        <f>IF(D$12=0,0,D235/D$12)</f>
        <v>0.64023899309059962</v>
      </c>
      <c r="G235" s="15"/>
      <c r="H235" s="22">
        <f>+H133-H135+H228</f>
        <v>72613.410000000207</v>
      </c>
      <c r="I235" s="15"/>
      <c r="J235" s="23">
        <f>IF(H$12=0,0,H235/H$12)</f>
        <v>0.14328775269486166</v>
      </c>
      <c r="K235" s="16"/>
      <c r="L235" s="22">
        <f>+D235-H235</f>
        <v>531815.38999999966</v>
      </c>
      <c r="M235" s="16"/>
      <c r="N235" s="23">
        <f>IF(H235=0,0,L235/H235)</f>
        <v>7.3239280457975759</v>
      </c>
      <c r="O235" s="28"/>
      <c r="P235" s="22">
        <f>+P133-P135+P228</f>
        <v>1215237.3500000015</v>
      </c>
      <c r="Q235" s="15"/>
      <c r="R235" s="23">
        <f>IF(P$12=0,0,P235/P$12)</f>
        <v>0.15157734013657867</v>
      </c>
      <c r="S235" s="15"/>
      <c r="T235" s="22">
        <f>+T133-T135+T228</f>
        <v>-72895.420000002487</v>
      </c>
      <c r="U235" s="15"/>
      <c r="V235" s="23">
        <f>IF(T$12=0,0,T235/T$12)</f>
        <v>-1.3985326663309277E-2</v>
      </c>
      <c r="W235" s="16"/>
      <c r="X235" s="22">
        <f>+P235-T235</f>
        <v>1288132.770000004</v>
      </c>
      <c r="Y235" s="16"/>
      <c r="Z235" s="23">
        <f>IF(T235=0,0,X235/T235)</f>
        <v>-17.670969863401019</v>
      </c>
    </row>
    <row r="236" spans="1:26" ht="15" customHeight="1" x14ac:dyDescent="0.25">
      <c r="A236" s="10"/>
      <c r="B236" s="11"/>
      <c r="C236" s="10"/>
      <c r="D236" s="4"/>
      <c r="E236" s="4"/>
      <c r="F236" s="9"/>
      <c r="G236" s="4"/>
      <c r="H236" s="4"/>
      <c r="I236" s="4"/>
      <c r="J236" s="9"/>
      <c r="K236" s="4"/>
      <c r="L236" s="4"/>
      <c r="M236" s="4"/>
      <c r="N236" s="9"/>
      <c r="P236" s="4"/>
      <c r="Q236" s="4"/>
      <c r="R236" s="9"/>
      <c r="S236" s="4"/>
      <c r="T236" s="4"/>
      <c r="U236" s="4"/>
      <c r="V236" s="9"/>
      <c r="W236" s="4"/>
      <c r="X236" s="4"/>
      <c r="Y236" s="4"/>
      <c r="Z236" s="9"/>
    </row>
    <row r="237" spans="1:26" s="62" customFormat="1" ht="15" customHeight="1" x14ac:dyDescent="0.25">
      <c r="A237" s="48"/>
      <c r="B237" s="11" t="s">
        <v>292</v>
      </c>
      <c r="C237" s="11"/>
      <c r="D237" s="5">
        <v>100064.6</v>
      </c>
      <c r="E237" s="5"/>
      <c r="F237" s="13">
        <f>IF(D$12=0,0,D237/D$12)</f>
        <v>0.10599306113145772</v>
      </c>
      <c r="G237" s="5"/>
      <c r="H237" s="5">
        <v>129402.26</v>
      </c>
      <c r="I237" s="5"/>
      <c r="J237" s="13">
        <f>IF(H$12=0,0,H237/H$12)</f>
        <v>0.25534896417942821</v>
      </c>
      <c r="K237" s="5"/>
      <c r="L237" s="5">
        <f>+D237-H237</f>
        <v>-29337.659999999989</v>
      </c>
      <c r="M237" s="5"/>
      <c r="N237" s="13">
        <f>IF(H237=0,0,L237/H237)</f>
        <v>-0.2267167513148533</v>
      </c>
      <c r="O237" s="11"/>
      <c r="P237" s="5">
        <v>901345.08</v>
      </c>
      <c r="Q237" s="5"/>
      <c r="R237" s="13">
        <f>IF(P$12=0,0,P237/P$12)</f>
        <v>0.11242535441458539</v>
      </c>
      <c r="S237" s="5"/>
      <c r="T237" s="5">
        <v>1113814.54</v>
      </c>
      <c r="U237" s="5"/>
      <c r="V237" s="13">
        <f>IF(T$12=0,0,T237/T$12)</f>
        <v>0.21369051970951022</v>
      </c>
      <c r="W237" s="5"/>
      <c r="X237" s="5">
        <f>+P237-T237</f>
        <v>-212469.46000000008</v>
      </c>
      <c r="Y237" s="5"/>
      <c r="Z237" s="13">
        <f>IF(T237=0,0,X237/T237)</f>
        <v>-0.19075838245027765</v>
      </c>
    </row>
    <row r="238" spans="1:26" ht="15" customHeight="1" x14ac:dyDescent="0.25">
      <c r="A238" s="10"/>
      <c r="B238" s="11"/>
      <c r="C238" s="11"/>
      <c r="D238" s="4"/>
      <c r="E238" s="4"/>
      <c r="F238" s="9"/>
      <c r="G238" s="4"/>
      <c r="H238" s="4"/>
      <c r="I238" s="4"/>
      <c r="J238" s="9"/>
      <c r="K238" s="4"/>
      <c r="L238" s="4"/>
      <c r="M238" s="4"/>
      <c r="N238" s="9"/>
      <c r="O238" s="11"/>
      <c r="P238" s="4"/>
      <c r="Q238" s="4"/>
      <c r="R238" s="9"/>
      <c r="S238" s="4"/>
      <c r="T238" s="4"/>
      <c r="U238" s="4"/>
      <c r="V238" s="9"/>
      <c r="W238" s="4"/>
      <c r="X238" s="4"/>
      <c r="Y238" s="4"/>
      <c r="Z238" s="9"/>
    </row>
    <row r="239" spans="1:26" s="62" customFormat="1" ht="15" customHeight="1" x14ac:dyDescent="0.25">
      <c r="A239" s="11"/>
      <c r="B239" s="27" t="s">
        <v>293</v>
      </c>
      <c r="C239" s="27"/>
      <c r="D239" s="35">
        <f>+D235-D237</f>
        <v>504364.19999999995</v>
      </c>
      <c r="E239" s="15"/>
      <c r="F239" s="30">
        <f>IF(D$12=0,0,D239/D$12)</f>
        <v>0.53424593195914194</v>
      </c>
      <c r="G239" s="15"/>
      <c r="H239" s="35">
        <f>+H235-H237</f>
        <v>-56788.849999999788</v>
      </c>
      <c r="I239" s="15"/>
      <c r="J239" s="30">
        <f>IF(H$12=0,0,H239/H$12)</f>
        <v>-0.11206121148456656</v>
      </c>
      <c r="K239" s="16"/>
      <c r="L239" s="35">
        <f>D239-H239</f>
        <v>561153.0499999997</v>
      </c>
      <c r="M239" s="16"/>
      <c r="N239" s="30">
        <f>IF(H239=0,0,L239/H239)</f>
        <v>-9.8813948512780563</v>
      </c>
      <c r="O239" s="28"/>
      <c r="P239" s="35">
        <f>+P235-P237</f>
        <v>313892.27000000153</v>
      </c>
      <c r="Q239" s="15"/>
      <c r="R239" s="30">
        <f>IF(P$12=0,0,P239/P$12)</f>
        <v>3.9151985721993292E-2</v>
      </c>
      <c r="S239" s="15"/>
      <c r="T239" s="35">
        <f>+T235-T237</f>
        <v>-1186709.9600000025</v>
      </c>
      <c r="U239" s="15"/>
      <c r="V239" s="30">
        <f>IF(T$12=0,0,T239/T$12)</f>
        <v>-0.22767584637281948</v>
      </c>
      <c r="W239" s="16"/>
      <c r="X239" s="35">
        <f>P239-T239</f>
        <v>1500602.2300000042</v>
      </c>
      <c r="Y239" s="16"/>
      <c r="Z239" s="30">
        <f>IF(T239=0,0,X239/T239)</f>
        <v>-1.2645063078429046</v>
      </c>
    </row>
    <row r="240" spans="1:26" ht="15" customHeight="1" x14ac:dyDescent="0.25">
      <c r="A240" s="10"/>
      <c r="B240" s="10"/>
      <c r="C240" s="10"/>
      <c r="D240" s="4"/>
      <c r="E240" s="4"/>
      <c r="F240" s="9"/>
      <c r="G240" s="4"/>
      <c r="H240" s="4"/>
      <c r="I240" s="4"/>
      <c r="J240" s="9"/>
      <c r="K240" s="4"/>
      <c r="L240" s="4"/>
      <c r="M240" s="4"/>
      <c r="N240" s="9"/>
      <c r="P240" s="4"/>
      <c r="Q240" s="4"/>
      <c r="R240" s="9"/>
      <c r="S240" s="4"/>
      <c r="T240" s="4"/>
      <c r="U240" s="4"/>
      <c r="V240" s="9"/>
      <c r="W240" s="4"/>
      <c r="X240" s="4"/>
      <c r="Y240" s="4"/>
      <c r="Z240" s="9"/>
    </row>
    <row r="241" spans="1:26" ht="15" customHeight="1" x14ac:dyDescent="0.25">
      <c r="A241" s="10"/>
      <c r="B241" s="10"/>
      <c r="C241" s="10"/>
      <c r="D241" s="4"/>
      <c r="E241" s="4"/>
      <c r="F241" s="9"/>
      <c r="G241" s="4"/>
      <c r="H241" s="4"/>
      <c r="I241" s="4"/>
      <c r="J241" s="9"/>
      <c r="K241" s="4"/>
      <c r="L241" s="4"/>
      <c r="M241" s="4"/>
      <c r="N241" s="9"/>
      <c r="P241" s="4"/>
      <c r="Q241" s="4"/>
      <c r="R241" s="9"/>
      <c r="S241" s="4"/>
      <c r="T241" s="4"/>
      <c r="U241" s="4"/>
      <c r="V241" s="9"/>
      <c r="W241" s="4"/>
      <c r="X241" s="4"/>
      <c r="Y241" s="4"/>
      <c r="Z241" s="9"/>
    </row>
    <row r="242" spans="1:26" s="62" customFormat="1" ht="15" customHeight="1" x14ac:dyDescent="0.25">
      <c r="A242" s="11"/>
      <c r="B242" s="27" t="s">
        <v>296</v>
      </c>
      <c r="C242" s="27"/>
      <c r="D242" s="32">
        <f>SUM(D239:D241)</f>
        <v>504364.19999999995</v>
      </c>
      <c r="E242" s="15"/>
      <c r="F242" s="34">
        <f>IF(D$12=0,0,D242/D$12)</f>
        <v>0.53424593195914194</v>
      </c>
      <c r="G242" s="15"/>
      <c r="H242" s="32">
        <f>SUM(H239:H241)</f>
        <v>-56788.849999999788</v>
      </c>
      <c r="I242" s="15"/>
      <c r="J242" s="34">
        <f>IF(H$12=0,0,H242/H$12)</f>
        <v>-0.11206121148456656</v>
      </c>
      <c r="K242" s="16"/>
      <c r="L242" s="32">
        <f>+D242-H242</f>
        <v>561153.0499999997</v>
      </c>
      <c r="M242" s="16"/>
      <c r="N242" s="34">
        <f>IF(H242=0,0,L242/H242)</f>
        <v>-9.8813948512780563</v>
      </c>
      <c r="O242" s="28"/>
      <c r="P242" s="32">
        <f>SUM(P239:P241)</f>
        <v>313892.27000000153</v>
      </c>
      <c r="Q242" s="15"/>
      <c r="R242" s="34">
        <f>IF(P$12=0,0,P242/P$12)</f>
        <v>3.9151985721993292E-2</v>
      </c>
      <c r="S242" s="15"/>
      <c r="T242" s="32">
        <f>SUM(T239:T241)</f>
        <v>-1186709.9600000025</v>
      </c>
      <c r="U242" s="15"/>
      <c r="V242" s="34">
        <f>IF(T$12=0,0,T242/T$12)</f>
        <v>-0.22767584637281948</v>
      </c>
      <c r="W242" s="16"/>
      <c r="X242" s="32">
        <f>+P242-T242</f>
        <v>1500602.2300000042</v>
      </c>
      <c r="Y242" s="16"/>
      <c r="Z242" s="34">
        <f>IF(T242=0,0,X242/T242)</f>
        <v>-1.2645063078429046</v>
      </c>
    </row>
    <row r="243" spans="1:26" ht="15" customHeight="1" x14ac:dyDescent="0.25">
      <c r="A243" s="10"/>
      <c r="C243" s="10"/>
      <c r="D243" s="18"/>
      <c r="E243" s="18"/>
      <c r="G243" s="18"/>
      <c r="H243" s="18"/>
      <c r="I243" s="18"/>
      <c r="J243" s="41"/>
      <c r="K243" s="18"/>
      <c r="L243" s="18"/>
      <c r="M243" s="18"/>
      <c r="P243" s="18"/>
      <c r="Q243" s="18"/>
      <c r="R243" s="41"/>
      <c r="S243" s="18"/>
      <c r="T243" s="18"/>
      <c r="U243" s="18"/>
      <c r="V243" s="41"/>
      <c r="W243" s="18"/>
      <c r="X243" s="18"/>
    </row>
    <row r="244" spans="1:26" ht="15" customHeight="1" x14ac:dyDescent="0.25">
      <c r="A244" s="10"/>
      <c r="B244" s="50">
        <v>44727.879647187503</v>
      </c>
      <c r="D244" s="18"/>
      <c r="E244" s="18"/>
      <c r="G244" s="18"/>
      <c r="H244" s="18"/>
      <c r="I244" s="18"/>
      <c r="J244" s="41"/>
      <c r="K244" s="18"/>
      <c r="L244" s="18"/>
      <c r="M244" s="18"/>
      <c r="P244" s="18"/>
      <c r="Q244" s="18"/>
      <c r="R244" s="41"/>
      <c r="S244" s="18"/>
      <c r="T244" s="18"/>
      <c r="U244" s="18"/>
      <c r="V244" s="41"/>
      <c r="W244" s="18"/>
      <c r="X244" s="18"/>
    </row>
    <row r="245" spans="1:26" ht="15" customHeight="1" x14ac:dyDescent="0.25">
      <c r="A245" s="10"/>
      <c r="B245" s="53" t="s">
        <v>297</v>
      </c>
      <c r="D245" s="18"/>
      <c r="E245" s="18"/>
      <c r="G245" s="18"/>
      <c r="H245" s="18"/>
      <c r="I245" s="18"/>
      <c r="J245" s="41"/>
      <c r="K245" s="18"/>
      <c r="L245" s="18"/>
      <c r="M245" s="18"/>
      <c r="P245" s="18"/>
      <c r="Q245" s="18"/>
      <c r="R245" s="41"/>
      <c r="S245" s="18"/>
      <c r="T245" s="18"/>
      <c r="U245" s="18"/>
      <c r="V245" s="41"/>
      <c r="W245" s="18"/>
      <c r="X245" s="18"/>
    </row>
    <row r="246" spans="1:26" ht="15" customHeight="1" x14ac:dyDescent="0.25">
      <c r="A246" s="10"/>
      <c r="B246" s="55"/>
      <c r="D246" s="18"/>
      <c r="E246" s="18"/>
      <c r="G246" s="18"/>
      <c r="H246" s="18"/>
      <c r="I246" s="18"/>
      <c r="J246" s="41"/>
      <c r="K246" s="18"/>
      <c r="L246" s="18"/>
      <c r="M246" s="18"/>
      <c r="P246" s="18"/>
      <c r="Q246" s="18"/>
      <c r="R246" s="41"/>
      <c r="S246" s="18"/>
      <c r="T246" s="18"/>
      <c r="U246" s="18"/>
      <c r="V246" s="41"/>
      <c r="W246" s="18"/>
      <c r="X246" s="18"/>
    </row>
    <row r="247" spans="1:26" ht="15" customHeight="1" x14ac:dyDescent="0.25">
      <c r="D247" s="18"/>
      <c r="E247" s="18"/>
      <c r="G247" s="18"/>
      <c r="H247" s="18"/>
      <c r="I247" s="18"/>
      <c r="J247" s="41"/>
      <c r="K247" s="18"/>
      <c r="L247" s="18"/>
      <c r="M247" s="18"/>
      <c r="P247" s="18"/>
      <c r="Q247" s="18"/>
      <c r="R247" s="41"/>
      <c r="S247" s="18"/>
      <c r="T247" s="18"/>
      <c r="U247" s="18"/>
      <c r="V247" s="41"/>
      <c r="W247" s="18"/>
      <c r="X24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6A37B-643E-402F-EF16-970FEBC7254C}">
  <sheetPr>
    <tabColor rgb="FFFFFF00"/>
    <outlinePr summaryBelow="0" summaryRight="0"/>
  </sheetPr>
  <dimension ref="A2:Z23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301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857648.2</v>
      </c>
      <c r="E12" s="5"/>
      <c r="F12" s="13"/>
      <c r="G12" s="5"/>
      <c r="H12" s="5">
        <f>SUM(OSRRefH13x_0)</f>
        <v>506762.3400000002</v>
      </c>
      <c r="I12" s="5"/>
      <c r="J12" s="13"/>
      <c r="K12" s="5"/>
      <c r="L12" s="5">
        <f t="shared" ref="L12:L43" si="0">+D12-H12</f>
        <v>350885.85999999975</v>
      </c>
      <c r="M12" s="5"/>
      <c r="N12" s="13">
        <f t="shared" ref="N12:N43" si="1">IF(H12=0,0,L12/H12)</f>
        <v>0.69240713506848128</v>
      </c>
      <c r="O12" s="11"/>
      <c r="P12" s="5">
        <f>SUM(OSRRefP13x_0)</f>
        <v>7519311.9600000009</v>
      </c>
      <c r="Q12" s="5"/>
      <c r="R12" s="13"/>
      <c r="S12" s="5"/>
      <c r="T12" s="5">
        <f>SUM(OSRRefT13x_0)</f>
        <v>5209401.7600000007</v>
      </c>
      <c r="U12" s="5"/>
      <c r="V12" s="13"/>
      <c r="W12" s="5"/>
      <c r="X12" s="5">
        <f t="shared" ref="X12:X43" si="2">+P12-T12</f>
        <v>2309910.2000000002</v>
      </c>
      <c r="Y12" s="5"/>
      <c r="Z12" s="13">
        <f t="shared" ref="Z12:Z43" si="3">IF(T12=0,0,X12/T12)</f>
        <v>0.44341179782609047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--849642.34</f>
        <v>849642.34</v>
      </c>
      <c r="E13" s="3"/>
      <c r="F13" s="20"/>
      <c r="G13" s="3"/>
      <c r="H13" s="3">
        <f>-11353.84</f>
        <v>-11353.84</v>
      </c>
      <c r="I13" s="3"/>
      <c r="J13" s="20"/>
      <c r="K13" s="3"/>
      <c r="L13" s="3">
        <f t="shared" si="0"/>
        <v>860996.17999999993</v>
      </c>
      <c r="M13" s="3"/>
      <c r="N13" s="20">
        <f t="shared" si="1"/>
        <v>-75.83303798538644</v>
      </c>
      <c r="O13" s="12"/>
      <c r="P13" s="3">
        <f>--6570471.15</f>
        <v>6570471.1500000004</v>
      </c>
      <c r="Q13" s="3"/>
      <c r="R13" s="20"/>
      <c r="S13" s="3"/>
      <c r="T13" s="3">
        <f>-144449.03</f>
        <v>-144449.03</v>
      </c>
      <c r="U13" s="3"/>
      <c r="V13" s="20"/>
      <c r="W13" s="3"/>
      <c r="X13" s="3">
        <f t="shared" si="2"/>
        <v>6714920.1800000006</v>
      </c>
      <c r="Y13" s="3"/>
      <c r="Z13" s="20">
        <f t="shared" si="3"/>
        <v>-46.486433173002276</v>
      </c>
    </row>
    <row r="14" spans="1:26" s="69" customFormat="1" ht="15" hidden="1" customHeight="1" outlineLevel="1" x14ac:dyDescent="0.25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--35278.2</f>
        <v>35278.199999999997</v>
      </c>
      <c r="I14" s="3"/>
      <c r="J14" s="20"/>
      <c r="K14" s="3"/>
      <c r="L14" s="3">
        <f t="shared" si="0"/>
        <v>-35278.199999999997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--1299088.56</f>
        <v>1299088.56</v>
      </c>
      <c r="U14" s="3"/>
      <c r="V14" s="20"/>
      <c r="W14" s="3"/>
      <c r="X14" s="3">
        <f t="shared" si="2"/>
        <v>-1299088.56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--11501.84</f>
        <v>11501.84</v>
      </c>
      <c r="I15" s="3"/>
      <c r="J15" s="20"/>
      <c r="K15" s="3"/>
      <c r="L15" s="3">
        <f t="shared" si="0"/>
        <v>-11501.84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--590270.47</f>
        <v>590270.47</v>
      </c>
      <c r="U15" s="3"/>
      <c r="V15" s="20"/>
      <c r="W15" s="3"/>
      <c r="X15" s="3">
        <f t="shared" si="2"/>
        <v>-590270.47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--494.96</f>
        <v>494.96</v>
      </c>
      <c r="I16" s="3"/>
      <c r="J16" s="20"/>
      <c r="K16" s="3"/>
      <c r="L16" s="3">
        <f t="shared" si="0"/>
        <v>-494.96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--18492.84</f>
        <v>18492.84</v>
      </c>
      <c r="U16" s="3"/>
      <c r="V16" s="20"/>
      <c r="W16" s="3"/>
      <c r="X16" s="3">
        <f t="shared" si="2"/>
        <v>-18492.84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--61.96</f>
        <v>61.96</v>
      </c>
      <c r="I18" s="3"/>
      <c r="J18" s="20"/>
      <c r="K18" s="3"/>
      <c r="L18" s="3">
        <f t="shared" si="0"/>
        <v>-61.96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--1325.79</f>
        <v>1325.79</v>
      </c>
      <c r="U18" s="3"/>
      <c r="V18" s="20"/>
      <c r="W18" s="3"/>
      <c r="X18" s="3">
        <f t="shared" si="2"/>
        <v>-1325.79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--31.17</f>
        <v>31.17</v>
      </c>
      <c r="I19" s="3"/>
      <c r="J19" s="20"/>
      <c r="K19" s="3"/>
      <c r="L19" s="3">
        <f t="shared" si="0"/>
        <v>-31.17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--515.72</f>
        <v>515.72</v>
      </c>
      <c r="U19" s="3"/>
      <c r="V19" s="20"/>
      <c r="W19" s="3"/>
      <c r="X19" s="3">
        <f t="shared" si="2"/>
        <v>-515.72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--35.38</f>
        <v>35.380000000000003</v>
      </c>
      <c r="I20" s="3"/>
      <c r="J20" s="20"/>
      <c r="K20" s="3"/>
      <c r="L20" s="3">
        <f t="shared" si="0"/>
        <v>-35.380000000000003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--508.48</f>
        <v>508.48</v>
      </c>
      <c r="U20" s="3"/>
      <c r="V20" s="20"/>
      <c r="W20" s="3"/>
      <c r="X20" s="3">
        <f t="shared" si="2"/>
        <v>-508.48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--36.37</f>
        <v>36.369999999999997</v>
      </c>
      <c r="I21" s="3"/>
      <c r="J21" s="20"/>
      <c r="K21" s="3"/>
      <c r="L21" s="3">
        <f t="shared" si="0"/>
        <v>-36.369999999999997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--522.54</f>
        <v>522.54</v>
      </c>
      <c r="U21" s="3"/>
      <c r="V21" s="20"/>
      <c r="W21" s="3"/>
      <c r="X21" s="3">
        <f t="shared" si="2"/>
        <v>-522.54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--6033.32</f>
        <v>6033.32</v>
      </c>
      <c r="I22" s="3"/>
      <c r="J22" s="20"/>
      <c r="K22" s="3"/>
      <c r="L22" s="3">
        <f t="shared" si="0"/>
        <v>-6033.32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--70104.29</f>
        <v>70104.289999999994</v>
      </c>
      <c r="U22" s="3"/>
      <c r="V22" s="20"/>
      <c r="W22" s="3"/>
      <c r="X22" s="3">
        <f t="shared" si="2"/>
        <v>-70104.289999999994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--1495.15</f>
        <v>1495.15</v>
      </c>
      <c r="I23" s="3"/>
      <c r="J23" s="20"/>
      <c r="K23" s="3"/>
      <c r="L23" s="3">
        <f t="shared" si="0"/>
        <v>-1495.15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--48395.32</f>
        <v>48395.32</v>
      </c>
      <c r="U23" s="3"/>
      <c r="V23" s="20"/>
      <c r="W23" s="3"/>
      <c r="X23" s="3">
        <f t="shared" si="2"/>
        <v>-48395.32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--490.12</f>
        <v>490.12</v>
      </c>
      <c r="I24" s="3"/>
      <c r="J24" s="20"/>
      <c r="K24" s="3"/>
      <c r="L24" s="3">
        <f t="shared" si="0"/>
        <v>-490.12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--4700.71</f>
        <v>4700.71</v>
      </c>
      <c r="U24" s="3"/>
      <c r="V24" s="20"/>
      <c r="W24" s="3"/>
      <c r="X24" s="3">
        <f t="shared" si="2"/>
        <v>-4700.71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","4034"," - ","TAXABLE SALES-SODA")</f>
        <v xml:space="preserve">          4034 - TAXABLE SALES-SODA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--6.78</f>
        <v>6.78</v>
      </c>
      <c r="U25" s="3"/>
      <c r="V25" s="20"/>
      <c r="W25" s="3"/>
      <c r="X25" s="3">
        <f t="shared" si="2"/>
        <v>-6.78</v>
      </c>
      <c r="Y25" s="3"/>
      <c r="Z25" s="20">
        <f t="shared" si="3"/>
        <v>-1</v>
      </c>
    </row>
    <row r="26" spans="1:26" s="69" customFormat="1" ht="15" hidden="1" customHeight="1" outlineLevel="1" x14ac:dyDescent="0.25">
      <c r="A26" s="42"/>
      <c r="B26" s="12" t="str">
        <f>CONCATENATE("          ","4040"," - ","TAXABLE SALES-LOGO CLOTHING")</f>
        <v xml:space="preserve">          4040 - TAXABLE SALES-LOGO CLOTHING</v>
      </c>
      <c r="C26" s="12"/>
      <c r="D26" s="3">
        <f>0</f>
        <v>0</v>
      </c>
      <c r="E26" s="3"/>
      <c r="F26" s="20"/>
      <c r="G26" s="3"/>
      <c r="H26" s="3">
        <f>--187399.42</f>
        <v>187399.42</v>
      </c>
      <c r="I26" s="3"/>
      <c r="J26" s="20"/>
      <c r="K26" s="3"/>
      <c r="L26" s="3">
        <f t="shared" si="0"/>
        <v>-187399.42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--1100580.15</f>
        <v>1100580.1499999999</v>
      </c>
      <c r="U26" s="3"/>
      <c r="V26" s="20"/>
      <c r="W26" s="3"/>
      <c r="X26" s="3">
        <f t="shared" si="2"/>
        <v>-1100580.1499999999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","4041"," - ","TAXABLE SALES-LOGO GIFTS")</f>
        <v xml:space="preserve">          4041 - TAXABLE SALES-LOGO GIFTS</v>
      </c>
      <c r="C27" s="12"/>
      <c r="D27" s="3">
        <f>0</f>
        <v>0</v>
      </c>
      <c r="E27" s="3"/>
      <c r="F27" s="20"/>
      <c r="G27" s="3"/>
      <c r="H27" s="3">
        <f>--191315.61</f>
        <v>191315.61</v>
      </c>
      <c r="I27" s="3"/>
      <c r="J27" s="20"/>
      <c r="K27" s="3"/>
      <c r="L27" s="3">
        <f t="shared" si="0"/>
        <v>-191315.61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--631772.59</f>
        <v>631772.59</v>
      </c>
      <c r="U27" s="3"/>
      <c r="V27" s="20"/>
      <c r="W27" s="3"/>
      <c r="X27" s="3">
        <f t="shared" si="2"/>
        <v>-631772.59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","4042"," - ","TAXABLE SALES-EVERYDAY GIFTS")</f>
        <v xml:space="preserve">          4042 - TAXABLE SALES-EVERYDAY GIFTS</v>
      </c>
      <c r="C28" s="12"/>
      <c r="D28" s="3">
        <f>0</f>
        <v>0</v>
      </c>
      <c r="E28" s="3"/>
      <c r="F28" s="20"/>
      <c r="G28" s="3"/>
      <c r="H28" s="3">
        <f>--8228.03</f>
        <v>8228.0300000000007</v>
      </c>
      <c r="I28" s="3"/>
      <c r="J28" s="20"/>
      <c r="K28" s="3"/>
      <c r="L28" s="3">
        <f t="shared" si="0"/>
        <v>-8228.0300000000007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--108906.55</f>
        <v>108906.55</v>
      </c>
      <c r="U28" s="3"/>
      <c r="V28" s="20"/>
      <c r="W28" s="3"/>
      <c r="X28" s="3">
        <f t="shared" si="2"/>
        <v>-108906.55</v>
      </c>
      <c r="Y28" s="3"/>
      <c r="Z28" s="20">
        <f t="shared" si="3"/>
        <v>-1</v>
      </c>
    </row>
    <row r="29" spans="1:26" s="69" customFormat="1" ht="15" hidden="1" customHeight="1" outlineLevel="1" x14ac:dyDescent="0.25">
      <c r="A29" s="42"/>
      <c r="B29" s="12" t="str">
        <f>CONCATENATE("          ","4043"," - ","TAXABLE SALES-CARDS")</f>
        <v xml:space="preserve">          4043 - TAXABLE SALES-CARDS</v>
      </c>
      <c r="C29" s="12"/>
      <c r="D29" s="3">
        <f>0</f>
        <v>0</v>
      </c>
      <c r="E29" s="3"/>
      <c r="F29" s="20"/>
      <c r="G29" s="3"/>
      <c r="H29" s="3">
        <f>--7218.29</f>
        <v>7218.29</v>
      </c>
      <c r="I29" s="3"/>
      <c r="J29" s="20"/>
      <c r="K29" s="3"/>
      <c r="L29" s="3">
        <f t="shared" si="0"/>
        <v>-7218.29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--144077.67</f>
        <v>144077.67000000001</v>
      </c>
      <c r="U29" s="3"/>
      <c r="V29" s="20"/>
      <c r="W29" s="3"/>
      <c r="X29" s="3">
        <f t="shared" si="2"/>
        <v>-144077.67000000001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","4044"," - ","TAXABLE SALES-ACCESSORIES")</f>
        <v xml:space="preserve">          4044 - TAXABLE SALES-ACCESSORIES</v>
      </c>
      <c r="C30" s="12"/>
      <c r="D30" s="3">
        <f>0</f>
        <v>0</v>
      </c>
      <c r="E30" s="3"/>
      <c r="F30" s="20"/>
      <c r="G30" s="3"/>
      <c r="H30" s="3">
        <f>--5024.1</f>
        <v>5024.1000000000004</v>
      </c>
      <c r="I30" s="3"/>
      <c r="J30" s="20"/>
      <c r="K30" s="3"/>
      <c r="L30" s="3">
        <f t="shared" si="0"/>
        <v>-5024.1000000000004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--41116.33</f>
        <v>41116.33</v>
      </c>
      <c r="U30" s="3"/>
      <c r="V30" s="20"/>
      <c r="W30" s="3"/>
      <c r="X30" s="3">
        <f t="shared" si="2"/>
        <v>-41116.33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","4045"," - ","TAXABLE SALES-SPECIAL ORDERS")</f>
        <v xml:space="preserve">          4045 - TAXABLE SALES-SPECIAL ORDERS</v>
      </c>
      <c r="C31" s="12"/>
      <c r="D31" s="3">
        <f>0</f>
        <v>0</v>
      </c>
      <c r="E31" s="3"/>
      <c r="F31" s="20"/>
      <c r="G31" s="3"/>
      <c r="H31" s="3">
        <f>--26335.59</f>
        <v>26335.59</v>
      </c>
      <c r="I31" s="3"/>
      <c r="J31" s="20"/>
      <c r="K31" s="3"/>
      <c r="L31" s="3">
        <f t="shared" si="0"/>
        <v>-26335.59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--233577.93</f>
        <v>233577.93</v>
      </c>
      <c r="U31" s="3"/>
      <c r="V31" s="20"/>
      <c r="W31" s="3"/>
      <c r="X31" s="3">
        <f t="shared" si="2"/>
        <v>-233577.93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","4081"," - ","TAXABLE SALES-ELECTRONICS")</f>
        <v xml:space="preserve">          4081 - TAXABLE SALES-ELECTRONICS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--71.95</f>
        <v>71.95</v>
      </c>
      <c r="U32" s="3"/>
      <c r="V32" s="20"/>
      <c r="W32" s="3"/>
      <c r="X32" s="3">
        <f t="shared" si="2"/>
        <v>-71.95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","4083"," - ","TAXABLE SALES-COMPUTER EQUIPME")</f>
        <v xml:space="preserve">          4083 - TAXABLE SALES-COMPUTER EQUIPME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--9.99</f>
        <v>9.99</v>
      </c>
      <c r="U33" s="3"/>
      <c r="V33" s="20"/>
      <c r="W33" s="3"/>
      <c r="X33" s="3">
        <f t="shared" si="2"/>
        <v>-9.99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","4095"," - ","TAXABLE SALES-CUSTOMER SERVICE")</f>
        <v xml:space="preserve">          4095 - TAXABLE SALES-CUSTOMER SERVICE</v>
      </c>
      <c r="C34" s="12"/>
      <c r="D34" s="3">
        <f>0</f>
        <v>0</v>
      </c>
      <c r="E34" s="3"/>
      <c r="F34" s="20"/>
      <c r="G34" s="3"/>
      <c r="H34" s="3">
        <f>--10891.24</f>
        <v>10891.24</v>
      </c>
      <c r="I34" s="3"/>
      <c r="J34" s="20"/>
      <c r="K34" s="3"/>
      <c r="L34" s="3">
        <f t="shared" si="0"/>
        <v>-10891.24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--13925.83</f>
        <v>13925.83</v>
      </c>
      <c r="U34" s="3"/>
      <c r="V34" s="20"/>
      <c r="W34" s="3"/>
      <c r="X34" s="3">
        <f t="shared" si="2"/>
        <v>-13925.83</v>
      </c>
      <c r="Y34" s="3"/>
      <c r="Z34" s="20">
        <f t="shared" si="3"/>
        <v>-1</v>
      </c>
    </row>
    <row r="35" spans="1:26" s="69" customFormat="1" ht="15" hidden="1" customHeight="1" outlineLevel="1" x14ac:dyDescent="0.25">
      <c r="A35" s="42"/>
      <c r="B35" s="12" t="str">
        <f>CONCATENATE("          ","4100"," - ","NON-TAXABLE SALES")</f>
        <v xml:space="preserve">          4100 - NON-TAXABLE SALES</v>
      </c>
      <c r="C35" s="12"/>
      <c r="D35" s="3">
        <f>--74401.62</f>
        <v>74401.62</v>
      </c>
      <c r="E35" s="3"/>
      <c r="F35" s="20"/>
      <c r="G35" s="3"/>
      <c r="H35" s="3">
        <f>--3546.21</f>
        <v>3546.21</v>
      </c>
      <c r="I35" s="3"/>
      <c r="J35" s="20"/>
      <c r="K35" s="3"/>
      <c r="L35" s="3">
        <f t="shared" si="0"/>
        <v>70855.409999999989</v>
      </c>
      <c r="M35" s="3"/>
      <c r="N35" s="20">
        <f t="shared" si="1"/>
        <v>19.980601825611</v>
      </c>
      <c r="O35" s="12"/>
      <c r="P35" s="3">
        <f>--1334617.99</f>
        <v>1334617.99</v>
      </c>
      <c r="Q35" s="3"/>
      <c r="R35" s="20"/>
      <c r="S35" s="3"/>
      <c r="T35" s="3">
        <f>--277384.98</f>
        <v>277384.98</v>
      </c>
      <c r="U35" s="3"/>
      <c r="V35" s="20"/>
      <c r="W35" s="3"/>
      <c r="X35" s="3">
        <f t="shared" si="2"/>
        <v>1057233.01</v>
      </c>
      <c r="Y35" s="3"/>
      <c r="Z35" s="20">
        <f t="shared" si="3"/>
        <v>3.811428470279826</v>
      </c>
    </row>
    <row r="36" spans="1:26" s="69" customFormat="1" ht="15" hidden="1" customHeight="1" outlineLevel="1" x14ac:dyDescent="0.25">
      <c r="A36" s="42"/>
      <c r="B36" s="12" t="str">
        <f>CONCATENATE("          ","4101"," - ","NON-TAXABLE SALES-NEW TEXT")</f>
        <v xml:space="preserve">          4101 - NON-TAXABLE SALES-NEW TEXT</v>
      </c>
      <c r="C36" s="12"/>
      <c r="D36" s="3">
        <f>0</f>
        <v>0</v>
      </c>
      <c r="E36" s="3"/>
      <c r="F36" s="20"/>
      <c r="G36" s="3"/>
      <c r="H36" s="3">
        <f>--6450.33</f>
        <v>6450.33</v>
      </c>
      <c r="I36" s="3"/>
      <c r="J36" s="20"/>
      <c r="K36" s="3"/>
      <c r="L36" s="3">
        <f t="shared" si="0"/>
        <v>-6450.33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--119247.07</f>
        <v>119247.07</v>
      </c>
      <c r="U36" s="3"/>
      <c r="V36" s="20"/>
      <c r="W36" s="3"/>
      <c r="X36" s="3">
        <f t="shared" si="2"/>
        <v>-119247.07</v>
      </c>
      <c r="Y36" s="3"/>
      <c r="Z36" s="20">
        <f t="shared" si="3"/>
        <v>-1</v>
      </c>
    </row>
    <row r="37" spans="1:26" s="69" customFormat="1" ht="15" hidden="1" customHeight="1" outlineLevel="1" x14ac:dyDescent="0.25">
      <c r="A37" s="42"/>
      <c r="B37" s="12" t="str">
        <f>CONCATENATE("          ","4102"," - ","NON-TAXABLE SALES-USED TEXT")</f>
        <v xml:space="preserve">          4102 - NON-TAXABLE SALES-USED TEXT</v>
      </c>
      <c r="C37" s="12"/>
      <c r="D37" s="3">
        <f>0</f>
        <v>0</v>
      </c>
      <c r="E37" s="3"/>
      <c r="F37" s="20"/>
      <c r="G37" s="3"/>
      <c r="H37" s="3">
        <f>--2343.31</f>
        <v>2343.31</v>
      </c>
      <c r="I37" s="3"/>
      <c r="J37" s="20"/>
      <c r="K37" s="3"/>
      <c r="L37" s="3">
        <f t="shared" si="0"/>
        <v>-2343.31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--51046.73</f>
        <v>51046.73</v>
      </c>
      <c r="U37" s="3"/>
      <c r="V37" s="20"/>
      <c r="W37" s="3"/>
      <c r="X37" s="3">
        <f t="shared" si="2"/>
        <v>-51046.73</v>
      </c>
      <c r="Y37" s="3"/>
      <c r="Z37" s="20">
        <f t="shared" si="3"/>
        <v>-1</v>
      </c>
    </row>
    <row r="38" spans="1:26" s="69" customFormat="1" ht="15" hidden="1" customHeight="1" outlineLevel="1" x14ac:dyDescent="0.25">
      <c r="A38" s="42"/>
      <c r="B38" s="12" t="str">
        <f>CONCATENATE("          ","4103"," - ","NON-TAXABLE SALES-RENTAL TEXT")</f>
        <v xml:space="preserve">          4103 - NON-TAXABLE SALES-RENTAL TEXT</v>
      </c>
      <c r="C38" s="12"/>
      <c r="D38" s="3">
        <f>0</f>
        <v>0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0</v>
      </c>
      <c r="M38" s="3"/>
      <c r="N38" s="20">
        <f t="shared" si="1"/>
        <v>0</v>
      </c>
      <c r="O38" s="12"/>
      <c r="P38" s="3">
        <f>0</f>
        <v>0</v>
      </c>
      <c r="Q38" s="3"/>
      <c r="R38" s="20"/>
      <c r="S38" s="3"/>
      <c r="T38" s="3">
        <f>--1138.95</f>
        <v>1138.95</v>
      </c>
      <c r="U38" s="3"/>
      <c r="V38" s="20"/>
      <c r="W38" s="3"/>
      <c r="X38" s="3">
        <f t="shared" si="2"/>
        <v>-1138.95</v>
      </c>
      <c r="Y38" s="3"/>
      <c r="Z38" s="20">
        <f t="shared" si="3"/>
        <v>-1</v>
      </c>
    </row>
    <row r="39" spans="1:26" s="69" customFormat="1" ht="15" hidden="1" customHeight="1" outlineLevel="1" x14ac:dyDescent="0.25">
      <c r="A39" s="42"/>
      <c r="B39" s="12" t="str">
        <f>CONCATENATE("          ","4104"," - ","NON-TAXABLE SALES-DIGITAL TEXT")</f>
        <v xml:space="preserve">          4104 - NON-TAXABLE SALES-DIGITAL TEXT</v>
      </c>
      <c r="C39" s="12"/>
      <c r="D39" s="3">
        <f>0</f>
        <v>0</v>
      </c>
      <c r="E39" s="3"/>
      <c r="F39" s="20"/>
      <c r="G39" s="3"/>
      <c r="H39" s="3">
        <f>--10484.56</f>
        <v>10484.56</v>
      </c>
      <c r="I39" s="3"/>
      <c r="J39" s="20"/>
      <c r="K39" s="3"/>
      <c r="L39" s="3">
        <f t="shared" si="0"/>
        <v>-10484.56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--490887.73</f>
        <v>490887.73</v>
      </c>
      <c r="U39" s="3"/>
      <c r="V39" s="20"/>
      <c r="W39" s="3"/>
      <c r="X39" s="3">
        <f t="shared" si="2"/>
        <v>-490887.73</v>
      </c>
      <c r="Y39" s="3"/>
      <c r="Z39" s="20">
        <f t="shared" si="3"/>
        <v>-1</v>
      </c>
    </row>
    <row r="40" spans="1:26" s="69" customFormat="1" ht="15" hidden="1" customHeight="1" outlineLevel="1" x14ac:dyDescent="0.25">
      <c r="A40" s="42"/>
      <c r="B40" s="12" t="str">
        <f>CONCATENATE("          ","4113"," - ","NON-TAXABLE SALES-TRADE BOOKS")</f>
        <v xml:space="preserve">          4113 - NON-TAXABLE SALES-TRADE BOOKS</v>
      </c>
      <c r="C40" s="12"/>
      <c r="D40" s="3">
        <f>0</f>
        <v>0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0</v>
      </c>
      <c r="M40" s="3"/>
      <c r="N40" s="20">
        <f t="shared" si="1"/>
        <v>0</v>
      </c>
      <c r="O40" s="12"/>
      <c r="P40" s="3">
        <f>0</f>
        <v>0</v>
      </c>
      <c r="Q40" s="3"/>
      <c r="R40" s="20"/>
      <c r="S40" s="3"/>
      <c r="T40" s="3">
        <f>--12127.25</f>
        <v>12127.25</v>
      </c>
      <c r="U40" s="3"/>
      <c r="V40" s="20"/>
      <c r="W40" s="3"/>
      <c r="X40" s="3">
        <f t="shared" si="2"/>
        <v>-12127.25</v>
      </c>
      <c r="Y40" s="3"/>
      <c r="Z40" s="20">
        <f t="shared" si="3"/>
        <v>-1</v>
      </c>
    </row>
    <row r="41" spans="1:26" s="69" customFormat="1" ht="15" hidden="1" customHeight="1" outlineLevel="1" x14ac:dyDescent="0.25">
      <c r="A41" s="42"/>
      <c r="B41" s="12" t="str">
        <f>CONCATENATE("          ","4118"," - ","NON-TAXABLE SALES-STUDY GUIDES")</f>
        <v xml:space="preserve">          4118 - NON-TAXABLE SALES-STUDY GUIDES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--771.73</f>
        <v>771.73</v>
      </c>
      <c r="U41" s="3"/>
      <c r="V41" s="20"/>
      <c r="W41" s="3"/>
      <c r="X41" s="3">
        <f t="shared" si="2"/>
        <v>-771.73</v>
      </c>
      <c r="Y41" s="3"/>
      <c r="Z41" s="20">
        <f t="shared" si="3"/>
        <v>-1</v>
      </c>
    </row>
    <row r="42" spans="1:26" s="69" customFormat="1" ht="15" hidden="1" customHeight="1" outlineLevel="1" x14ac:dyDescent="0.25">
      <c r="A42" s="42"/>
      <c r="B42" s="12" t="str">
        <f>CONCATENATE("          ","4126"," - ","NON-TAXABLE SALES-WRITING INST")</f>
        <v xml:space="preserve">          4126 - NON-TAXABLE SALES-WRITING INST</v>
      </c>
      <c r="C42" s="12"/>
      <c r="D42" s="3">
        <f>0</f>
        <v>0</v>
      </c>
      <c r="E42" s="3"/>
      <c r="F42" s="20"/>
      <c r="G42" s="3"/>
      <c r="H42" s="3">
        <f>0</f>
        <v>0</v>
      </c>
      <c r="I42" s="3"/>
      <c r="J42" s="20"/>
      <c r="K42" s="3"/>
      <c r="L42" s="3">
        <f t="shared" si="0"/>
        <v>0</v>
      </c>
      <c r="M42" s="3"/>
      <c r="N42" s="20">
        <f t="shared" si="1"/>
        <v>0</v>
      </c>
      <c r="O42" s="12"/>
      <c r="P42" s="3">
        <f>0</f>
        <v>0</v>
      </c>
      <c r="Q42" s="3"/>
      <c r="R42" s="20"/>
      <c r="S42" s="3"/>
      <c r="T42" s="3">
        <f>--52.68</f>
        <v>52.68</v>
      </c>
      <c r="U42" s="3"/>
      <c r="V42" s="20"/>
      <c r="W42" s="3"/>
      <c r="X42" s="3">
        <f t="shared" si="2"/>
        <v>-52.68</v>
      </c>
      <c r="Y42" s="3"/>
      <c r="Z42" s="20">
        <f t="shared" si="3"/>
        <v>-1</v>
      </c>
    </row>
    <row r="43" spans="1:26" s="69" customFormat="1" ht="15" hidden="1" customHeight="1" outlineLevel="1" x14ac:dyDescent="0.25">
      <c r="A43" s="42"/>
      <c r="B43" s="12" t="str">
        <f>CONCATENATE("          ","4127"," - ","NON-TAXABLE SALES-SCHOOL SUPPL")</f>
        <v xml:space="preserve">          4127 - NON-TAXABLE SALES-SCHOOL SUPPL</v>
      </c>
      <c r="C43" s="12"/>
      <c r="D43" s="3">
        <f>0</f>
        <v>0</v>
      </c>
      <c r="E43" s="3"/>
      <c r="F43" s="20"/>
      <c r="G43" s="3"/>
      <c r="H43" s="3">
        <f>--548.05</f>
        <v>548.04999999999995</v>
      </c>
      <c r="I43" s="3"/>
      <c r="J43" s="20"/>
      <c r="K43" s="3"/>
      <c r="L43" s="3">
        <f t="shared" si="0"/>
        <v>-548.04999999999995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--7648.73</f>
        <v>7648.73</v>
      </c>
      <c r="U43" s="3"/>
      <c r="V43" s="20"/>
      <c r="W43" s="3"/>
      <c r="X43" s="3">
        <f t="shared" si="2"/>
        <v>-7648.73</v>
      </c>
      <c r="Y43" s="3"/>
      <c r="Z43" s="20">
        <f t="shared" si="3"/>
        <v>-1</v>
      </c>
    </row>
    <row r="44" spans="1:26" s="69" customFormat="1" ht="15" hidden="1" customHeight="1" outlineLevel="1" x14ac:dyDescent="0.25">
      <c r="A44" s="42"/>
      <c r="B44" s="12" t="str">
        <f>CONCATENATE("          ","4128"," - ","NON-TAXABLE SALES-ART/TECH")</f>
        <v xml:space="preserve">          4128 - NON-TAXABLE SALES-ART/TECH</v>
      </c>
      <c r="C44" s="12"/>
      <c r="D44" s="3">
        <f>0</f>
        <v>0</v>
      </c>
      <c r="E44" s="3"/>
      <c r="F44" s="20"/>
      <c r="G44" s="3"/>
      <c r="H44" s="3">
        <f>--45.96</f>
        <v>45.96</v>
      </c>
      <c r="I44" s="3"/>
      <c r="J44" s="20"/>
      <c r="K44" s="3"/>
      <c r="L44" s="3">
        <f t="shared" ref="L44:L75" si="4">+D44-H44</f>
        <v>-45.96</v>
      </c>
      <c r="M44" s="3"/>
      <c r="N44" s="20">
        <f t="shared" ref="N44:N75" si="5">IF(H44=0,0,L44/H44)</f>
        <v>-1</v>
      </c>
      <c r="O44" s="12"/>
      <c r="P44" s="3">
        <f>0</f>
        <v>0</v>
      </c>
      <c r="Q44" s="3"/>
      <c r="R44" s="20"/>
      <c r="S44" s="3"/>
      <c r="T44" s="3">
        <f>--115.91</f>
        <v>115.91</v>
      </c>
      <c r="U44" s="3"/>
      <c r="V44" s="20"/>
      <c r="W44" s="3"/>
      <c r="X44" s="3">
        <f t="shared" ref="X44:X75" si="6">+P44-T44</f>
        <v>-115.91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25">
      <c r="A45" s="42"/>
      <c r="B45" s="12" t="str">
        <f>CONCATENATE("          ","4131"," - ","NON-TAXABLE SALES-FOOD")</f>
        <v xml:space="preserve">          4131 - NON-TAXABLE SALES-FOOD</v>
      </c>
      <c r="C45" s="12"/>
      <c r="D45" s="3">
        <f>0</f>
        <v>0</v>
      </c>
      <c r="E45" s="3"/>
      <c r="F45" s="20"/>
      <c r="G45" s="3"/>
      <c r="H45" s="3">
        <f>--775.78</f>
        <v>775.78</v>
      </c>
      <c r="I45" s="3"/>
      <c r="J45" s="20"/>
      <c r="K45" s="3"/>
      <c r="L45" s="3">
        <f t="shared" si="4"/>
        <v>-775.78</v>
      </c>
      <c r="M45" s="3"/>
      <c r="N45" s="20">
        <f t="shared" si="5"/>
        <v>-1</v>
      </c>
      <c r="O45" s="12"/>
      <c r="P45" s="3">
        <f>0</f>
        <v>0</v>
      </c>
      <c r="Q45" s="3"/>
      <c r="R45" s="20"/>
      <c r="S45" s="3"/>
      <c r="T45" s="3">
        <f>--12156.14</f>
        <v>12156.14</v>
      </c>
      <c r="U45" s="3"/>
      <c r="V45" s="20"/>
      <c r="W45" s="3"/>
      <c r="X45" s="3">
        <f t="shared" si="6"/>
        <v>-12156.14</v>
      </c>
      <c r="Y45" s="3"/>
      <c r="Z45" s="20">
        <f t="shared" si="7"/>
        <v>-1</v>
      </c>
    </row>
    <row r="46" spans="1:26" s="69" customFormat="1" ht="15" hidden="1" customHeight="1" outlineLevel="1" x14ac:dyDescent="0.25">
      <c r="A46" s="42"/>
      <c r="B46" s="12" t="str">
        <f>CONCATENATE("          ","4132"," - ","NON-TAXABLE SALES-JUICE")</f>
        <v xml:space="preserve">          4132 - NON-TAXABLE SALES-JUICE</v>
      </c>
      <c r="C46" s="12"/>
      <c r="D46" s="3">
        <f>0</f>
        <v>0</v>
      </c>
      <c r="E46" s="3"/>
      <c r="F46" s="20"/>
      <c r="G46" s="3"/>
      <c r="H46" s="3">
        <f>0</f>
        <v>0</v>
      </c>
      <c r="I46" s="3"/>
      <c r="J46" s="20"/>
      <c r="K46" s="3"/>
      <c r="L46" s="3">
        <f t="shared" si="4"/>
        <v>0</v>
      </c>
      <c r="M46" s="3"/>
      <c r="N46" s="20">
        <f t="shared" si="5"/>
        <v>0</v>
      </c>
      <c r="O46" s="12"/>
      <c r="P46" s="3">
        <f>0</f>
        <v>0</v>
      </c>
      <c r="Q46" s="3"/>
      <c r="R46" s="20"/>
      <c r="S46" s="3"/>
      <c r="T46" s="3">
        <f>--22.49</f>
        <v>22.49</v>
      </c>
      <c r="U46" s="3"/>
      <c r="V46" s="20"/>
      <c r="W46" s="3"/>
      <c r="X46" s="3">
        <f t="shared" si="6"/>
        <v>-22.49</v>
      </c>
      <c r="Y46" s="3"/>
      <c r="Z46" s="20">
        <f t="shared" si="7"/>
        <v>-1</v>
      </c>
    </row>
    <row r="47" spans="1:26" s="69" customFormat="1" ht="15" hidden="1" customHeight="1" outlineLevel="1" x14ac:dyDescent="0.25">
      <c r="A47" s="42"/>
      <c r="B47" s="12" t="str">
        <f>CONCATENATE("          ","4133"," - ","NON-TAXABLE SALES-CANDY")</f>
        <v xml:space="preserve">          4133 - NON-TAXABLE SALES-CANDY</v>
      </c>
      <c r="C47" s="12"/>
      <c r="D47" s="3">
        <f>0</f>
        <v>0</v>
      </c>
      <c r="E47" s="3"/>
      <c r="F47" s="20"/>
      <c r="G47" s="3"/>
      <c r="H47" s="3">
        <f>0</f>
        <v>0</v>
      </c>
      <c r="I47" s="3"/>
      <c r="J47" s="20"/>
      <c r="K47" s="3"/>
      <c r="L47" s="3">
        <f t="shared" si="4"/>
        <v>0</v>
      </c>
      <c r="M47" s="3"/>
      <c r="N47" s="20">
        <f t="shared" si="5"/>
        <v>0</v>
      </c>
      <c r="O47" s="12"/>
      <c r="P47" s="3">
        <f>0</f>
        <v>0</v>
      </c>
      <c r="Q47" s="3"/>
      <c r="R47" s="20"/>
      <c r="S47" s="3"/>
      <c r="T47" s="3">
        <f>--80.71</f>
        <v>80.709999999999994</v>
      </c>
      <c r="U47" s="3"/>
      <c r="V47" s="20"/>
      <c r="W47" s="3"/>
      <c r="X47" s="3">
        <f t="shared" si="6"/>
        <v>-80.709999999999994</v>
      </c>
      <c r="Y47" s="3"/>
      <c r="Z47" s="20">
        <f t="shared" si="7"/>
        <v>-1</v>
      </c>
    </row>
    <row r="48" spans="1:26" s="69" customFormat="1" ht="15" hidden="1" customHeight="1" outlineLevel="1" x14ac:dyDescent="0.25">
      <c r="A48" s="42"/>
      <c r="B48" s="12" t="str">
        <f>CONCATENATE("          ","4134"," - ","NON-TAXABLE SALES-SODA")</f>
        <v xml:space="preserve">          4134 - NON-TAXABLE SALES-SODA</v>
      </c>
      <c r="C48" s="12"/>
      <c r="D48" s="3">
        <f>0</f>
        <v>0</v>
      </c>
      <c r="E48" s="3"/>
      <c r="F48" s="20"/>
      <c r="G48" s="3"/>
      <c r="H48" s="3">
        <f>0</f>
        <v>0</v>
      </c>
      <c r="I48" s="3"/>
      <c r="J48" s="20"/>
      <c r="K48" s="3"/>
      <c r="L48" s="3">
        <f t="shared" si="4"/>
        <v>0</v>
      </c>
      <c r="M48" s="3"/>
      <c r="N48" s="20">
        <f t="shared" si="5"/>
        <v>0</v>
      </c>
      <c r="O48" s="12"/>
      <c r="P48" s="3">
        <f>0</f>
        <v>0</v>
      </c>
      <c r="Q48" s="3"/>
      <c r="R48" s="20"/>
      <c r="S48" s="3"/>
      <c r="T48" s="3">
        <f>--45.53</f>
        <v>45.53</v>
      </c>
      <c r="U48" s="3"/>
      <c r="V48" s="20"/>
      <c r="W48" s="3"/>
      <c r="X48" s="3">
        <f t="shared" si="6"/>
        <v>-45.53</v>
      </c>
      <c r="Y48" s="3"/>
      <c r="Z48" s="20">
        <f t="shared" si="7"/>
        <v>-1</v>
      </c>
    </row>
    <row r="49" spans="1:26" s="69" customFormat="1" ht="15" hidden="1" customHeight="1" outlineLevel="1" x14ac:dyDescent="0.25">
      <c r="A49" s="42"/>
      <c r="B49" s="12" t="str">
        <f>CONCATENATE("          ","4137"," - ","NON-TAXABLE SALES-WATER")</f>
        <v xml:space="preserve">          4137 - NON-TAXABLE SALES-WATER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--68.25</f>
        <v>68.25</v>
      </c>
      <c r="U49" s="3"/>
      <c r="V49" s="20"/>
      <c r="W49" s="3"/>
      <c r="X49" s="3">
        <f t="shared" si="6"/>
        <v>-68.25</v>
      </c>
      <c r="Y49" s="3"/>
      <c r="Z49" s="20">
        <f t="shared" si="7"/>
        <v>-1</v>
      </c>
    </row>
    <row r="50" spans="1:26" s="69" customFormat="1" ht="15" hidden="1" customHeight="1" outlineLevel="1" x14ac:dyDescent="0.25">
      <c r="A50" s="42"/>
      <c r="B50" s="12" t="str">
        <f>CONCATENATE("          ","4140"," - ","NON-TAXABLE SALES-LOGO CLOTHIN")</f>
        <v xml:space="preserve">          4140 - NON-TAXABLE SALES-LOGO CLOTHIN</v>
      </c>
      <c r="C50" s="12"/>
      <c r="D50" s="3">
        <f>0</f>
        <v>0</v>
      </c>
      <c r="E50" s="3"/>
      <c r="F50" s="20"/>
      <c r="G50" s="3"/>
      <c r="H50" s="3">
        <f>--16733.37</f>
        <v>16733.37</v>
      </c>
      <c r="I50" s="3"/>
      <c r="J50" s="20"/>
      <c r="K50" s="3"/>
      <c r="L50" s="3">
        <f t="shared" si="4"/>
        <v>-16733.37</v>
      </c>
      <c r="M50" s="3"/>
      <c r="N50" s="20">
        <f t="shared" si="5"/>
        <v>-1</v>
      </c>
      <c r="O50" s="12"/>
      <c r="P50" s="3">
        <f>0</f>
        <v>0</v>
      </c>
      <c r="Q50" s="3"/>
      <c r="R50" s="20"/>
      <c r="S50" s="3"/>
      <c r="T50" s="3">
        <f>--171525.76</f>
        <v>171525.76000000001</v>
      </c>
      <c r="U50" s="3"/>
      <c r="V50" s="20"/>
      <c r="W50" s="3"/>
      <c r="X50" s="3">
        <f t="shared" si="6"/>
        <v>-171525.76000000001</v>
      </c>
      <c r="Y50" s="3"/>
      <c r="Z50" s="20">
        <f t="shared" si="7"/>
        <v>-1</v>
      </c>
    </row>
    <row r="51" spans="1:26" s="69" customFormat="1" ht="15" hidden="1" customHeight="1" outlineLevel="1" x14ac:dyDescent="0.25">
      <c r="A51" s="42"/>
      <c r="B51" s="12" t="str">
        <f>CONCATENATE("          ","4141"," - ","NON-TAXABLE SALES-LOGO GIFTS")</f>
        <v xml:space="preserve">          4141 - NON-TAXABLE SALES-LOGO GIFTS</v>
      </c>
      <c r="C51" s="12"/>
      <c r="D51" s="3">
        <f>0</f>
        <v>0</v>
      </c>
      <c r="E51" s="3"/>
      <c r="F51" s="20"/>
      <c r="G51" s="3"/>
      <c r="H51" s="3">
        <f>--2359.22</f>
        <v>2359.2199999999998</v>
      </c>
      <c r="I51" s="3"/>
      <c r="J51" s="20"/>
      <c r="K51" s="3"/>
      <c r="L51" s="3">
        <f t="shared" si="4"/>
        <v>-2359.2199999999998</v>
      </c>
      <c r="M51" s="3"/>
      <c r="N51" s="20">
        <f t="shared" si="5"/>
        <v>-1</v>
      </c>
      <c r="O51" s="12"/>
      <c r="P51" s="3">
        <f>0</f>
        <v>0</v>
      </c>
      <c r="Q51" s="3"/>
      <c r="R51" s="20"/>
      <c r="S51" s="3"/>
      <c r="T51" s="3">
        <f>--39156.03</f>
        <v>39156.03</v>
      </c>
      <c r="U51" s="3"/>
      <c r="V51" s="20"/>
      <c r="W51" s="3"/>
      <c r="X51" s="3">
        <f t="shared" si="6"/>
        <v>-39156.03</v>
      </c>
      <c r="Y51" s="3"/>
      <c r="Z51" s="20">
        <f t="shared" si="7"/>
        <v>-1</v>
      </c>
    </row>
    <row r="52" spans="1:26" s="69" customFormat="1" ht="15" hidden="1" customHeight="1" outlineLevel="1" x14ac:dyDescent="0.25">
      <c r="A52" s="42"/>
      <c r="B52" s="12" t="str">
        <f>CONCATENATE("          ","4142"," - ","NON-TAXABLE SALES-EVERYDAY GIF")</f>
        <v xml:space="preserve">          4142 - NON-TAXABLE SALES-EVERYDAY GIF</v>
      </c>
      <c r="C52" s="12"/>
      <c r="D52" s="3">
        <f>0</f>
        <v>0</v>
      </c>
      <c r="E52" s="3"/>
      <c r="F52" s="20"/>
      <c r="G52" s="3"/>
      <c r="H52" s="3">
        <f>--16.35</f>
        <v>16.350000000000001</v>
      </c>
      <c r="I52" s="3"/>
      <c r="J52" s="20"/>
      <c r="K52" s="3"/>
      <c r="L52" s="3">
        <f t="shared" si="4"/>
        <v>-16.350000000000001</v>
      </c>
      <c r="M52" s="3"/>
      <c r="N52" s="20">
        <f t="shared" si="5"/>
        <v>-1</v>
      </c>
      <c r="O52" s="12"/>
      <c r="P52" s="3">
        <f>0</f>
        <v>0</v>
      </c>
      <c r="Q52" s="3"/>
      <c r="R52" s="20"/>
      <c r="S52" s="3"/>
      <c r="T52" s="3">
        <f>--2604.45</f>
        <v>2604.4499999999998</v>
      </c>
      <c r="U52" s="3"/>
      <c r="V52" s="20"/>
      <c r="W52" s="3"/>
      <c r="X52" s="3">
        <f t="shared" si="6"/>
        <v>-2604.4499999999998</v>
      </c>
      <c r="Y52" s="3"/>
      <c r="Z52" s="20">
        <f t="shared" si="7"/>
        <v>-1</v>
      </c>
    </row>
    <row r="53" spans="1:26" s="69" customFormat="1" ht="15" hidden="1" customHeight="1" outlineLevel="1" x14ac:dyDescent="0.25">
      <c r="A53" s="42"/>
      <c r="B53" s="12" t="str">
        <f>CONCATENATE("          ","4143"," - ","NON-TAXABLE SALES-CARDS")</f>
        <v xml:space="preserve">          4143 - NON-TAXABLE SALES-CARDS</v>
      </c>
      <c r="C53" s="12"/>
      <c r="D53" s="3">
        <f>0</f>
        <v>0</v>
      </c>
      <c r="E53" s="3"/>
      <c r="F53" s="20"/>
      <c r="G53" s="3"/>
      <c r="H53" s="3">
        <f>--120.71</f>
        <v>120.71</v>
      </c>
      <c r="I53" s="3"/>
      <c r="J53" s="20"/>
      <c r="K53" s="3"/>
      <c r="L53" s="3">
        <f t="shared" si="4"/>
        <v>-120.71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--2552.16</f>
        <v>2552.16</v>
      </c>
      <c r="U53" s="3"/>
      <c r="V53" s="20"/>
      <c r="W53" s="3"/>
      <c r="X53" s="3">
        <f t="shared" si="6"/>
        <v>-2552.16</v>
      </c>
      <c r="Y53" s="3"/>
      <c r="Z53" s="20">
        <f t="shared" si="7"/>
        <v>-1</v>
      </c>
    </row>
    <row r="54" spans="1:26" s="69" customFormat="1" ht="15" hidden="1" customHeight="1" outlineLevel="1" x14ac:dyDescent="0.25">
      <c r="A54" s="42"/>
      <c r="B54" s="12" t="str">
        <f>CONCATENATE("          ","4144"," - ","NON-TAXABLE SALES-ACCESSORIES")</f>
        <v xml:space="preserve">          4144 - NON-TAXABLE SALES-ACCESSORIES</v>
      </c>
      <c r="C54" s="12"/>
      <c r="D54" s="3">
        <f>0</f>
        <v>0</v>
      </c>
      <c r="E54" s="3"/>
      <c r="F54" s="20"/>
      <c r="G54" s="3"/>
      <c r="H54" s="3">
        <f>--164.7</f>
        <v>164.7</v>
      </c>
      <c r="I54" s="3"/>
      <c r="J54" s="20"/>
      <c r="K54" s="3"/>
      <c r="L54" s="3">
        <f t="shared" si="4"/>
        <v>-164.7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--873.8</f>
        <v>873.8</v>
      </c>
      <c r="U54" s="3"/>
      <c r="V54" s="20"/>
      <c r="W54" s="3"/>
      <c r="X54" s="3">
        <f t="shared" si="6"/>
        <v>-873.8</v>
      </c>
      <c r="Y54" s="3"/>
      <c r="Z54" s="20">
        <f t="shared" si="7"/>
        <v>-1</v>
      </c>
    </row>
    <row r="55" spans="1:26" s="69" customFormat="1" ht="15" hidden="1" customHeight="1" outlineLevel="1" x14ac:dyDescent="0.25">
      <c r="A55" s="42"/>
      <c r="B55" s="12" t="str">
        <f>CONCATENATE("          ","4145"," - ","NON-TAXABLE SALES-SPECIAL ORDE")</f>
        <v xml:space="preserve">          4145 - NON-TAXABLE SALES-SPECIAL ORDE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4"/>
        <v>0</v>
      </c>
      <c r="M55" s="3"/>
      <c r="N55" s="20">
        <f t="shared" si="5"/>
        <v>0</v>
      </c>
      <c r="O55" s="12"/>
      <c r="P55" s="3">
        <f>0</f>
        <v>0</v>
      </c>
      <c r="Q55" s="3"/>
      <c r="R55" s="20"/>
      <c r="S55" s="3"/>
      <c r="T55" s="3">
        <f>--74066.89</f>
        <v>74066.89</v>
      </c>
      <c r="U55" s="3"/>
      <c r="V55" s="20"/>
      <c r="W55" s="3"/>
      <c r="X55" s="3">
        <f t="shared" si="6"/>
        <v>-74066.89</v>
      </c>
      <c r="Y55" s="3"/>
      <c r="Z55" s="20">
        <f t="shared" si="7"/>
        <v>-1</v>
      </c>
    </row>
    <row r="56" spans="1:26" s="69" customFormat="1" ht="15" hidden="1" customHeight="1" outlineLevel="1" x14ac:dyDescent="0.25">
      <c r="A56" s="42"/>
      <c r="B56" s="12" t="str">
        <f>CONCATENATE("          ","4146"," - ","NON-TAXABLE SALES-COIN OP MACH")</f>
        <v xml:space="preserve">          4146 - NON-TAXABLE SALES-COIN OP MACH</v>
      </c>
      <c r="C56" s="12"/>
      <c r="D56" s="3">
        <f>0</f>
        <v>0</v>
      </c>
      <c r="E56" s="3"/>
      <c r="F56" s="20"/>
      <c r="G56" s="3"/>
      <c r="H56" s="3">
        <f>--56.6</f>
        <v>56.6</v>
      </c>
      <c r="I56" s="3"/>
      <c r="J56" s="20"/>
      <c r="K56" s="3"/>
      <c r="L56" s="3">
        <f t="shared" si="4"/>
        <v>-56.6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--385.9</f>
        <v>385.9</v>
      </c>
      <c r="U56" s="3"/>
      <c r="V56" s="20"/>
      <c r="W56" s="3"/>
      <c r="X56" s="3">
        <f t="shared" si="6"/>
        <v>-385.9</v>
      </c>
      <c r="Y56" s="3"/>
      <c r="Z56" s="20">
        <f t="shared" si="7"/>
        <v>-1</v>
      </c>
    </row>
    <row r="57" spans="1:26" s="69" customFormat="1" ht="15" hidden="1" customHeight="1" outlineLevel="1" x14ac:dyDescent="0.25">
      <c r="A57" s="42"/>
      <c r="B57" s="12" t="str">
        <f>CONCATENATE("          ","4147"," - ","NON-TAXABLE SALES-MISC")</f>
        <v xml:space="preserve">          4147 - NON-TAXABLE SALES-MISC</v>
      </c>
      <c r="C57" s="12"/>
      <c r="D57" s="3">
        <f>0</f>
        <v>0</v>
      </c>
      <c r="E57" s="3"/>
      <c r="F57" s="20"/>
      <c r="G57" s="3"/>
      <c r="H57" s="3">
        <f>--13.5</f>
        <v>13.5</v>
      </c>
      <c r="I57" s="3"/>
      <c r="J57" s="20"/>
      <c r="K57" s="3"/>
      <c r="L57" s="3">
        <f t="shared" si="4"/>
        <v>-13.5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--168</f>
        <v>168</v>
      </c>
      <c r="U57" s="3"/>
      <c r="V57" s="20"/>
      <c r="W57" s="3"/>
      <c r="X57" s="3">
        <f t="shared" si="6"/>
        <v>-168</v>
      </c>
      <c r="Y57" s="3"/>
      <c r="Z57" s="20">
        <f t="shared" si="7"/>
        <v>-1</v>
      </c>
    </row>
    <row r="58" spans="1:26" s="69" customFormat="1" ht="15" hidden="1" customHeight="1" outlineLevel="1" x14ac:dyDescent="0.25">
      <c r="A58" s="42"/>
      <c r="B58" s="12" t="str">
        <f>CONCATENATE("          ","4200"," - ","TAXABLE RETURNS")</f>
        <v xml:space="preserve">          4200 - TAXABLE RETURNS</v>
      </c>
      <c r="C58" s="12"/>
      <c r="D58" s="3">
        <f>-44533.18</f>
        <v>-44533.18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-44533.18</v>
      </c>
      <c r="M58" s="3"/>
      <c r="N58" s="20">
        <f t="shared" si="5"/>
        <v>0</v>
      </c>
      <c r="O58" s="12"/>
      <c r="P58" s="3">
        <f>-216083.84</f>
        <v>-216083.84</v>
      </c>
      <c r="Q58" s="3"/>
      <c r="R58" s="20"/>
      <c r="S58" s="3"/>
      <c r="T58" s="3">
        <f>0</f>
        <v>0</v>
      </c>
      <c r="U58" s="3"/>
      <c r="V58" s="20"/>
      <c r="W58" s="3"/>
      <c r="X58" s="3">
        <f t="shared" si="6"/>
        <v>-216083.84</v>
      </c>
      <c r="Y58" s="3"/>
      <c r="Z58" s="20">
        <f t="shared" si="7"/>
        <v>0</v>
      </c>
    </row>
    <row r="59" spans="1:26" s="69" customFormat="1" ht="15" hidden="1" customHeight="1" outlineLevel="1" x14ac:dyDescent="0.25">
      <c r="A59" s="42"/>
      <c r="B59" s="12" t="str">
        <f>CONCATENATE("          ","4201"," - ","SALES RETURN TAXABLE-NEW TEXT")</f>
        <v xml:space="preserve">          4201 - SALES RETURN TAXABLE-NEW TEXT</v>
      </c>
      <c r="C59" s="12"/>
      <c r="D59" s="3">
        <f>0</f>
        <v>0</v>
      </c>
      <c r="E59" s="3"/>
      <c r="F59" s="20"/>
      <c r="G59" s="3"/>
      <c r="H59" s="3">
        <f>-658.4</f>
        <v>-658.4</v>
      </c>
      <c r="I59" s="3"/>
      <c r="J59" s="20"/>
      <c r="K59" s="3"/>
      <c r="L59" s="3">
        <f t="shared" si="4"/>
        <v>658.4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-52296.42</f>
        <v>-52296.42</v>
      </c>
      <c r="U59" s="3"/>
      <c r="V59" s="20"/>
      <c r="W59" s="3"/>
      <c r="X59" s="3">
        <f t="shared" si="6"/>
        <v>52296.42</v>
      </c>
      <c r="Y59" s="3"/>
      <c r="Z59" s="20">
        <f t="shared" si="7"/>
        <v>-1</v>
      </c>
    </row>
    <row r="60" spans="1:26" s="69" customFormat="1" ht="15" hidden="1" customHeight="1" outlineLevel="1" x14ac:dyDescent="0.25">
      <c r="A60" s="42"/>
      <c r="B60" s="12" t="str">
        <f>CONCATENATE("          ","4202"," - ","SALES RETURN TAXABLE-USED TEXT")</f>
        <v xml:space="preserve">          4202 - SALES RETURN TAXABLE-USED TEXT</v>
      </c>
      <c r="C60" s="12"/>
      <c r="D60" s="3">
        <f>0</f>
        <v>0</v>
      </c>
      <c r="E60" s="3"/>
      <c r="F60" s="20"/>
      <c r="G60" s="3"/>
      <c r="H60" s="3">
        <f>-359.4</f>
        <v>-359.4</v>
      </c>
      <c r="I60" s="3"/>
      <c r="J60" s="20"/>
      <c r="K60" s="3"/>
      <c r="L60" s="3">
        <f t="shared" si="4"/>
        <v>359.4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-20455.66</f>
        <v>-20455.66</v>
      </c>
      <c r="U60" s="3"/>
      <c r="V60" s="20"/>
      <c r="W60" s="3"/>
      <c r="X60" s="3">
        <f t="shared" si="6"/>
        <v>20455.66</v>
      </c>
      <c r="Y60" s="3"/>
      <c r="Z60" s="20">
        <f t="shared" si="7"/>
        <v>-1</v>
      </c>
    </row>
    <row r="61" spans="1:26" s="69" customFormat="1" ht="15" hidden="1" customHeight="1" outlineLevel="1" x14ac:dyDescent="0.25">
      <c r="A61" s="42"/>
      <c r="B61" s="12" t="str">
        <f>CONCATENATE("          ","4204"," - ","SALES RETURN TAXABLE-DIGITAL T")</f>
        <v xml:space="preserve">          4204 - SALES RETURN TAXABLE-DIGITAL T</v>
      </c>
      <c r="C61" s="12"/>
      <c r="D61" s="3">
        <f>0</f>
        <v>0</v>
      </c>
      <c r="E61" s="3"/>
      <c r="F61" s="20"/>
      <c r="G61" s="3"/>
      <c r="H61" s="3">
        <f>0</f>
        <v>0</v>
      </c>
      <c r="I61" s="3"/>
      <c r="J61" s="20"/>
      <c r="K61" s="3"/>
      <c r="L61" s="3">
        <f t="shared" si="4"/>
        <v>0</v>
      </c>
      <c r="M61" s="3"/>
      <c r="N61" s="20">
        <f t="shared" si="5"/>
        <v>0</v>
      </c>
      <c r="O61" s="12"/>
      <c r="P61" s="3">
        <f>0</f>
        <v>0</v>
      </c>
      <c r="Q61" s="3"/>
      <c r="R61" s="20"/>
      <c r="S61" s="3"/>
      <c r="T61" s="3">
        <f>-1763.1</f>
        <v>-1763.1</v>
      </c>
      <c r="U61" s="3"/>
      <c r="V61" s="20"/>
      <c r="W61" s="3"/>
      <c r="X61" s="3">
        <f t="shared" si="6"/>
        <v>1763.1</v>
      </c>
      <c r="Y61" s="3"/>
      <c r="Z61" s="20">
        <f t="shared" si="7"/>
        <v>-1</v>
      </c>
    </row>
    <row r="62" spans="1:26" s="69" customFormat="1" ht="15" hidden="1" customHeight="1" outlineLevel="1" x14ac:dyDescent="0.25">
      <c r="A62" s="42"/>
      <c r="B62" s="12" t="str">
        <f>CONCATENATE("          ","4213"," - ","NON-TAXABLE SALES-TRADE BOOKS")</f>
        <v xml:space="preserve">          4213 - NON-TAXABLE SALES-TRADE BOOKS</v>
      </c>
      <c r="C62" s="12"/>
      <c r="D62" s="3">
        <f>0</f>
        <v>0</v>
      </c>
      <c r="E62" s="3"/>
      <c r="F62" s="20"/>
      <c r="G62" s="3"/>
      <c r="H62" s="3">
        <f>-8.99</f>
        <v>-8.99</v>
      </c>
      <c r="I62" s="3"/>
      <c r="J62" s="20"/>
      <c r="K62" s="3"/>
      <c r="L62" s="3">
        <f t="shared" si="4"/>
        <v>8.99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-78.92</f>
        <v>-78.92</v>
      </c>
      <c r="U62" s="3"/>
      <c r="V62" s="20"/>
      <c r="W62" s="3"/>
      <c r="X62" s="3">
        <f t="shared" si="6"/>
        <v>78.92</v>
      </c>
      <c r="Y62" s="3"/>
      <c r="Z62" s="20">
        <f t="shared" si="7"/>
        <v>-1</v>
      </c>
    </row>
    <row r="63" spans="1:26" s="69" customFormat="1" ht="15" hidden="1" customHeight="1" outlineLevel="1" x14ac:dyDescent="0.25">
      <c r="A63" s="42"/>
      <c r="B63" s="12" t="str">
        <f>CONCATENATE("          ","4218"," - ","SALES RETURN TAXABLE-STUDY GUI")</f>
        <v xml:space="preserve">          4218 - SALES RETURN TAXABLE-STUDY GUI</v>
      </c>
      <c r="C63" s="12"/>
      <c r="D63" s="3">
        <f>0</f>
        <v>0</v>
      </c>
      <c r="E63" s="3"/>
      <c r="F63" s="20"/>
      <c r="G63" s="3"/>
      <c r="H63" s="3">
        <f>0</f>
        <v>0</v>
      </c>
      <c r="I63" s="3"/>
      <c r="J63" s="20"/>
      <c r="K63" s="3"/>
      <c r="L63" s="3">
        <f t="shared" si="4"/>
        <v>0</v>
      </c>
      <c r="M63" s="3"/>
      <c r="N63" s="20">
        <f t="shared" si="5"/>
        <v>0</v>
      </c>
      <c r="O63" s="12"/>
      <c r="P63" s="3">
        <f>0</f>
        <v>0</v>
      </c>
      <c r="Q63" s="3"/>
      <c r="R63" s="20"/>
      <c r="S63" s="3"/>
      <c r="T63" s="3">
        <f>-5.21</f>
        <v>-5.21</v>
      </c>
      <c r="U63" s="3"/>
      <c r="V63" s="20"/>
      <c r="W63" s="3"/>
      <c r="X63" s="3">
        <f t="shared" si="6"/>
        <v>5.21</v>
      </c>
      <c r="Y63" s="3"/>
      <c r="Z63" s="20">
        <f t="shared" si="7"/>
        <v>-1</v>
      </c>
    </row>
    <row r="64" spans="1:26" s="69" customFormat="1" ht="15" hidden="1" customHeight="1" outlineLevel="1" x14ac:dyDescent="0.25">
      <c r="A64" s="42"/>
      <c r="B64" s="12" t="str">
        <f>CONCATENATE("          ","4226"," - ","SALES RETURN TAXABLE-WRITING I")</f>
        <v xml:space="preserve">          4226 - SALES RETURN TAXABLE-WRITING I</v>
      </c>
      <c r="C64" s="12"/>
      <c r="D64" s="3">
        <f>0</f>
        <v>0</v>
      </c>
      <c r="E64" s="3"/>
      <c r="F64" s="20"/>
      <c r="G64" s="3"/>
      <c r="H64" s="3">
        <f>-0.79</f>
        <v>-0.79</v>
      </c>
      <c r="I64" s="3"/>
      <c r="J64" s="20"/>
      <c r="K64" s="3"/>
      <c r="L64" s="3">
        <f t="shared" si="4"/>
        <v>0.79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-35.02</f>
        <v>-35.020000000000003</v>
      </c>
      <c r="U64" s="3"/>
      <c r="V64" s="20"/>
      <c r="W64" s="3"/>
      <c r="X64" s="3">
        <f t="shared" si="6"/>
        <v>35.020000000000003</v>
      </c>
      <c r="Y64" s="3"/>
      <c r="Z64" s="20">
        <f t="shared" si="7"/>
        <v>-1</v>
      </c>
    </row>
    <row r="65" spans="1:26" s="69" customFormat="1" ht="15" hidden="1" customHeight="1" outlineLevel="1" x14ac:dyDescent="0.25">
      <c r="A65" s="42"/>
      <c r="B65" s="12" t="str">
        <f>CONCATENATE("          ","4227"," - ","SALES RETURN TAXABLE-SCHOOL SU")</f>
        <v xml:space="preserve">          4227 - SALES RETURN TAXABLE-SCHOOL SU</v>
      </c>
      <c r="C65" s="12"/>
      <c r="D65" s="3">
        <f>0</f>
        <v>0</v>
      </c>
      <c r="E65" s="3"/>
      <c r="F65" s="20"/>
      <c r="G65" s="3"/>
      <c r="H65" s="3">
        <f>-137.82</f>
        <v>-137.82</v>
      </c>
      <c r="I65" s="3"/>
      <c r="J65" s="20"/>
      <c r="K65" s="3"/>
      <c r="L65" s="3">
        <f t="shared" si="4"/>
        <v>137.82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-1484.48</f>
        <v>-1484.48</v>
      </c>
      <c r="U65" s="3"/>
      <c r="V65" s="20"/>
      <c r="W65" s="3"/>
      <c r="X65" s="3">
        <f t="shared" si="6"/>
        <v>1484.48</v>
      </c>
      <c r="Y65" s="3"/>
      <c r="Z65" s="20">
        <f t="shared" si="7"/>
        <v>-1</v>
      </c>
    </row>
    <row r="66" spans="1:26" s="69" customFormat="1" ht="15" hidden="1" customHeight="1" outlineLevel="1" x14ac:dyDescent="0.25">
      <c r="A66" s="42"/>
      <c r="B66" s="12" t="str">
        <f>CONCATENATE("          ","4228"," - ","SALES RETURN TAXABLE-ART/TECH")</f>
        <v xml:space="preserve">          4228 - SALES RETURN TAXABLE-ART/TECH</v>
      </c>
      <c r="C66" s="12"/>
      <c r="D66" s="3">
        <f>0</f>
        <v>0</v>
      </c>
      <c r="E66" s="3"/>
      <c r="F66" s="20"/>
      <c r="G66" s="3"/>
      <c r="H66" s="3">
        <f>0</f>
        <v>0</v>
      </c>
      <c r="I66" s="3"/>
      <c r="J66" s="20"/>
      <c r="K66" s="3"/>
      <c r="L66" s="3">
        <f t="shared" si="4"/>
        <v>0</v>
      </c>
      <c r="M66" s="3"/>
      <c r="N66" s="20">
        <f t="shared" si="5"/>
        <v>0</v>
      </c>
      <c r="O66" s="12"/>
      <c r="P66" s="3">
        <f>0</f>
        <v>0</v>
      </c>
      <c r="Q66" s="3"/>
      <c r="R66" s="20"/>
      <c r="S66" s="3"/>
      <c r="T66" s="3">
        <f>-12973.73</f>
        <v>-12973.73</v>
      </c>
      <c r="U66" s="3"/>
      <c r="V66" s="20"/>
      <c r="W66" s="3"/>
      <c r="X66" s="3">
        <f t="shared" si="6"/>
        <v>12973.73</v>
      </c>
      <c r="Y66" s="3"/>
      <c r="Z66" s="20">
        <f t="shared" si="7"/>
        <v>-1</v>
      </c>
    </row>
    <row r="67" spans="1:26" s="69" customFormat="1" ht="15" hidden="1" customHeight="1" outlineLevel="1" x14ac:dyDescent="0.25">
      <c r="A67" s="42"/>
      <c r="B67" s="12" t="str">
        <f>CONCATENATE("          ","4240"," - ","SALES RETURN TAXABLE-LOGO CLOT")</f>
        <v xml:space="preserve">          4240 - SALES RETURN TAXABLE-LOGO CLOT</v>
      </c>
      <c r="C67" s="12"/>
      <c r="D67" s="3">
        <f>0</f>
        <v>0</v>
      </c>
      <c r="E67" s="3"/>
      <c r="F67" s="20"/>
      <c r="G67" s="3"/>
      <c r="H67" s="3">
        <f>-6427.17</f>
        <v>-6427.17</v>
      </c>
      <c r="I67" s="3"/>
      <c r="J67" s="20"/>
      <c r="K67" s="3"/>
      <c r="L67" s="3">
        <f t="shared" si="4"/>
        <v>6427.17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-47093.44</f>
        <v>-47093.440000000002</v>
      </c>
      <c r="U67" s="3"/>
      <c r="V67" s="20"/>
      <c r="W67" s="3"/>
      <c r="X67" s="3">
        <f t="shared" si="6"/>
        <v>47093.440000000002</v>
      </c>
      <c r="Y67" s="3"/>
      <c r="Z67" s="20">
        <f t="shared" si="7"/>
        <v>-1</v>
      </c>
    </row>
    <row r="68" spans="1:26" s="69" customFormat="1" ht="15" hidden="1" customHeight="1" outlineLevel="1" x14ac:dyDescent="0.25">
      <c r="A68" s="42"/>
      <c r="B68" s="12" t="str">
        <f>CONCATENATE("          ","4241"," - ","SALES RETURN TAXABLE-LOGO GIFT")</f>
        <v xml:space="preserve">          4241 - SALES RETURN TAXABLE-LOGO GIFT</v>
      </c>
      <c r="C68" s="12"/>
      <c r="D68" s="3">
        <f>0</f>
        <v>0</v>
      </c>
      <c r="E68" s="3"/>
      <c r="F68" s="20"/>
      <c r="G68" s="3"/>
      <c r="H68" s="3">
        <f>-4505.29</f>
        <v>-4505.29</v>
      </c>
      <c r="I68" s="3"/>
      <c r="J68" s="20"/>
      <c r="K68" s="3"/>
      <c r="L68" s="3">
        <f t="shared" si="4"/>
        <v>4505.29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-16680.54</f>
        <v>-16680.54</v>
      </c>
      <c r="U68" s="3"/>
      <c r="V68" s="20"/>
      <c r="W68" s="3"/>
      <c r="X68" s="3">
        <f t="shared" si="6"/>
        <v>16680.54</v>
      </c>
      <c r="Y68" s="3"/>
      <c r="Z68" s="20">
        <f t="shared" si="7"/>
        <v>-1</v>
      </c>
    </row>
    <row r="69" spans="1:26" s="69" customFormat="1" ht="15" hidden="1" customHeight="1" outlineLevel="1" x14ac:dyDescent="0.25">
      <c r="A69" s="42"/>
      <c r="B69" s="12" t="str">
        <f>CONCATENATE("          ","4242"," - ","SALES RETURN TAXABLE-EVERYDAY")</f>
        <v xml:space="preserve">          4242 - SALES RETURN TAXABLE-EVERYDAY</v>
      </c>
      <c r="C69" s="12"/>
      <c r="D69" s="3">
        <f>0</f>
        <v>0</v>
      </c>
      <c r="E69" s="3"/>
      <c r="F69" s="20"/>
      <c r="G69" s="3"/>
      <c r="H69" s="3">
        <f>-107</f>
        <v>-107</v>
      </c>
      <c r="I69" s="3"/>
      <c r="J69" s="20"/>
      <c r="K69" s="3"/>
      <c r="L69" s="3">
        <f t="shared" si="4"/>
        <v>107</v>
      </c>
      <c r="M69" s="3"/>
      <c r="N69" s="20">
        <f t="shared" si="5"/>
        <v>-1</v>
      </c>
      <c r="O69" s="12"/>
      <c r="P69" s="3">
        <f>0</f>
        <v>0</v>
      </c>
      <c r="Q69" s="3"/>
      <c r="R69" s="20"/>
      <c r="S69" s="3"/>
      <c r="T69" s="3">
        <f>-2743.09</f>
        <v>-2743.09</v>
      </c>
      <c r="U69" s="3"/>
      <c r="V69" s="20"/>
      <c r="W69" s="3"/>
      <c r="X69" s="3">
        <f t="shared" si="6"/>
        <v>2743.09</v>
      </c>
      <c r="Y69" s="3"/>
      <c r="Z69" s="20">
        <f t="shared" si="7"/>
        <v>-1</v>
      </c>
    </row>
    <row r="70" spans="1:26" s="69" customFormat="1" ht="15" hidden="1" customHeight="1" outlineLevel="1" x14ac:dyDescent="0.25">
      <c r="A70" s="42"/>
      <c r="B70" s="12" t="str">
        <f>CONCATENATE("          ","4243"," - ","SALES RETURN TAXABLE-CARDS")</f>
        <v xml:space="preserve">          4243 - SALES RETURN TAXABLE-CARDS</v>
      </c>
      <c r="C70" s="12"/>
      <c r="D70" s="3">
        <f>0</f>
        <v>0</v>
      </c>
      <c r="E70" s="3"/>
      <c r="F70" s="20"/>
      <c r="G70" s="3"/>
      <c r="H70" s="3">
        <f>-76.9</f>
        <v>-76.900000000000006</v>
      </c>
      <c r="I70" s="3"/>
      <c r="J70" s="20"/>
      <c r="K70" s="3"/>
      <c r="L70" s="3">
        <f t="shared" si="4"/>
        <v>76.900000000000006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-6218.99</f>
        <v>-6218.99</v>
      </c>
      <c r="U70" s="3"/>
      <c r="V70" s="20"/>
      <c r="W70" s="3"/>
      <c r="X70" s="3">
        <f t="shared" si="6"/>
        <v>6218.99</v>
      </c>
      <c r="Y70" s="3"/>
      <c r="Z70" s="20">
        <f t="shared" si="7"/>
        <v>-1</v>
      </c>
    </row>
    <row r="71" spans="1:26" s="69" customFormat="1" ht="15" hidden="1" customHeight="1" outlineLevel="1" x14ac:dyDescent="0.25">
      <c r="A71" s="42"/>
      <c r="B71" s="12" t="str">
        <f>CONCATENATE("          ","4244"," - ","SALES RETURN TAXABLE-ACCESSORI")</f>
        <v xml:space="preserve">          4244 - SALES RETURN TAXABLE-ACCESSORI</v>
      </c>
      <c r="C71" s="12"/>
      <c r="D71" s="3">
        <f>0</f>
        <v>0</v>
      </c>
      <c r="E71" s="3"/>
      <c r="F71" s="20"/>
      <c r="G71" s="3"/>
      <c r="H71" s="3">
        <f>-24.41</f>
        <v>-24.41</v>
      </c>
      <c r="I71" s="3"/>
      <c r="J71" s="20"/>
      <c r="K71" s="3"/>
      <c r="L71" s="3">
        <f t="shared" si="4"/>
        <v>24.41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-1267.91</f>
        <v>-1267.9100000000001</v>
      </c>
      <c r="U71" s="3"/>
      <c r="V71" s="20"/>
      <c r="W71" s="3"/>
      <c r="X71" s="3">
        <f t="shared" si="6"/>
        <v>1267.9100000000001</v>
      </c>
      <c r="Y71" s="3"/>
      <c r="Z71" s="20">
        <f t="shared" si="7"/>
        <v>-1</v>
      </c>
    </row>
    <row r="72" spans="1:26" s="69" customFormat="1" ht="15" hidden="1" customHeight="1" outlineLevel="1" x14ac:dyDescent="0.25">
      <c r="A72" s="42"/>
      <c r="B72" s="12" t="str">
        <f>CONCATENATE("          ","4245"," - ","SALES RETURN TAXABLE-SPECIAL O")</f>
        <v xml:space="preserve">          4245 - SALES RETURN TAXABLE-SPECIAL O</v>
      </c>
      <c r="C72" s="12"/>
      <c r="D72" s="3">
        <f>0</f>
        <v>0</v>
      </c>
      <c r="E72" s="3"/>
      <c r="F72" s="20"/>
      <c r="G72" s="3"/>
      <c r="H72" s="3">
        <f>-36</f>
        <v>-36</v>
      </c>
      <c r="I72" s="3"/>
      <c r="J72" s="20"/>
      <c r="K72" s="3"/>
      <c r="L72" s="3">
        <f t="shared" si="4"/>
        <v>36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-15460.73</f>
        <v>-15460.73</v>
      </c>
      <c r="U72" s="3"/>
      <c r="V72" s="20"/>
      <c r="W72" s="3"/>
      <c r="X72" s="3">
        <f t="shared" si="6"/>
        <v>15460.73</v>
      </c>
      <c r="Y72" s="3"/>
      <c r="Z72" s="20">
        <f t="shared" si="7"/>
        <v>-1</v>
      </c>
    </row>
    <row r="73" spans="1:26" s="69" customFormat="1" ht="15" hidden="1" customHeight="1" outlineLevel="1" x14ac:dyDescent="0.25">
      <c r="A73" s="42"/>
      <c r="B73" s="12" t="str">
        <f>CONCATENATE("          ","4300"," - ","NON-TAX RETURNS")</f>
        <v xml:space="preserve">          4300 - NON-TAX RETURNS</v>
      </c>
      <c r="C73" s="12"/>
      <c r="D73" s="3">
        <f>-554.21</f>
        <v>-554.21</v>
      </c>
      <c r="E73" s="3"/>
      <c r="F73" s="20"/>
      <c r="G73" s="3"/>
      <c r="H73" s="3">
        <f>0</f>
        <v>0</v>
      </c>
      <c r="I73" s="3"/>
      <c r="J73" s="20"/>
      <c r="K73" s="3"/>
      <c r="L73" s="3">
        <f t="shared" si="4"/>
        <v>-554.21</v>
      </c>
      <c r="M73" s="3"/>
      <c r="N73" s="20">
        <f t="shared" si="5"/>
        <v>0</v>
      </c>
      <c r="O73" s="12"/>
      <c r="P73" s="3">
        <f>-41771.06</f>
        <v>-41771.06</v>
      </c>
      <c r="Q73" s="3"/>
      <c r="R73" s="20"/>
      <c r="S73" s="3"/>
      <c r="T73" s="3">
        <f>0</f>
        <v>0</v>
      </c>
      <c r="U73" s="3"/>
      <c r="V73" s="20"/>
      <c r="W73" s="3"/>
      <c r="X73" s="3">
        <f t="shared" si="6"/>
        <v>-41771.06</v>
      </c>
      <c r="Y73" s="3"/>
      <c r="Z73" s="20">
        <f t="shared" si="7"/>
        <v>0</v>
      </c>
    </row>
    <row r="74" spans="1:26" s="69" customFormat="1" ht="15" hidden="1" customHeight="1" outlineLevel="1" x14ac:dyDescent="0.25">
      <c r="A74" s="42"/>
      <c r="B74" s="12" t="str">
        <f>CONCATENATE("          ","4301"," - ","SALES RETURN NON TAXABLE-NEW T")</f>
        <v xml:space="preserve">          4301 - SALES RETURN NON TAXABLE-NEW T</v>
      </c>
      <c r="C74" s="12"/>
      <c r="D74" s="3">
        <f>0</f>
        <v>0</v>
      </c>
      <c r="E74" s="3"/>
      <c r="F74" s="20"/>
      <c r="G74" s="3"/>
      <c r="H74" s="3">
        <f>-1333.16</f>
        <v>-1333.16</v>
      </c>
      <c r="I74" s="3"/>
      <c r="J74" s="20"/>
      <c r="K74" s="3"/>
      <c r="L74" s="3">
        <f t="shared" si="4"/>
        <v>1333.16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-4796.36</f>
        <v>-4796.3599999999997</v>
      </c>
      <c r="U74" s="3"/>
      <c r="V74" s="20"/>
      <c r="W74" s="3"/>
      <c r="X74" s="3">
        <f t="shared" si="6"/>
        <v>4796.3599999999997</v>
      </c>
      <c r="Y74" s="3"/>
      <c r="Z74" s="20">
        <f t="shared" si="7"/>
        <v>-1</v>
      </c>
    </row>
    <row r="75" spans="1:26" s="69" customFormat="1" ht="15" hidden="1" customHeight="1" outlineLevel="1" x14ac:dyDescent="0.25">
      <c r="A75" s="42"/>
      <c r="B75" s="12" t="str">
        <f>CONCATENATE("          ","4302"," - ","SALES RETURN NON TAXABLE-TEXT")</f>
        <v xml:space="preserve">          4302 - SALES RETURN NON TAXABLE-TEXT</v>
      </c>
      <c r="C75" s="12"/>
      <c r="D75" s="3">
        <f>0</f>
        <v>0</v>
      </c>
      <c r="E75" s="3"/>
      <c r="F75" s="20"/>
      <c r="G75" s="3"/>
      <c r="H75" s="3">
        <f>-134.22</f>
        <v>-134.22</v>
      </c>
      <c r="I75" s="3"/>
      <c r="J75" s="20"/>
      <c r="K75" s="3"/>
      <c r="L75" s="3">
        <f t="shared" si="4"/>
        <v>134.22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-2577.54</f>
        <v>-2577.54</v>
      </c>
      <c r="U75" s="3"/>
      <c r="V75" s="20"/>
      <c r="W75" s="3"/>
      <c r="X75" s="3">
        <f t="shared" si="6"/>
        <v>2577.54</v>
      </c>
      <c r="Y75" s="3"/>
      <c r="Z75" s="20">
        <f t="shared" si="7"/>
        <v>-1</v>
      </c>
    </row>
    <row r="76" spans="1:26" s="69" customFormat="1" ht="15" hidden="1" customHeight="1" outlineLevel="1" x14ac:dyDescent="0.25">
      <c r="A76" s="42"/>
      <c r="B76" s="12" t="str">
        <f>CONCATENATE("          ","4304"," - ","SALES RETURN NON TAXABLE-DIGIT")</f>
        <v xml:space="preserve">          4304 - SALES RETURN NON TAXABLE-DIGIT</v>
      </c>
      <c r="C76" s="12"/>
      <c r="D76" s="3">
        <f>0</f>
        <v>0</v>
      </c>
      <c r="E76" s="3"/>
      <c r="F76" s="20"/>
      <c r="G76" s="3"/>
      <c r="H76" s="3">
        <f>-3338.22</f>
        <v>-3338.22</v>
      </c>
      <c r="I76" s="3"/>
      <c r="J76" s="20"/>
      <c r="K76" s="3"/>
      <c r="L76" s="3">
        <f t="shared" ref="L76:L81" si="8">+D76-H76</f>
        <v>3338.22</v>
      </c>
      <c r="M76" s="3"/>
      <c r="N76" s="20">
        <f t="shared" ref="N76:N81" si="9">IF(H76=0,0,L76/H76)</f>
        <v>-1</v>
      </c>
      <c r="O76" s="12"/>
      <c r="P76" s="3">
        <f>0</f>
        <v>0</v>
      </c>
      <c r="Q76" s="3"/>
      <c r="R76" s="20"/>
      <c r="S76" s="3"/>
      <c r="T76" s="3">
        <f>-30881.98</f>
        <v>-30881.98</v>
      </c>
      <c r="U76" s="3"/>
      <c r="V76" s="20"/>
      <c r="W76" s="3"/>
      <c r="X76" s="3">
        <f t="shared" ref="X76:X81" si="10">+P76-T76</f>
        <v>30881.98</v>
      </c>
      <c r="Y76" s="3"/>
      <c r="Z76" s="20">
        <f t="shared" ref="Z76:Z81" si="11">IF(T76=0,0,X76/T76)</f>
        <v>-1</v>
      </c>
    </row>
    <row r="77" spans="1:26" s="69" customFormat="1" ht="15" hidden="1" customHeight="1" outlineLevel="1" x14ac:dyDescent="0.25">
      <c r="A77" s="42"/>
      <c r="B77" s="12" t="str">
        <f>CONCATENATE("          ","4327"," - ","SALES RETURN NON TAXABLE-SCHOO")</f>
        <v xml:space="preserve">          4327 - SALES RETURN NON TAXABLE-SCHOO</v>
      </c>
      <c r="C77" s="12"/>
      <c r="D77" s="3">
        <f>0</f>
        <v>0</v>
      </c>
      <c r="E77" s="3"/>
      <c r="F77" s="20"/>
      <c r="G77" s="3"/>
      <c r="H77" s="3">
        <f>-17.41</f>
        <v>-17.41</v>
      </c>
      <c r="I77" s="3"/>
      <c r="J77" s="20"/>
      <c r="K77" s="3"/>
      <c r="L77" s="3">
        <f t="shared" si="8"/>
        <v>17.41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-17.41</f>
        <v>-17.41</v>
      </c>
      <c r="U77" s="3"/>
      <c r="V77" s="20"/>
      <c r="W77" s="3"/>
      <c r="X77" s="3">
        <f t="shared" si="10"/>
        <v>17.41</v>
      </c>
      <c r="Y77" s="3"/>
      <c r="Z77" s="20">
        <f t="shared" si="11"/>
        <v>-1</v>
      </c>
    </row>
    <row r="78" spans="1:26" s="69" customFormat="1" ht="15" hidden="1" customHeight="1" outlineLevel="1" x14ac:dyDescent="0.25">
      <c r="A78" s="42"/>
      <c r="B78" s="12" t="str">
        <f>CONCATENATE("          ","4340"," - ","SALES RETURN NON TAXABLE-LOGO")</f>
        <v xml:space="preserve">          4340 - SALES RETURN NON TAXABLE-LOGO</v>
      </c>
      <c r="C78" s="12"/>
      <c r="D78" s="3">
        <f>0</f>
        <v>0</v>
      </c>
      <c r="E78" s="3"/>
      <c r="F78" s="20"/>
      <c r="G78" s="3"/>
      <c r="H78" s="3">
        <f>-143.74</f>
        <v>-143.74</v>
      </c>
      <c r="I78" s="3"/>
      <c r="J78" s="20"/>
      <c r="K78" s="3"/>
      <c r="L78" s="3">
        <f t="shared" si="8"/>
        <v>143.74</v>
      </c>
      <c r="M78" s="3"/>
      <c r="N78" s="20">
        <f t="shared" si="9"/>
        <v>-1</v>
      </c>
      <c r="O78" s="12"/>
      <c r="P78" s="3">
        <f>0</f>
        <v>0</v>
      </c>
      <c r="Q78" s="3"/>
      <c r="R78" s="20"/>
      <c r="S78" s="3"/>
      <c r="T78" s="3">
        <f>-3451.26</f>
        <v>-3451.26</v>
      </c>
      <c r="U78" s="3"/>
      <c r="V78" s="20"/>
      <c r="W78" s="3"/>
      <c r="X78" s="3">
        <f t="shared" si="10"/>
        <v>3451.26</v>
      </c>
      <c r="Y78" s="3"/>
      <c r="Z78" s="20">
        <f t="shared" si="11"/>
        <v>-1</v>
      </c>
    </row>
    <row r="79" spans="1:26" s="69" customFormat="1" ht="15" hidden="1" customHeight="1" outlineLevel="1" x14ac:dyDescent="0.25">
      <c r="A79" s="42"/>
      <c r="B79" s="12" t="str">
        <f>CONCATENATE("          ","4341"," - ","SALES RETURN NON TAXABLE-LOGO")</f>
        <v xml:space="preserve">          4341 - SALES RETURN NON TAXABLE-LOGO</v>
      </c>
      <c r="C79" s="12"/>
      <c r="D79" s="3">
        <f>0</f>
        <v>0</v>
      </c>
      <c r="E79" s="3"/>
      <c r="F79" s="20"/>
      <c r="G79" s="3"/>
      <c r="H79" s="3">
        <f>-104.3</f>
        <v>-104.3</v>
      </c>
      <c r="I79" s="3"/>
      <c r="J79" s="20"/>
      <c r="K79" s="3"/>
      <c r="L79" s="3">
        <f t="shared" si="8"/>
        <v>104.3</v>
      </c>
      <c r="M79" s="3"/>
      <c r="N79" s="20">
        <f t="shared" si="9"/>
        <v>-1</v>
      </c>
      <c r="O79" s="12"/>
      <c r="P79" s="3">
        <f>0</f>
        <v>0</v>
      </c>
      <c r="Q79" s="3"/>
      <c r="R79" s="20"/>
      <c r="S79" s="3"/>
      <c r="T79" s="3">
        <f>-506.74</f>
        <v>-506.74</v>
      </c>
      <c r="U79" s="3"/>
      <c r="V79" s="20"/>
      <c r="W79" s="3"/>
      <c r="X79" s="3">
        <f t="shared" si="10"/>
        <v>506.74</v>
      </c>
      <c r="Y79" s="3"/>
      <c r="Z79" s="20">
        <f t="shared" si="11"/>
        <v>-1</v>
      </c>
    </row>
    <row r="80" spans="1:26" s="69" customFormat="1" ht="15" hidden="1" customHeight="1" outlineLevel="1" x14ac:dyDescent="0.25">
      <c r="A80" s="42"/>
      <c r="B80" s="12" t="str">
        <f>CONCATENATE("          ","4342"," - ","SALES RETURN NON TAXABLE-EVERY")</f>
        <v xml:space="preserve">          4342 - SALES RETURN NON TAXABLE-EVERY</v>
      </c>
      <c r="C80" s="12"/>
      <c r="D80" s="3">
        <f>0</f>
        <v>0</v>
      </c>
      <c r="E80" s="3"/>
      <c r="F80" s="20"/>
      <c r="G80" s="3"/>
      <c r="H80" s="3">
        <f>0</f>
        <v>0</v>
      </c>
      <c r="I80" s="3"/>
      <c r="J80" s="20"/>
      <c r="K80" s="3"/>
      <c r="L80" s="3">
        <f t="shared" si="8"/>
        <v>0</v>
      </c>
      <c r="M80" s="3"/>
      <c r="N80" s="20">
        <f t="shared" si="9"/>
        <v>0</v>
      </c>
      <c r="O80" s="12"/>
      <c r="P80" s="3">
        <f>0</f>
        <v>0</v>
      </c>
      <c r="Q80" s="3"/>
      <c r="R80" s="20"/>
      <c r="S80" s="3"/>
      <c r="T80" s="3">
        <f>-118.7</f>
        <v>-118.7</v>
      </c>
      <c r="U80" s="3"/>
      <c r="V80" s="20"/>
      <c r="W80" s="3"/>
      <c r="X80" s="3">
        <f t="shared" si="10"/>
        <v>118.7</v>
      </c>
      <c r="Y80" s="3"/>
      <c r="Z80" s="20">
        <f t="shared" si="11"/>
        <v>-1</v>
      </c>
    </row>
    <row r="81" spans="1:26" s="69" customFormat="1" ht="15" hidden="1" customHeight="1" outlineLevel="1" x14ac:dyDescent="0.25">
      <c r="A81" s="42"/>
      <c r="B81" s="12" t="str">
        <f>CONCATENATE("          ","4500"," - ","SALES DISCOUNT")</f>
        <v xml:space="preserve">          4500 - SALES DISCOUNT</v>
      </c>
      <c r="C81" s="12"/>
      <c r="D81" s="3">
        <f>-21308.37</f>
        <v>-21308.37</v>
      </c>
      <c r="E81" s="3"/>
      <c r="F81" s="20"/>
      <c r="G81" s="3"/>
      <c r="H81" s="3">
        <f>0</f>
        <v>0</v>
      </c>
      <c r="I81" s="3"/>
      <c r="J81" s="20"/>
      <c r="K81" s="3"/>
      <c r="L81" s="3">
        <f t="shared" si="8"/>
        <v>-21308.37</v>
      </c>
      <c r="M81" s="3"/>
      <c r="N81" s="20">
        <f t="shared" si="9"/>
        <v>0</v>
      </c>
      <c r="O81" s="12"/>
      <c r="P81" s="3">
        <f>-127922.28</f>
        <v>-127922.28</v>
      </c>
      <c r="Q81" s="3"/>
      <c r="R81" s="20"/>
      <c r="S81" s="3"/>
      <c r="T81" s="3">
        <f>0</f>
        <v>0</v>
      </c>
      <c r="U81" s="3"/>
      <c r="V81" s="20"/>
      <c r="W81" s="3"/>
      <c r="X81" s="3">
        <f t="shared" si="10"/>
        <v>-127922.28</v>
      </c>
      <c r="Y81" s="3"/>
      <c r="Z81" s="20">
        <f t="shared" si="11"/>
        <v>0</v>
      </c>
    </row>
    <row r="82" spans="1:26" ht="15" customHeight="1" x14ac:dyDescent="0.25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collapsed="1" x14ac:dyDescent="0.25">
      <c r="A83" s="11"/>
      <c r="B83" s="28" t="s">
        <v>287</v>
      </c>
      <c r="C83" s="11"/>
      <c r="D83" s="5">
        <f>SUM(OSRRefD16x_0)</f>
        <v>374318.87999999995</v>
      </c>
      <c r="E83" s="5"/>
      <c r="F83" s="13">
        <f t="shared" ref="F83:F124" si="12">IF(D$12=0,0,D83/D$12)</f>
        <v>0.43644804478106519</v>
      </c>
      <c r="G83" s="5"/>
      <c r="H83" s="5">
        <f>SUM(OSRRefH16x_0)</f>
        <v>248623.07</v>
      </c>
      <c r="I83" s="5"/>
      <c r="J83" s="13">
        <f t="shared" ref="J83:J124" si="13">IF(H$12=0,0,H83/H$12)</f>
        <v>0.49061078611326941</v>
      </c>
      <c r="K83" s="5"/>
      <c r="L83" s="5">
        <f t="shared" ref="L83:L124" si="14">+D83-H83</f>
        <v>125695.80999999994</v>
      </c>
      <c r="M83" s="5"/>
      <c r="N83" s="13">
        <f t="shared" ref="N83:N124" si="15">IF(H83=0,0,L83/H83)</f>
        <v>0.50556776569447048</v>
      </c>
      <c r="O83" s="11"/>
      <c r="P83" s="5">
        <f>SUM(OSRRefP16x_0)</f>
        <v>4073638.72</v>
      </c>
      <c r="Q83" s="5"/>
      <c r="R83" s="13">
        <f t="shared" ref="R83:R124" si="16">IF(P$12=0,0,P83/P$12)</f>
        <v>0.5417568444653279</v>
      </c>
      <c r="S83" s="5"/>
      <c r="T83" s="5">
        <f>SUM(OSRRefT16x_0)</f>
        <v>3192780.8200000008</v>
      </c>
      <c r="U83" s="5"/>
      <c r="V83" s="13">
        <f t="shared" ref="V83:V124" si="17">IF(T$12=0,0,T83/T$12)</f>
        <v>0.61288819083134038</v>
      </c>
      <c r="W83" s="5"/>
      <c r="X83" s="5">
        <f t="shared" ref="X83:X124" si="18">+P83-T83</f>
        <v>880857.89999999944</v>
      </c>
      <c r="Y83" s="5"/>
      <c r="Z83" s="13">
        <f t="shared" ref="Z83:Z124" si="19">IF(T83=0,0,X83/T83)</f>
        <v>0.27589050099593093</v>
      </c>
    </row>
    <row r="84" spans="1:26" s="69" customFormat="1" ht="15" hidden="1" customHeight="1" outlineLevel="1" x14ac:dyDescent="0.25">
      <c r="A84" s="42"/>
      <c r="B84" s="12" t="str">
        <f>CONCATENATE("          ","5000"," - ","PURCHASES @ COST")</f>
        <v xml:space="preserve">          5000 - PURCHASES @ COST</v>
      </c>
      <c r="C84" s="12"/>
      <c r="D84" s="3">
        <v>354165.25</v>
      </c>
      <c r="E84" s="3"/>
      <c r="F84" s="20">
        <f t="shared" si="12"/>
        <v>0.41294933050637783</v>
      </c>
      <c r="G84" s="3"/>
      <c r="H84" s="3"/>
      <c r="I84" s="3"/>
      <c r="J84" s="20">
        <f t="shared" si="13"/>
        <v>0</v>
      </c>
      <c r="K84" s="3"/>
      <c r="L84" s="3">
        <f t="shared" si="14"/>
        <v>354165.25</v>
      </c>
      <c r="M84" s="3"/>
      <c r="N84" s="20">
        <f t="shared" si="15"/>
        <v>0</v>
      </c>
      <c r="O84" s="12"/>
      <c r="P84" s="3">
        <v>4038213.32</v>
      </c>
      <c r="Q84" s="3"/>
      <c r="R84" s="20">
        <f t="shared" si="16"/>
        <v>0.53704558894242227</v>
      </c>
      <c r="S84" s="3"/>
      <c r="T84" s="3">
        <v>0</v>
      </c>
      <c r="U84" s="3"/>
      <c r="V84" s="20">
        <f t="shared" si="17"/>
        <v>0</v>
      </c>
      <c r="W84" s="3"/>
      <c r="X84" s="3">
        <f t="shared" si="18"/>
        <v>4038213.32</v>
      </c>
      <c r="Y84" s="3"/>
      <c r="Z84" s="20">
        <f t="shared" si="19"/>
        <v>0</v>
      </c>
    </row>
    <row r="85" spans="1:26" s="69" customFormat="1" ht="15" hidden="1" customHeight="1" outlineLevel="1" x14ac:dyDescent="0.25">
      <c r="A85" s="42"/>
      <c r="B85" s="12" t="str">
        <f>CONCATENATE("          ","5001"," - ","PURCHASES @ COST-NEW TEXT")</f>
        <v xml:space="preserve">          5001 - PURCHASES @ COST-NEW TEXT</v>
      </c>
      <c r="C85" s="12"/>
      <c r="D85" s="3"/>
      <c r="E85" s="3"/>
      <c r="F85" s="20">
        <f t="shared" si="12"/>
        <v>0</v>
      </c>
      <c r="G85" s="3"/>
      <c r="H85" s="3">
        <v>65020.01</v>
      </c>
      <c r="I85" s="3"/>
      <c r="J85" s="20">
        <f t="shared" si="13"/>
        <v>0.12830473945636919</v>
      </c>
      <c r="K85" s="3"/>
      <c r="L85" s="3">
        <f t="shared" si="14"/>
        <v>-65020.01</v>
      </c>
      <c r="M85" s="3"/>
      <c r="N85" s="20">
        <f t="shared" si="15"/>
        <v>-1</v>
      </c>
      <c r="O85" s="12"/>
      <c r="P85" s="3">
        <v>0</v>
      </c>
      <c r="Q85" s="3"/>
      <c r="R85" s="20">
        <f t="shared" si="16"/>
        <v>0</v>
      </c>
      <c r="S85" s="3"/>
      <c r="T85" s="3">
        <v>1071566.48</v>
      </c>
      <c r="U85" s="3"/>
      <c r="V85" s="20">
        <f t="shared" si="17"/>
        <v>0.20569856758369887</v>
      </c>
      <c r="W85" s="3"/>
      <c r="X85" s="3">
        <f t="shared" si="18"/>
        <v>-1071566.48</v>
      </c>
      <c r="Y85" s="3"/>
      <c r="Z85" s="20">
        <f t="shared" si="19"/>
        <v>-1</v>
      </c>
    </row>
    <row r="86" spans="1:26" s="69" customFormat="1" ht="15" hidden="1" customHeight="1" outlineLevel="1" x14ac:dyDescent="0.25">
      <c r="A86" s="42"/>
      <c r="B86" s="12" t="str">
        <f>CONCATENATE("          ","5002"," - ","PURCHASES @ COST-USED TEXT")</f>
        <v xml:space="preserve">          5002 - PURCHASES @ COST-USED TEXT</v>
      </c>
      <c r="C86" s="12"/>
      <c r="D86" s="3"/>
      <c r="E86" s="3"/>
      <c r="F86" s="20">
        <f t="shared" si="12"/>
        <v>0</v>
      </c>
      <c r="G86" s="3"/>
      <c r="H86" s="3">
        <v>4952.26</v>
      </c>
      <c r="I86" s="3"/>
      <c r="J86" s="20">
        <f t="shared" si="13"/>
        <v>9.772352065467213E-3</v>
      </c>
      <c r="K86" s="3"/>
      <c r="L86" s="3">
        <f t="shared" si="14"/>
        <v>-4952.26</v>
      </c>
      <c r="M86" s="3"/>
      <c r="N86" s="20">
        <f t="shared" si="15"/>
        <v>-1</v>
      </c>
      <c r="O86" s="12"/>
      <c r="P86" s="3">
        <v>0</v>
      </c>
      <c r="Q86" s="3"/>
      <c r="R86" s="20">
        <f t="shared" si="16"/>
        <v>0</v>
      </c>
      <c r="S86" s="3"/>
      <c r="T86" s="3">
        <v>279913.28000000003</v>
      </c>
      <c r="U86" s="3"/>
      <c r="V86" s="20">
        <f t="shared" si="17"/>
        <v>5.3732327222156887E-2</v>
      </c>
      <c r="W86" s="3"/>
      <c r="X86" s="3">
        <f t="shared" si="18"/>
        <v>-279913.28000000003</v>
      </c>
      <c r="Y86" s="3"/>
      <c r="Z86" s="20">
        <f t="shared" si="19"/>
        <v>-1</v>
      </c>
    </row>
    <row r="87" spans="1:26" s="69" customFormat="1" ht="15" hidden="1" customHeight="1" outlineLevel="1" x14ac:dyDescent="0.25">
      <c r="A87" s="42"/>
      <c r="B87" s="12" t="str">
        <f>CONCATENATE("          ","5003"," - ","PURCHASES @ COST-RENTAL TEXT")</f>
        <v xml:space="preserve">          5003 - PURCHASES @ COST-RENTAL TEXT</v>
      </c>
      <c r="C87" s="12"/>
      <c r="D87" s="3"/>
      <c r="E87" s="3"/>
      <c r="F87" s="20">
        <f t="shared" si="12"/>
        <v>0</v>
      </c>
      <c r="G87" s="3"/>
      <c r="H87" s="3">
        <v>7179.56</v>
      </c>
      <c r="I87" s="3"/>
      <c r="J87" s="20">
        <f t="shared" si="13"/>
        <v>1.4167508974719783E-2</v>
      </c>
      <c r="K87" s="3"/>
      <c r="L87" s="3">
        <f t="shared" si="14"/>
        <v>-7179.56</v>
      </c>
      <c r="M87" s="3"/>
      <c r="N87" s="20">
        <f t="shared" si="15"/>
        <v>-1</v>
      </c>
      <c r="O87" s="12"/>
      <c r="P87" s="3"/>
      <c r="Q87" s="3"/>
      <c r="R87" s="20">
        <f t="shared" si="16"/>
        <v>0</v>
      </c>
      <c r="S87" s="3"/>
      <c r="T87" s="3">
        <v>7212.08</v>
      </c>
      <c r="U87" s="3"/>
      <c r="V87" s="20">
        <f t="shared" si="17"/>
        <v>1.3844353598099139E-3</v>
      </c>
      <c r="W87" s="3"/>
      <c r="X87" s="3">
        <f t="shared" si="18"/>
        <v>-7212.08</v>
      </c>
      <c r="Y87" s="3"/>
      <c r="Z87" s="20">
        <f t="shared" si="19"/>
        <v>-1</v>
      </c>
    </row>
    <row r="88" spans="1:26" s="69" customFormat="1" ht="15" hidden="1" customHeight="1" outlineLevel="1" x14ac:dyDescent="0.25">
      <c r="A88" s="42"/>
      <c r="B88" s="12" t="str">
        <f>CONCATENATE("          ","5004"," - ","PURCHASES @ COST-DIGITAL TEXT")</f>
        <v xml:space="preserve">          5004 - PURCHASES @ COST-DIGITAL TEXT</v>
      </c>
      <c r="C88" s="12"/>
      <c r="D88" s="3"/>
      <c r="E88" s="3"/>
      <c r="F88" s="20">
        <f t="shared" si="12"/>
        <v>0</v>
      </c>
      <c r="G88" s="3"/>
      <c r="H88" s="3">
        <v>-7843.95</v>
      </c>
      <c r="I88" s="3"/>
      <c r="J88" s="20">
        <f t="shared" si="13"/>
        <v>-1.5478557463445284E-2</v>
      </c>
      <c r="K88" s="3"/>
      <c r="L88" s="3">
        <f t="shared" si="14"/>
        <v>7843.95</v>
      </c>
      <c r="M88" s="3"/>
      <c r="N88" s="20">
        <f t="shared" si="15"/>
        <v>-1</v>
      </c>
      <c r="O88" s="12"/>
      <c r="P88" s="3">
        <v>0</v>
      </c>
      <c r="Q88" s="3"/>
      <c r="R88" s="20">
        <f t="shared" si="16"/>
        <v>0</v>
      </c>
      <c r="S88" s="3"/>
      <c r="T88" s="3">
        <v>199606.43</v>
      </c>
      <c r="U88" s="3"/>
      <c r="V88" s="20">
        <f t="shared" si="17"/>
        <v>3.8316574377630641E-2</v>
      </c>
      <c r="W88" s="3"/>
      <c r="X88" s="3">
        <f t="shared" si="18"/>
        <v>-199606.43</v>
      </c>
      <c r="Y88" s="3"/>
      <c r="Z88" s="20">
        <f t="shared" si="19"/>
        <v>-1</v>
      </c>
    </row>
    <row r="89" spans="1:26" s="69" customFormat="1" ht="15" hidden="1" customHeight="1" outlineLevel="1" x14ac:dyDescent="0.25">
      <c r="A89" s="42"/>
      <c r="B89" s="12" t="str">
        <f>CONCATENATE("          ","5011"," - ","PURCHASES @ COST-NO VALUE TEXT")</f>
        <v xml:space="preserve">          5011 - PURCHASES @ COST-NO VALUE TEXT</v>
      </c>
      <c r="C89" s="12"/>
      <c r="D89" s="3"/>
      <c r="E89" s="3"/>
      <c r="F89" s="20">
        <f t="shared" si="12"/>
        <v>0</v>
      </c>
      <c r="G89" s="3"/>
      <c r="H89" s="3"/>
      <c r="I89" s="3"/>
      <c r="J89" s="20">
        <f t="shared" si="13"/>
        <v>0</v>
      </c>
      <c r="K89" s="3"/>
      <c r="L89" s="3">
        <f t="shared" si="14"/>
        <v>0</v>
      </c>
      <c r="M89" s="3"/>
      <c r="N89" s="20">
        <f t="shared" si="15"/>
        <v>0</v>
      </c>
      <c r="O89" s="12"/>
      <c r="P89" s="3"/>
      <c r="Q89" s="3"/>
      <c r="R89" s="20">
        <f t="shared" si="16"/>
        <v>0</v>
      </c>
      <c r="S89" s="3"/>
      <c r="T89" s="3">
        <v>67.17</v>
      </c>
      <c r="U89" s="3"/>
      <c r="V89" s="20">
        <f t="shared" si="17"/>
        <v>1.2893994952694913E-5</v>
      </c>
      <c r="W89" s="3"/>
      <c r="X89" s="3">
        <f t="shared" si="18"/>
        <v>-67.17</v>
      </c>
      <c r="Y89" s="3"/>
      <c r="Z89" s="20">
        <f t="shared" si="19"/>
        <v>-1</v>
      </c>
    </row>
    <row r="90" spans="1:26" s="69" customFormat="1" ht="15" hidden="1" customHeight="1" outlineLevel="1" x14ac:dyDescent="0.25">
      <c r="A90" s="42"/>
      <c r="B90" s="12" t="str">
        <f>CONCATENATE("          ","5013"," - ","PURCHASES @ COST-TRADE BOOKS")</f>
        <v xml:space="preserve">          5013 - PURCHASES @ COST-TRADE BOOKS</v>
      </c>
      <c r="C90" s="12"/>
      <c r="D90" s="3"/>
      <c r="E90" s="3"/>
      <c r="F90" s="20">
        <f t="shared" si="12"/>
        <v>0</v>
      </c>
      <c r="G90" s="3"/>
      <c r="H90" s="3"/>
      <c r="I90" s="3"/>
      <c r="J90" s="20">
        <f t="shared" si="13"/>
        <v>0</v>
      </c>
      <c r="K90" s="3"/>
      <c r="L90" s="3">
        <f t="shared" si="14"/>
        <v>0</v>
      </c>
      <c r="M90" s="3"/>
      <c r="N90" s="20">
        <f t="shared" si="15"/>
        <v>0</v>
      </c>
      <c r="O90" s="12"/>
      <c r="P90" s="3"/>
      <c r="Q90" s="3"/>
      <c r="R90" s="20">
        <f t="shared" si="16"/>
        <v>0</v>
      </c>
      <c r="S90" s="3"/>
      <c r="T90" s="3">
        <v>9670.02</v>
      </c>
      <c r="U90" s="3"/>
      <c r="V90" s="20">
        <f t="shared" si="17"/>
        <v>1.8562630500589378E-3</v>
      </c>
      <c r="W90" s="3"/>
      <c r="X90" s="3">
        <f t="shared" si="18"/>
        <v>-9670.02</v>
      </c>
      <c r="Y90" s="3"/>
      <c r="Z90" s="20">
        <f t="shared" si="19"/>
        <v>-1</v>
      </c>
    </row>
    <row r="91" spans="1:26" s="69" customFormat="1" ht="15" hidden="1" customHeight="1" outlineLevel="1" x14ac:dyDescent="0.25">
      <c r="A91" s="42"/>
      <c r="B91" s="12" t="str">
        <f>CONCATENATE("          ","5014"," - ","PURCHASES @ COST-REMAINDERS")</f>
        <v xml:space="preserve">          5014 - PURCHASES @ COST-REMAINDERS</v>
      </c>
      <c r="C91" s="12"/>
      <c r="D91" s="3"/>
      <c r="E91" s="3"/>
      <c r="F91" s="20">
        <f t="shared" si="12"/>
        <v>0</v>
      </c>
      <c r="G91" s="3"/>
      <c r="H91" s="3"/>
      <c r="I91" s="3"/>
      <c r="J91" s="20">
        <f t="shared" si="13"/>
        <v>0</v>
      </c>
      <c r="K91" s="3"/>
      <c r="L91" s="3">
        <f t="shared" si="14"/>
        <v>0</v>
      </c>
      <c r="M91" s="3"/>
      <c r="N91" s="20">
        <f t="shared" si="15"/>
        <v>0</v>
      </c>
      <c r="O91" s="12"/>
      <c r="P91" s="3"/>
      <c r="Q91" s="3"/>
      <c r="R91" s="20">
        <f t="shared" si="16"/>
        <v>0</v>
      </c>
      <c r="S91" s="3"/>
      <c r="T91" s="3">
        <v>111.57</v>
      </c>
      <c r="U91" s="3"/>
      <c r="V91" s="20">
        <f t="shared" si="17"/>
        <v>2.1417046551617855E-5</v>
      </c>
      <c r="W91" s="3"/>
      <c r="X91" s="3">
        <f t="shared" si="18"/>
        <v>-111.57</v>
      </c>
      <c r="Y91" s="3"/>
      <c r="Z91" s="20">
        <f t="shared" si="19"/>
        <v>-1</v>
      </c>
    </row>
    <row r="92" spans="1:26" s="69" customFormat="1" ht="15" hidden="1" customHeight="1" outlineLevel="1" x14ac:dyDescent="0.25">
      <c r="A92" s="42"/>
      <c r="B92" s="12" t="str">
        <f>CONCATENATE("          ","5018"," - ","PURCHASES @ COST-STUDY GUIDES")</f>
        <v xml:space="preserve">          5018 - PURCHASES @ COST-STUDY GUIDES</v>
      </c>
      <c r="C92" s="12"/>
      <c r="D92" s="3"/>
      <c r="E92" s="3"/>
      <c r="F92" s="20">
        <f t="shared" si="12"/>
        <v>0</v>
      </c>
      <c r="G92" s="3"/>
      <c r="H92" s="3"/>
      <c r="I92" s="3"/>
      <c r="J92" s="20">
        <f t="shared" si="13"/>
        <v>0</v>
      </c>
      <c r="K92" s="3"/>
      <c r="L92" s="3">
        <f t="shared" si="14"/>
        <v>0</v>
      </c>
      <c r="M92" s="3"/>
      <c r="N92" s="20">
        <f t="shared" si="15"/>
        <v>0</v>
      </c>
      <c r="O92" s="12"/>
      <c r="P92" s="3"/>
      <c r="Q92" s="3"/>
      <c r="R92" s="20">
        <f t="shared" si="16"/>
        <v>0</v>
      </c>
      <c r="S92" s="3"/>
      <c r="T92" s="3">
        <v>967.21</v>
      </c>
      <c r="U92" s="3"/>
      <c r="V92" s="20">
        <f t="shared" si="17"/>
        <v>1.8566623281518604E-4</v>
      </c>
      <c r="W92" s="3"/>
      <c r="X92" s="3">
        <f t="shared" si="18"/>
        <v>-967.21</v>
      </c>
      <c r="Y92" s="3"/>
      <c r="Z92" s="20">
        <f t="shared" si="19"/>
        <v>-1</v>
      </c>
    </row>
    <row r="93" spans="1:26" s="69" customFormat="1" ht="15" hidden="1" customHeight="1" outlineLevel="1" x14ac:dyDescent="0.25">
      <c r="A93" s="42"/>
      <c r="B93" s="12" t="str">
        <f>CONCATENATE("          ","5025"," - ","PURCHASES @ COST-TEST FORMS")</f>
        <v xml:space="preserve">          5025 - PURCHASES @ COST-TEST FORMS</v>
      </c>
      <c r="C93" s="12"/>
      <c r="D93" s="3"/>
      <c r="E93" s="3"/>
      <c r="F93" s="20">
        <f t="shared" si="12"/>
        <v>0</v>
      </c>
      <c r="G93" s="3"/>
      <c r="H93" s="3"/>
      <c r="I93" s="3"/>
      <c r="J93" s="20">
        <f t="shared" si="13"/>
        <v>0</v>
      </c>
      <c r="K93" s="3"/>
      <c r="L93" s="3">
        <f t="shared" si="14"/>
        <v>0</v>
      </c>
      <c r="M93" s="3"/>
      <c r="N93" s="20">
        <f t="shared" si="15"/>
        <v>0</v>
      </c>
      <c r="O93" s="12"/>
      <c r="P93" s="3"/>
      <c r="Q93" s="3"/>
      <c r="R93" s="20">
        <f t="shared" si="16"/>
        <v>0</v>
      </c>
      <c r="S93" s="3"/>
      <c r="T93" s="3">
        <v>599.29</v>
      </c>
      <c r="U93" s="3"/>
      <c r="V93" s="20">
        <f t="shared" si="17"/>
        <v>1.1504008091708401E-4</v>
      </c>
      <c r="W93" s="3"/>
      <c r="X93" s="3">
        <f t="shared" si="18"/>
        <v>-599.29</v>
      </c>
      <c r="Y93" s="3"/>
      <c r="Z93" s="20">
        <f t="shared" si="19"/>
        <v>-1</v>
      </c>
    </row>
    <row r="94" spans="1:26" s="69" customFormat="1" ht="15" hidden="1" customHeight="1" outlineLevel="1" x14ac:dyDescent="0.25">
      <c r="A94" s="42"/>
      <c r="B94" s="12" t="str">
        <f>CONCATENATE("          ","5026"," - ","PURCHASES @ COST-WRITING INSTR")</f>
        <v xml:space="preserve">          5026 - PURCHASES @ COST-WRITING INSTR</v>
      </c>
      <c r="C94" s="12"/>
      <c r="D94" s="3"/>
      <c r="E94" s="3"/>
      <c r="F94" s="20">
        <f t="shared" si="12"/>
        <v>0</v>
      </c>
      <c r="G94" s="3"/>
      <c r="H94" s="3">
        <v>-2.0499999999999998</v>
      </c>
      <c r="I94" s="3"/>
      <c r="J94" s="20">
        <f t="shared" si="13"/>
        <v>-4.0452887639598459E-6</v>
      </c>
      <c r="K94" s="3"/>
      <c r="L94" s="3">
        <f t="shared" si="14"/>
        <v>2.0499999999999998</v>
      </c>
      <c r="M94" s="3"/>
      <c r="N94" s="20">
        <f t="shared" si="15"/>
        <v>-1</v>
      </c>
      <c r="O94" s="12"/>
      <c r="P94" s="3">
        <v>0</v>
      </c>
      <c r="Q94" s="3"/>
      <c r="R94" s="20">
        <f t="shared" si="16"/>
        <v>0</v>
      </c>
      <c r="S94" s="3"/>
      <c r="T94" s="3">
        <v>582.5</v>
      </c>
      <c r="U94" s="3"/>
      <c r="V94" s="20">
        <f t="shared" si="17"/>
        <v>1.1181706208046428E-4</v>
      </c>
      <c r="W94" s="3"/>
      <c r="X94" s="3">
        <f t="shared" si="18"/>
        <v>-582.5</v>
      </c>
      <c r="Y94" s="3"/>
      <c r="Z94" s="20">
        <f t="shared" si="19"/>
        <v>-1</v>
      </c>
    </row>
    <row r="95" spans="1:26" s="69" customFormat="1" ht="15" hidden="1" customHeight="1" outlineLevel="1" x14ac:dyDescent="0.25">
      <c r="A95" s="42"/>
      <c r="B95" s="12" t="str">
        <f>CONCATENATE("          ","5027"," - ","PURCHASES @ COST-SCHOOL SUPPLI")</f>
        <v xml:space="preserve">          5027 - PURCHASES @ COST-SCHOOL SUPPLI</v>
      </c>
      <c r="C95" s="12"/>
      <c r="D95" s="3"/>
      <c r="E95" s="3"/>
      <c r="F95" s="20">
        <f t="shared" si="12"/>
        <v>0</v>
      </c>
      <c r="G95" s="3"/>
      <c r="H95" s="3">
        <v>0.39</v>
      </c>
      <c r="I95" s="3"/>
      <c r="J95" s="20">
        <f t="shared" si="13"/>
        <v>7.6959152094845853E-7</v>
      </c>
      <c r="K95" s="3"/>
      <c r="L95" s="3">
        <f t="shared" si="14"/>
        <v>-0.39</v>
      </c>
      <c r="M95" s="3"/>
      <c r="N95" s="20">
        <f t="shared" si="15"/>
        <v>-1</v>
      </c>
      <c r="O95" s="12"/>
      <c r="P95" s="3">
        <v>0</v>
      </c>
      <c r="Q95" s="3"/>
      <c r="R95" s="20">
        <f t="shared" si="16"/>
        <v>0</v>
      </c>
      <c r="S95" s="3"/>
      <c r="T95" s="3">
        <v>23734.99</v>
      </c>
      <c r="U95" s="3"/>
      <c r="V95" s="20">
        <f t="shared" si="17"/>
        <v>4.5561834340072088E-3</v>
      </c>
      <c r="W95" s="3"/>
      <c r="X95" s="3">
        <f t="shared" si="18"/>
        <v>-23734.99</v>
      </c>
      <c r="Y95" s="3"/>
      <c r="Z95" s="20">
        <f t="shared" si="19"/>
        <v>-1</v>
      </c>
    </row>
    <row r="96" spans="1:26" s="69" customFormat="1" ht="15" hidden="1" customHeight="1" outlineLevel="1" x14ac:dyDescent="0.25">
      <c r="A96" s="42"/>
      <c r="B96" s="12" t="str">
        <f>CONCATENATE("          ","5028"," - ","PURCHASES @ COST-ART/TECH")</f>
        <v xml:space="preserve">          5028 - PURCHASES @ COST-ART/TECH</v>
      </c>
      <c r="C96" s="12"/>
      <c r="D96" s="3"/>
      <c r="E96" s="3"/>
      <c r="F96" s="20">
        <f t="shared" si="12"/>
        <v>0</v>
      </c>
      <c r="G96" s="3"/>
      <c r="H96" s="3">
        <v>674.12</v>
      </c>
      <c r="I96" s="3"/>
      <c r="J96" s="20">
        <f t="shared" si="13"/>
        <v>1.3302488105173713E-3</v>
      </c>
      <c r="K96" s="3"/>
      <c r="L96" s="3">
        <f t="shared" si="14"/>
        <v>-674.12</v>
      </c>
      <c r="M96" s="3"/>
      <c r="N96" s="20">
        <f t="shared" si="15"/>
        <v>-1</v>
      </c>
      <c r="O96" s="12"/>
      <c r="P96" s="3">
        <v>0</v>
      </c>
      <c r="Q96" s="3"/>
      <c r="R96" s="20">
        <f t="shared" si="16"/>
        <v>0</v>
      </c>
      <c r="S96" s="3"/>
      <c r="T96" s="3">
        <v>47680.74</v>
      </c>
      <c r="U96" s="3"/>
      <c r="V96" s="20">
        <f t="shared" si="17"/>
        <v>9.1528244886222767E-3</v>
      </c>
      <c r="W96" s="3"/>
      <c r="X96" s="3">
        <f t="shared" si="18"/>
        <v>-47680.74</v>
      </c>
      <c r="Y96" s="3"/>
      <c r="Z96" s="20">
        <f t="shared" si="19"/>
        <v>-1</v>
      </c>
    </row>
    <row r="97" spans="1:26" s="69" customFormat="1" ht="15" hidden="1" customHeight="1" outlineLevel="1" x14ac:dyDescent="0.25">
      <c r="A97" s="42"/>
      <c r="B97" s="12" t="str">
        <f>CONCATENATE("          ","5031"," - ","PURCHASES @ COST-FOOD")</f>
        <v xml:space="preserve">          5031 - PURCHASES @ COST-FOOD</v>
      </c>
      <c r="C97" s="12"/>
      <c r="D97" s="3"/>
      <c r="E97" s="3"/>
      <c r="F97" s="20">
        <f t="shared" si="12"/>
        <v>0</v>
      </c>
      <c r="G97" s="3"/>
      <c r="H97" s="3">
        <v>280.37</v>
      </c>
      <c r="I97" s="3"/>
      <c r="J97" s="20">
        <f t="shared" si="13"/>
        <v>5.532573710982547E-4</v>
      </c>
      <c r="K97" s="3"/>
      <c r="L97" s="3">
        <f t="shared" si="14"/>
        <v>-280.37</v>
      </c>
      <c r="M97" s="3"/>
      <c r="N97" s="20">
        <f t="shared" si="15"/>
        <v>-1</v>
      </c>
      <c r="O97" s="12"/>
      <c r="P97" s="3">
        <v>0</v>
      </c>
      <c r="Q97" s="3"/>
      <c r="R97" s="20">
        <f t="shared" si="16"/>
        <v>0</v>
      </c>
      <c r="S97" s="3"/>
      <c r="T97" s="3">
        <v>8066.09</v>
      </c>
      <c r="U97" s="3"/>
      <c r="V97" s="20">
        <f t="shared" si="17"/>
        <v>1.5483716502602786E-3</v>
      </c>
      <c r="W97" s="3"/>
      <c r="X97" s="3">
        <f t="shared" si="18"/>
        <v>-8066.09</v>
      </c>
      <c r="Y97" s="3"/>
      <c r="Z97" s="20">
        <f t="shared" si="19"/>
        <v>-1</v>
      </c>
    </row>
    <row r="98" spans="1:26" s="69" customFormat="1" ht="15" hidden="1" customHeight="1" outlineLevel="1" x14ac:dyDescent="0.25">
      <c r="A98" s="42"/>
      <c r="B98" s="12" t="str">
        <f>CONCATENATE("          ","5040"," - ","PURCHASES @ COST-LOGO CLOTHING")</f>
        <v xml:space="preserve">          5040 - PURCHASES @ COST-LOGO CLOTHING</v>
      </c>
      <c r="C98" s="12"/>
      <c r="D98" s="3"/>
      <c r="E98" s="3"/>
      <c r="F98" s="20">
        <f t="shared" si="12"/>
        <v>0</v>
      </c>
      <c r="G98" s="3"/>
      <c r="H98" s="3">
        <v>48288.73</v>
      </c>
      <c r="I98" s="3"/>
      <c r="J98" s="20">
        <f t="shared" si="13"/>
        <v>9.5288710680434513E-2</v>
      </c>
      <c r="K98" s="3"/>
      <c r="L98" s="3">
        <f t="shared" si="14"/>
        <v>-48288.73</v>
      </c>
      <c r="M98" s="3"/>
      <c r="N98" s="20">
        <f t="shared" si="15"/>
        <v>-1</v>
      </c>
      <c r="O98" s="12"/>
      <c r="P98" s="3">
        <v>0</v>
      </c>
      <c r="Q98" s="3"/>
      <c r="R98" s="20">
        <f t="shared" si="16"/>
        <v>0</v>
      </c>
      <c r="S98" s="3"/>
      <c r="T98" s="3">
        <v>327378.98</v>
      </c>
      <c r="U98" s="3"/>
      <c r="V98" s="20">
        <f t="shared" si="17"/>
        <v>6.2843872498710859E-2</v>
      </c>
      <c r="W98" s="3"/>
      <c r="X98" s="3">
        <f t="shared" si="18"/>
        <v>-327378.98</v>
      </c>
      <c r="Y98" s="3"/>
      <c r="Z98" s="20">
        <f t="shared" si="19"/>
        <v>-1</v>
      </c>
    </row>
    <row r="99" spans="1:26" s="69" customFormat="1" ht="15" hidden="1" customHeight="1" outlineLevel="1" x14ac:dyDescent="0.25">
      <c r="A99" s="42"/>
      <c r="B99" s="12" t="str">
        <f>CONCATENATE("          ","5041"," - ","PURCHASES @ COST-LOGO GIFTS")</f>
        <v xml:space="preserve">          5041 - PURCHASES @ COST-LOGO GIFTS</v>
      </c>
      <c r="C99" s="12"/>
      <c r="D99" s="3"/>
      <c r="E99" s="3"/>
      <c r="F99" s="20">
        <f t="shared" si="12"/>
        <v>0</v>
      </c>
      <c r="G99" s="3"/>
      <c r="H99" s="3">
        <v>22136.9</v>
      </c>
      <c r="I99" s="3"/>
      <c r="J99" s="20">
        <f t="shared" si="13"/>
        <v>4.3683001384830597E-2</v>
      </c>
      <c r="K99" s="3"/>
      <c r="L99" s="3">
        <f t="shared" si="14"/>
        <v>-22136.9</v>
      </c>
      <c r="M99" s="3"/>
      <c r="N99" s="20">
        <f t="shared" si="15"/>
        <v>-1</v>
      </c>
      <c r="O99" s="12"/>
      <c r="P99" s="3">
        <v>0</v>
      </c>
      <c r="Q99" s="3"/>
      <c r="R99" s="20">
        <f t="shared" si="16"/>
        <v>0</v>
      </c>
      <c r="S99" s="3"/>
      <c r="T99" s="3">
        <v>106398.85</v>
      </c>
      <c r="U99" s="3"/>
      <c r="V99" s="20">
        <f t="shared" si="17"/>
        <v>2.0424389383244649E-2</v>
      </c>
      <c r="W99" s="3"/>
      <c r="X99" s="3">
        <f t="shared" si="18"/>
        <v>-106398.85</v>
      </c>
      <c r="Y99" s="3"/>
      <c r="Z99" s="20">
        <f t="shared" si="19"/>
        <v>-1</v>
      </c>
    </row>
    <row r="100" spans="1:26" s="69" customFormat="1" ht="15" hidden="1" customHeight="1" outlineLevel="1" x14ac:dyDescent="0.25">
      <c r="A100" s="42"/>
      <c r="B100" s="12" t="str">
        <f>CONCATENATE("          ","5042"," - ","PURCHASES @ COST-EVERYDAY GIFT")</f>
        <v xml:space="preserve">          5042 - PURCHASES @ COST-EVERYDAY GIFT</v>
      </c>
      <c r="C100" s="12"/>
      <c r="D100" s="3"/>
      <c r="E100" s="3"/>
      <c r="F100" s="20">
        <f t="shared" si="12"/>
        <v>0</v>
      </c>
      <c r="G100" s="3"/>
      <c r="H100" s="3">
        <v>-0.11</v>
      </c>
      <c r="I100" s="3"/>
      <c r="J100" s="20">
        <f t="shared" si="13"/>
        <v>-2.1706427513930882E-7</v>
      </c>
      <c r="K100" s="3"/>
      <c r="L100" s="3">
        <f t="shared" si="14"/>
        <v>0.11</v>
      </c>
      <c r="M100" s="3"/>
      <c r="N100" s="20">
        <f t="shared" si="15"/>
        <v>-1</v>
      </c>
      <c r="O100" s="12"/>
      <c r="P100" s="3">
        <v>0</v>
      </c>
      <c r="Q100" s="3"/>
      <c r="R100" s="20">
        <f t="shared" si="16"/>
        <v>0</v>
      </c>
      <c r="S100" s="3"/>
      <c r="T100" s="3">
        <v>18748.07</v>
      </c>
      <c r="U100" s="3"/>
      <c r="V100" s="20">
        <f t="shared" si="17"/>
        <v>3.5988911709508844E-3</v>
      </c>
      <c r="W100" s="3"/>
      <c r="X100" s="3">
        <f t="shared" si="18"/>
        <v>-18748.07</v>
      </c>
      <c r="Y100" s="3"/>
      <c r="Z100" s="20">
        <f t="shared" si="19"/>
        <v>-1</v>
      </c>
    </row>
    <row r="101" spans="1:26" s="69" customFormat="1" ht="15" hidden="1" customHeight="1" outlineLevel="1" x14ac:dyDescent="0.25">
      <c r="A101" s="42"/>
      <c r="B101" s="12" t="str">
        <f>CONCATENATE("          ","5043"," - ","PURCHASES @ COST-CARDS")</f>
        <v xml:space="preserve">          5043 - PURCHASES @ COST-CARDS</v>
      </c>
      <c r="C101" s="12"/>
      <c r="D101" s="3"/>
      <c r="E101" s="3"/>
      <c r="F101" s="20">
        <f t="shared" si="12"/>
        <v>0</v>
      </c>
      <c r="G101" s="3"/>
      <c r="H101" s="3">
        <v>178</v>
      </c>
      <c r="I101" s="3"/>
      <c r="J101" s="20">
        <f t="shared" si="13"/>
        <v>3.5124946340724518E-4</v>
      </c>
      <c r="K101" s="3"/>
      <c r="L101" s="3">
        <f t="shared" si="14"/>
        <v>-178</v>
      </c>
      <c r="M101" s="3"/>
      <c r="N101" s="20">
        <f t="shared" si="15"/>
        <v>-1</v>
      </c>
      <c r="O101" s="12"/>
      <c r="P101" s="3">
        <v>0</v>
      </c>
      <c r="Q101" s="3"/>
      <c r="R101" s="20">
        <f t="shared" si="16"/>
        <v>0</v>
      </c>
      <c r="S101" s="3"/>
      <c r="T101" s="3">
        <v>55583.33</v>
      </c>
      <c r="U101" s="3"/>
      <c r="V101" s="20">
        <f t="shared" si="17"/>
        <v>1.0669810577251387E-2</v>
      </c>
      <c r="W101" s="3"/>
      <c r="X101" s="3">
        <f t="shared" si="18"/>
        <v>-55583.33</v>
      </c>
      <c r="Y101" s="3"/>
      <c r="Z101" s="20">
        <f t="shared" si="19"/>
        <v>-1</v>
      </c>
    </row>
    <row r="102" spans="1:26" s="69" customFormat="1" ht="15" hidden="1" customHeight="1" outlineLevel="1" x14ac:dyDescent="0.25">
      <c r="A102" s="42"/>
      <c r="B102" s="12" t="str">
        <f>CONCATENATE("          ","5044"," - ","PURCHASES @ COST-ACCESSORIES")</f>
        <v xml:space="preserve">          5044 - PURCHASES @ COST-ACCESSORIES</v>
      </c>
      <c r="C102" s="12"/>
      <c r="D102" s="3"/>
      <c r="E102" s="3"/>
      <c r="F102" s="20">
        <f t="shared" si="12"/>
        <v>0</v>
      </c>
      <c r="G102" s="3"/>
      <c r="H102" s="3"/>
      <c r="I102" s="3"/>
      <c r="J102" s="20">
        <f t="shared" si="13"/>
        <v>0</v>
      </c>
      <c r="K102" s="3"/>
      <c r="L102" s="3">
        <f t="shared" si="14"/>
        <v>0</v>
      </c>
      <c r="M102" s="3"/>
      <c r="N102" s="20">
        <f t="shared" si="15"/>
        <v>0</v>
      </c>
      <c r="O102" s="12"/>
      <c r="P102" s="3">
        <v>0</v>
      </c>
      <c r="Q102" s="3"/>
      <c r="R102" s="20">
        <f t="shared" si="16"/>
        <v>0</v>
      </c>
      <c r="S102" s="3"/>
      <c r="T102" s="3">
        <v>2555.71</v>
      </c>
      <c r="U102" s="3"/>
      <c r="V102" s="20">
        <f t="shared" si="17"/>
        <v>4.9059568022259811E-4</v>
      </c>
      <c r="W102" s="3"/>
      <c r="X102" s="3">
        <f t="shared" si="18"/>
        <v>-2555.71</v>
      </c>
      <c r="Y102" s="3"/>
      <c r="Z102" s="20">
        <f t="shared" si="19"/>
        <v>-1</v>
      </c>
    </row>
    <row r="103" spans="1:26" s="69" customFormat="1" ht="15" hidden="1" customHeight="1" outlineLevel="1" x14ac:dyDescent="0.25">
      <c r="A103" s="42"/>
      <c r="B103" s="12" t="str">
        <f>CONCATENATE("          ","5045"," - ","PURCHASES @ COST-SPECIAL ORDER")</f>
        <v xml:space="preserve">          5045 - PURCHASES @ COST-SPECIAL ORDER</v>
      </c>
      <c r="C103" s="12"/>
      <c r="D103" s="3"/>
      <c r="E103" s="3"/>
      <c r="F103" s="20">
        <f t="shared" si="12"/>
        <v>0</v>
      </c>
      <c r="G103" s="3"/>
      <c r="H103" s="3">
        <v>24141.17</v>
      </c>
      <c r="I103" s="3"/>
      <c r="J103" s="20">
        <f t="shared" si="13"/>
        <v>4.7638050609680245E-2</v>
      </c>
      <c r="K103" s="3"/>
      <c r="L103" s="3">
        <f t="shared" si="14"/>
        <v>-24141.17</v>
      </c>
      <c r="M103" s="3"/>
      <c r="N103" s="20">
        <f t="shared" si="15"/>
        <v>-1</v>
      </c>
      <c r="O103" s="12"/>
      <c r="P103" s="3">
        <v>0</v>
      </c>
      <c r="Q103" s="3"/>
      <c r="R103" s="20">
        <f t="shared" si="16"/>
        <v>0</v>
      </c>
      <c r="S103" s="3"/>
      <c r="T103" s="3">
        <v>139139.24</v>
      </c>
      <c r="U103" s="3"/>
      <c r="V103" s="20">
        <f t="shared" si="17"/>
        <v>2.6709254998984754E-2</v>
      </c>
      <c r="W103" s="3"/>
      <c r="X103" s="3">
        <f t="shared" si="18"/>
        <v>-139139.24</v>
      </c>
      <c r="Y103" s="3"/>
      <c r="Z103" s="20">
        <f t="shared" si="19"/>
        <v>-1</v>
      </c>
    </row>
    <row r="104" spans="1:26" s="69" customFormat="1" ht="15" hidden="1" customHeight="1" outlineLevel="1" x14ac:dyDescent="0.25">
      <c r="A104" s="42"/>
      <c r="B104" s="12" t="str">
        <f>CONCATENATE("          ","5086"," - ","PURCHASES @ COST-COMPUTER SUPP")</f>
        <v xml:space="preserve">          5086 - PURCHASES @ COST-COMPUTER SUPP</v>
      </c>
      <c r="C104" s="12"/>
      <c r="D104" s="3"/>
      <c r="E104" s="3"/>
      <c r="F104" s="20">
        <f t="shared" si="12"/>
        <v>0</v>
      </c>
      <c r="G104" s="3"/>
      <c r="H104" s="3"/>
      <c r="I104" s="3"/>
      <c r="J104" s="20">
        <f t="shared" si="13"/>
        <v>0</v>
      </c>
      <c r="K104" s="3"/>
      <c r="L104" s="3">
        <f t="shared" si="14"/>
        <v>0</v>
      </c>
      <c r="M104" s="3"/>
      <c r="N104" s="20">
        <f t="shared" si="15"/>
        <v>0</v>
      </c>
      <c r="O104" s="12"/>
      <c r="P104" s="3"/>
      <c r="Q104" s="3"/>
      <c r="R104" s="20">
        <f t="shared" si="16"/>
        <v>0</v>
      </c>
      <c r="S104" s="3"/>
      <c r="T104" s="3">
        <v>13.21</v>
      </c>
      <c r="U104" s="3"/>
      <c r="V104" s="20">
        <f t="shared" si="17"/>
        <v>2.5357998113011729E-6</v>
      </c>
      <c r="W104" s="3"/>
      <c r="X104" s="3">
        <f t="shared" si="18"/>
        <v>-13.21</v>
      </c>
      <c r="Y104" s="3"/>
      <c r="Z104" s="20">
        <f t="shared" si="19"/>
        <v>-1</v>
      </c>
    </row>
    <row r="105" spans="1:26" s="69" customFormat="1" ht="15" hidden="1" customHeight="1" outlineLevel="1" x14ac:dyDescent="0.25">
      <c r="A105" s="42"/>
      <c r="B105" s="12" t="str">
        <f>CONCATENATE("          ","5092"," - ","PURCHASES @ COST-GRAD MERCH")</f>
        <v xml:space="preserve">          5092 - PURCHASES @ COST-GRAD MERCH</v>
      </c>
      <c r="C105" s="12"/>
      <c r="D105" s="3"/>
      <c r="E105" s="3"/>
      <c r="F105" s="20">
        <f t="shared" si="12"/>
        <v>0</v>
      </c>
      <c r="G105" s="3"/>
      <c r="H105" s="3"/>
      <c r="I105" s="3"/>
      <c r="J105" s="20">
        <f t="shared" si="13"/>
        <v>0</v>
      </c>
      <c r="K105" s="3"/>
      <c r="L105" s="3">
        <f t="shared" si="14"/>
        <v>0</v>
      </c>
      <c r="M105" s="3"/>
      <c r="N105" s="20">
        <f t="shared" si="15"/>
        <v>0</v>
      </c>
      <c r="O105" s="12"/>
      <c r="P105" s="3"/>
      <c r="Q105" s="3"/>
      <c r="R105" s="20">
        <f t="shared" si="16"/>
        <v>0</v>
      </c>
      <c r="S105" s="3"/>
      <c r="T105" s="3">
        <v>0</v>
      </c>
      <c r="U105" s="3"/>
      <c r="V105" s="20">
        <f t="shared" si="17"/>
        <v>0</v>
      </c>
      <c r="W105" s="3"/>
      <c r="X105" s="3">
        <f t="shared" si="18"/>
        <v>0</v>
      </c>
      <c r="Y105" s="3"/>
      <c r="Z105" s="20">
        <f t="shared" si="19"/>
        <v>0</v>
      </c>
    </row>
    <row r="106" spans="1:26" s="69" customFormat="1" ht="15" hidden="1" customHeight="1" outlineLevel="1" x14ac:dyDescent="0.25">
      <c r="A106" s="42"/>
      <c r="B106" s="12" t="str">
        <f>CONCATENATE("          ","5200"," - ","PURCHASES OFFSET")</f>
        <v xml:space="preserve">          5200 - PURCHASES OFFSET</v>
      </c>
      <c r="C106" s="12"/>
      <c r="D106" s="3">
        <v>-363471.96</v>
      </c>
      <c r="E106" s="3"/>
      <c r="F106" s="20">
        <f t="shared" si="12"/>
        <v>-0.42380076119788979</v>
      </c>
      <c r="G106" s="3"/>
      <c r="H106" s="3">
        <v>-162582.03</v>
      </c>
      <c r="I106" s="3"/>
      <c r="J106" s="20">
        <f t="shared" si="13"/>
        <v>-0.32082500447843054</v>
      </c>
      <c r="K106" s="3"/>
      <c r="L106" s="3">
        <f t="shared" si="14"/>
        <v>-200889.93000000002</v>
      </c>
      <c r="M106" s="3"/>
      <c r="N106" s="20">
        <f t="shared" si="15"/>
        <v>1.2356219811008635</v>
      </c>
      <c r="O106" s="12"/>
      <c r="P106" s="3">
        <v>-3931496.4</v>
      </c>
      <c r="Q106" s="3"/>
      <c r="R106" s="20">
        <f t="shared" si="16"/>
        <v>-0.52285321062806378</v>
      </c>
      <c r="S106" s="3"/>
      <c r="T106" s="3">
        <v>-1847967.16</v>
      </c>
      <c r="U106" s="3"/>
      <c r="V106" s="20">
        <f t="shared" si="17"/>
        <v>-0.35473692472511464</v>
      </c>
      <c r="W106" s="3"/>
      <c r="X106" s="3">
        <f t="shared" si="18"/>
        <v>-2083529.24</v>
      </c>
      <c r="Y106" s="3"/>
      <c r="Z106" s="20">
        <f t="shared" si="19"/>
        <v>1.1274709232387008</v>
      </c>
    </row>
    <row r="107" spans="1:26" s="69" customFormat="1" ht="15" hidden="1" customHeight="1" outlineLevel="1" x14ac:dyDescent="0.25">
      <c r="A107" s="42"/>
      <c r="B107" s="12" t="str">
        <f>CONCATENATE("          ","5300"," - ","COG$ OFFSET")</f>
        <v xml:space="preserve">          5300 - COG$ OFFSET</v>
      </c>
      <c r="C107" s="12"/>
      <c r="D107" s="3">
        <v>371724.62</v>
      </c>
      <c r="E107" s="3"/>
      <c r="F107" s="20">
        <f t="shared" si="12"/>
        <v>0.43342319146708408</v>
      </c>
      <c r="G107" s="3"/>
      <c r="H107" s="3">
        <v>241236</v>
      </c>
      <c r="I107" s="3"/>
      <c r="J107" s="20">
        <f t="shared" si="13"/>
        <v>0.47603379525005729</v>
      </c>
      <c r="K107" s="3"/>
      <c r="L107" s="3">
        <f t="shared" si="14"/>
        <v>130488.62</v>
      </c>
      <c r="M107" s="3"/>
      <c r="N107" s="20">
        <f t="shared" si="15"/>
        <v>0.54091686149662566</v>
      </c>
      <c r="O107" s="12"/>
      <c r="P107" s="3">
        <v>3771746.64</v>
      </c>
      <c r="Q107" s="3"/>
      <c r="R107" s="20">
        <f t="shared" si="16"/>
        <v>0.50160794765057193</v>
      </c>
      <c r="S107" s="3"/>
      <c r="T107" s="3">
        <v>2641632</v>
      </c>
      <c r="U107" s="3"/>
      <c r="V107" s="20">
        <f t="shared" si="17"/>
        <v>0.50708932075148672</v>
      </c>
      <c r="W107" s="3"/>
      <c r="X107" s="3">
        <f t="shared" si="18"/>
        <v>1130114.6400000001</v>
      </c>
      <c r="Y107" s="3"/>
      <c r="Z107" s="20">
        <f t="shared" si="19"/>
        <v>0.42780926336446568</v>
      </c>
    </row>
    <row r="108" spans="1:26" s="69" customFormat="1" ht="15" hidden="1" customHeight="1" outlineLevel="1" x14ac:dyDescent="0.25">
      <c r="A108" s="42"/>
      <c r="B108" s="12" t="str">
        <f>CONCATENATE("          ","5500"," - ","FREIGHT-IN")</f>
        <v xml:space="preserve">          5500 - FREIGHT-IN</v>
      </c>
      <c r="C108" s="12"/>
      <c r="D108" s="3">
        <v>11900.97</v>
      </c>
      <c r="E108" s="3"/>
      <c r="F108" s="20">
        <f t="shared" si="12"/>
        <v>1.3876284005493161E-2</v>
      </c>
      <c r="G108" s="3"/>
      <c r="H108" s="3">
        <v>0</v>
      </c>
      <c r="I108" s="3"/>
      <c r="J108" s="20">
        <f t="shared" si="13"/>
        <v>0</v>
      </c>
      <c r="K108" s="3"/>
      <c r="L108" s="3">
        <f t="shared" si="14"/>
        <v>11900.97</v>
      </c>
      <c r="M108" s="3"/>
      <c r="N108" s="20">
        <f t="shared" si="15"/>
        <v>0</v>
      </c>
      <c r="O108" s="12"/>
      <c r="P108" s="3">
        <v>195175.16</v>
      </c>
      <c r="Q108" s="3"/>
      <c r="R108" s="20">
        <f t="shared" si="16"/>
        <v>2.5956518500397471E-2</v>
      </c>
      <c r="S108" s="3"/>
      <c r="T108" s="3">
        <v>0</v>
      </c>
      <c r="U108" s="3"/>
      <c r="V108" s="20">
        <f t="shared" si="17"/>
        <v>0</v>
      </c>
      <c r="W108" s="3"/>
      <c r="X108" s="3">
        <f t="shared" si="18"/>
        <v>195175.16</v>
      </c>
      <c r="Y108" s="3"/>
      <c r="Z108" s="20">
        <f t="shared" si="19"/>
        <v>0</v>
      </c>
    </row>
    <row r="109" spans="1:26" s="69" customFormat="1" ht="15" hidden="1" customHeight="1" outlineLevel="1" x14ac:dyDescent="0.25">
      <c r="A109" s="42"/>
      <c r="B109" s="12" t="str">
        <f>CONCATENATE("          ","5501"," - ","FREIGHT-IN-NEW TEXT")</f>
        <v xml:space="preserve">          5501 - FREIGHT-IN-NEW TEXT</v>
      </c>
      <c r="C109" s="12"/>
      <c r="D109" s="3"/>
      <c r="E109" s="3"/>
      <c r="F109" s="20">
        <f t="shared" si="12"/>
        <v>0</v>
      </c>
      <c r="G109" s="3"/>
      <c r="H109" s="3">
        <v>1522.41</v>
      </c>
      <c r="I109" s="3"/>
      <c r="J109" s="20">
        <f t="shared" si="13"/>
        <v>3.0041893010439558E-3</v>
      </c>
      <c r="K109" s="3"/>
      <c r="L109" s="3">
        <f t="shared" si="14"/>
        <v>-1522.41</v>
      </c>
      <c r="M109" s="3"/>
      <c r="N109" s="20">
        <f t="shared" si="15"/>
        <v>-1</v>
      </c>
      <c r="O109" s="12"/>
      <c r="P109" s="3">
        <v>0</v>
      </c>
      <c r="Q109" s="3"/>
      <c r="R109" s="20">
        <f t="shared" si="16"/>
        <v>0</v>
      </c>
      <c r="S109" s="3"/>
      <c r="T109" s="3">
        <v>51836.14</v>
      </c>
      <c r="U109" s="3"/>
      <c r="V109" s="20">
        <f t="shared" si="17"/>
        <v>9.9504976556079629E-3</v>
      </c>
      <c r="W109" s="3"/>
      <c r="X109" s="3">
        <f t="shared" si="18"/>
        <v>-51836.14</v>
      </c>
      <c r="Y109" s="3"/>
      <c r="Z109" s="20">
        <f t="shared" si="19"/>
        <v>-1</v>
      </c>
    </row>
    <row r="110" spans="1:26" s="69" customFormat="1" ht="15" hidden="1" customHeight="1" outlineLevel="1" x14ac:dyDescent="0.25">
      <c r="A110" s="42"/>
      <c r="B110" s="12" t="str">
        <f>CONCATENATE("          ","5502"," - ","FREIGHT-IN-USED TEXT")</f>
        <v xml:space="preserve">          5502 - FREIGHT-IN-USED TEXT</v>
      </c>
      <c r="C110" s="12"/>
      <c r="D110" s="3"/>
      <c r="E110" s="3"/>
      <c r="F110" s="20">
        <f t="shared" si="12"/>
        <v>0</v>
      </c>
      <c r="G110" s="3"/>
      <c r="H110" s="3">
        <v>133.97</v>
      </c>
      <c r="I110" s="3"/>
      <c r="J110" s="20">
        <f t="shared" si="13"/>
        <v>2.643645540037564E-4</v>
      </c>
      <c r="K110" s="3"/>
      <c r="L110" s="3">
        <f t="shared" si="14"/>
        <v>-133.97</v>
      </c>
      <c r="M110" s="3"/>
      <c r="N110" s="20">
        <f t="shared" si="15"/>
        <v>-1</v>
      </c>
      <c r="O110" s="12"/>
      <c r="P110" s="3">
        <v>0</v>
      </c>
      <c r="Q110" s="3"/>
      <c r="R110" s="20">
        <f t="shared" si="16"/>
        <v>0</v>
      </c>
      <c r="S110" s="3"/>
      <c r="T110" s="3">
        <v>17992.87</v>
      </c>
      <c r="U110" s="3"/>
      <c r="V110" s="20">
        <f t="shared" si="17"/>
        <v>3.453922509520555E-3</v>
      </c>
      <c r="W110" s="3"/>
      <c r="X110" s="3">
        <f t="shared" si="18"/>
        <v>-17992.87</v>
      </c>
      <c r="Y110" s="3"/>
      <c r="Z110" s="20">
        <f t="shared" si="19"/>
        <v>-1</v>
      </c>
    </row>
    <row r="111" spans="1:26" s="69" customFormat="1" ht="15" hidden="1" customHeight="1" outlineLevel="1" x14ac:dyDescent="0.25">
      <c r="A111" s="42"/>
      <c r="B111" s="12" t="str">
        <f>CONCATENATE("          ","5504"," - ","FREIGHT-IN-DIGITAL TEXT")</f>
        <v xml:space="preserve">          5504 - FREIGHT-IN-DIGITAL TEXT</v>
      </c>
      <c r="C111" s="12"/>
      <c r="D111" s="3"/>
      <c r="E111" s="3"/>
      <c r="F111" s="20">
        <f t="shared" si="12"/>
        <v>0</v>
      </c>
      <c r="G111" s="3"/>
      <c r="H111" s="3"/>
      <c r="I111" s="3"/>
      <c r="J111" s="20">
        <f t="shared" si="13"/>
        <v>0</v>
      </c>
      <c r="K111" s="3"/>
      <c r="L111" s="3">
        <f t="shared" si="14"/>
        <v>0</v>
      </c>
      <c r="M111" s="3"/>
      <c r="N111" s="20">
        <f t="shared" si="15"/>
        <v>0</v>
      </c>
      <c r="O111" s="12"/>
      <c r="P111" s="3"/>
      <c r="Q111" s="3"/>
      <c r="R111" s="20">
        <f t="shared" si="16"/>
        <v>0</v>
      </c>
      <c r="S111" s="3"/>
      <c r="T111" s="3">
        <v>28.92</v>
      </c>
      <c r="U111" s="3"/>
      <c r="V111" s="20">
        <f t="shared" si="17"/>
        <v>5.5515011765957549E-6</v>
      </c>
      <c r="W111" s="3"/>
      <c r="X111" s="3">
        <f t="shared" si="18"/>
        <v>-28.92</v>
      </c>
      <c r="Y111" s="3"/>
      <c r="Z111" s="20">
        <f t="shared" si="19"/>
        <v>-1</v>
      </c>
    </row>
    <row r="112" spans="1:26" s="69" customFormat="1" ht="15" hidden="1" customHeight="1" outlineLevel="1" x14ac:dyDescent="0.25">
      <c r="A112" s="42"/>
      <c r="B112" s="12" t="str">
        <f>CONCATENATE("          ","5513"," - ","FREIGHT-IN-TRADE BOOKS")</f>
        <v xml:space="preserve">          5513 - FREIGHT-IN-TRADE BOOKS</v>
      </c>
      <c r="C112" s="12"/>
      <c r="D112" s="3"/>
      <c r="E112" s="3"/>
      <c r="F112" s="20">
        <f t="shared" si="12"/>
        <v>0</v>
      </c>
      <c r="G112" s="3"/>
      <c r="H112" s="3"/>
      <c r="I112" s="3"/>
      <c r="J112" s="20">
        <f t="shared" si="13"/>
        <v>0</v>
      </c>
      <c r="K112" s="3"/>
      <c r="L112" s="3">
        <f t="shared" si="14"/>
        <v>0</v>
      </c>
      <c r="M112" s="3"/>
      <c r="N112" s="20">
        <f t="shared" si="15"/>
        <v>0</v>
      </c>
      <c r="O112" s="12"/>
      <c r="P112" s="3"/>
      <c r="Q112" s="3"/>
      <c r="R112" s="20">
        <f t="shared" si="16"/>
        <v>0</v>
      </c>
      <c r="S112" s="3"/>
      <c r="T112" s="3">
        <v>85.28</v>
      </c>
      <c r="U112" s="3"/>
      <c r="V112" s="20">
        <f t="shared" si="17"/>
        <v>1.6370401809823167E-5</v>
      </c>
      <c r="W112" s="3"/>
      <c r="X112" s="3">
        <f t="shared" si="18"/>
        <v>-85.28</v>
      </c>
      <c r="Y112" s="3"/>
      <c r="Z112" s="20">
        <f t="shared" si="19"/>
        <v>-1</v>
      </c>
    </row>
    <row r="113" spans="1:26" s="69" customFormat="1" ht="15" hidden="1" customHeight="1" outlineLevel="1" x14ac:dyDescent="0.25">
      <c r="A113" s="42"/>
      <c r="B113" s="12" t="str">
        <f>CONCATENATE("          ","5518"," - ","FREIGHT-IN-STUDY GUIDES")</f>
        <v xml:space="preserve">          5518 - FREIGHT-IN-STUDY GUIDES</v>
      </c>
      <c r="C113" s="12"/>
      <c r="D113" s="3"/>
      <c r="E113" s="3"/>
      <c r="F113" s="20">
        <f t="shared" si="12"/>
        <v>0</v>
      </c>
      <c r="G113" s="3"/>
      <c r="H113" s="3"/>
      <c r="I113" s="3"/>
      <c r="J113" s="20">
        <f t="shared" si="13"/>
        <v>0</v>
      </c>
      <c r="K113" s="3"/>
      <c r="L113" s="3">
        <f t="shared" si="14"/>
        <v>0</v>
      </c>
      <c r="M113" s="3"/>
      <c r="N113" s="20">
        <f t="shared" si="15"/>
        <v>0</v>
      </c>
      <c r="O113" s="12"/>
      <c r="P113" s="3">
        <v>0</v>
      </c>
      <c r="Q113" s="3"/>
      <c r="R113" s="20">
        <f t="shared" si="16"/>
        <v>0</v>
      </c>
      <c r="S113" s="3"/>
      <c r="T113" s="3"/>
      <c r="U113" s="3"/>
      <c r="V113" s="20">
        <f t="shared" si="17"/>
        <v>0</v>
      </c>
      <c r="W113" s="3"/>
      <c r="X113" s="3">
        <f t="shared" si="18"/>
        <v>0</v>
      </c>
      <c r="Y113" s="3"/>
      <c r="Z113" s="20">
        <f t="shared" si="19"/>
        <v>0</v>
      </c>
    </row>
    <row r="114" spans="1:26" s="69" customFormat="1" ht="15" hidden="1" customHeight="1" outlineLevel="1" x14ac:dyDescent="0.25">
      <c r="A114" s="42"/>
      <c r="B114" s="12" t="str">
        <f>CONCATENATE("          ","5525"," - ","FREIGHT-IN-TEST FORMS")</f>
        <v xml:space="preserve">          5525 - FREIGHT-IN-TEST FORMS</v>
      </c>
      <c r="C114" s="12"/>
      <c r="D114" s="3"/>
      <c r="E114" s="3"/>
      <c r="F114" s="20">
        <f t="shared" si="12"/>
        <v>0</v>
      </c>
      <c r="G114" s="3"/>
      <c r="H114" s="3"/>
      <c r="I114" s="3"/>
      <c r="J114" s="20">
        <f t="shared" si="13"/>
        <v>0</v>
      </c>
      <c r="K114" s="3"/>
      <c r="L114" s="3">
        <f t="shared" si="14"/>
        <v>0</v>
      </c>
      <c r="M114" s="3"/>
      <c r="N114" s="20">
        <f t="shared" si="15"/>
        <v>0</v>
      </c>
      <c r="O114" s="12"/>
      <c r="P114" s="3"/>
      <c r="Q114" s="3"/>
      <c r="R114" s="20">
        <f t="shared" si="16"/>
        <v>0</v>
      </c>
      <c r="S114" s="3"/>
      <c r="T114" s="3">
        <v>48.14</v>
      </c>
      <c r="U114" s="3"/>
      <c r="V114" s="20">
        <f t="shared" si="17"/>
        <v>9.2409843236970828E-6</v>
      </c>
      <c r="W114" s="3"/>
      <c r="X114" s="3">
        <f t="shared" si="18"/>
        <v>-48.14</v>
      </c>
      <c r="Y114" s="3"/>
      <c r="Z114" s="20">
        <f t="shared" si="19"/>
        <v>-1</v>
      </c>
    </row>
    <row r="115" spans="1:26" s="69" customFormat="1" ht="15" hidden="1" customHeight="1" outlineLevel="1" x14ac:dyDescent="0.25">
      <c r="A115" s="42"/>
      <c r="B115" s="12" t="str">
        <f>CONCATENATE("          ","5526"," - ","FREIGHT-IN-WRITING INSTRUMENTS")</f>
        <v xml:space="preserve">          5526 - FREIGHT-IN-WRITING INSTRUMENTS</v>
      </c>
      <c r="C115" s="12"/>
      <c r="D115" s="3"/>
      <c r="E115" s="3"/>
      <c r="F115" s="20">
        <f t="shared" si="12"/>
        <v>0</v>
      </c>
      <c r="G115" s="3"/>
      <c r="H115" s="3"/>
      <c r="I115" s="3"/>
      <c r="J115" s="20">
        <f t="shared" si="13"/>
        <v>0</v>
      </c>
      <c r="K115" s="3"/>
      <c r="L115" s="3">
        <f t="shared" si="14"/>
        <v>0</v>
      </c>
      <c r="M115" s="3"/>
      <c r="N115" s="20">
        <f t="shared" si="15"/>
        <v>0</v>
      </c>
      <c r="O115" s="12"/>
      <c r="P115" s="3"/>
      <c r="Q115" s="3"/>
      <c r="R115" s="20">
        <f t="shared" si="16"/>
        <v>0</v>
      </c>
      <c r="S115" s="3"/>
      <c r="T115" s="3">
        <v>0</v>
      </c>
      <c r="U115" s="3"/>
      <c r="V115" s="20">
        <f t="shared" si="17"/>
        <v>0</v>
      </c>
      <c r="W115" s="3"/>
      <c r="X115" s="3">
        <f t="shared" si="18"/>
        <v>0</v>
      </c>
      <c r="Y115" s="3"/>
      <c r="Z115" s="20">
        <f t="shared" si="19"/>
        <v>0</v>
      </c>
    </row>
    <row r="116" spans="1:26" s="69" customFormat="1" ht="15" hidden="1" customHeight="1" outlineLevel="1" x14ac:dyDescent="0.25">
      <c r="A116" s="42"/>
      <c r="B116" s="12" t="str">
        <f>CONCATENATE("          ","5527"," - ","FREIGHT-IN-SCHOOL SUPPLIES")</f>
        <v xml:space="preserve">          5527 - FREIGHT-IN-SCHOOL SUPPLIES</v>
      </c>
      <c r="C116" s="12"/>
      <c r="D116" s="3"/>
      <c r="E116" s="3"/>
      <c r="F116" s="20">
        <f t="shared" si="12"/>
        <v>0</v>
      </c>
      <c r="G116" s="3"/>
      <c r="H116" s="3"/>
      <c r="I116" s="3"/>
      <c r="J116" s="20">
        <f t="shared" si="13"/>
        <v>0</v>
      </c>
      <c r="K116" s="3"/>
      <c r="L116" s="3">
        <f t="shared" si="14"/>
        <v>0</v>
      </c>
      <c r="M116" s="3"/>
      <c r="N116" s="20">
        <f t="shared" si="15"/>
        <v>0</v>
      </c>
      <c r="O116" s="12"/>
      <c r="P116" s="3">
        <v>0</v>
      </c>
      <c r="Q116" s="3"/>
      <c r="R116" s="20">
        <f t="shared" si="16"/>
        <v>0</v>
      </c>
      <c r="S116" s="3"/>
      <c r="T116" s="3">
        <v>218.62</v>
      </c>
      <c r="U116" s="3"/>
      <c r="V116" s="20">
        <f t="shared" si="17"/>
        <v>4.196643109361563E-5</v>
      </c>
      <c r="W116" s="3"/>
      <c r="X116" s="3">
        <f t="shared" si="18"/>
        <v>-218.62</v>
      </c>
      <c r="Y116" s="3"/>
      <c r="Z116" s="20">
        <f t="shared" si="19"/>
        <v>-1</v>
      </c>
    </row>
    <row r="117" spans="1:26" s="69" customFormat="1" ht="15" hidden="1" customHeight="1" outlineLevel="1" x14ac:dyDescent="0.25">
      <c r="A117" s="42"/>
      <c r="B117" s="12" t="str">
        <f>CONCATENATE("          ","5528"," - ","FREIGHT-IN-ART/TECH")</f>
        <v xml:space="preserve">          5528 - FREIGHT-IN-ART/TECH</v>
      </c>
      <c r="C117" s="12"/>
      <c r="D117" s="3"/>
      <c r="E117" s="3"/>
      <c r="F117" s="20">
        <f t="shared" si="12"/>
        <v>0</v>
      </c>
      <c r="G117" s="3"/>
      <c r="H117" s="3">
        <v>28.53</v>
      </c>
      <c r="I117" s="3"/>
      <c r="J117" s="20">
        <f t="shared" si="13"/>
        <v>5.6298579724768003E-5</v>
      </c>
      <c r="K117" s="3"/>
      <c r="L117" s="3">
        <f t="shared" si="14"/>
        <v>-28.53</v>
      </c>
      <c r="M117" s="3"/>
      <c r="N117" s="20">
        <f t="shared" si="15"/>
        <v>-1</v>
      </c>
      <c r="O117" s="12"/>
      <c r="P117" s="3">
        <v>0</v>
      </c>
      <c r="Q117" s="3"/>
      <c r="R117" s="20">
        <f t="shared" si="16"/>
        <v>0</v>
      </c>
      <c r="S117" s="3"/>
      <c r="T117" s="3">
        <v>572.96</v>
      </c>
      <c r="U117" s="3"/>
      <c r="V117" s="20">
        <f t="shared" si="17"/>
        <v>1.0998575775042545E-4</v>
      </c>
      <c r="W117" s="3"/>
      <c r="X117" s="3">
        <f t="shared" si="18"/>
        <v>-572.96</v>
      </c>
      <c r="Y117" s="3"/>
      <c r="Z117" s="20">
        <f t="shared" si="19"/>
        <v>-1</v>
      </c>
    </row>
    <row r="118" spans="1:26" s="69" customFormat="1" ht="15" hidden="1" customHeight="1" outlineLevel="1" x14ac:dyDescent="0.25">
      <c r="A118" s="42"/>
      <c r="B118" s="12" t="str">
        <f>CONCATENATE("          ","5540"," - ","FREIGHT-IN-LOGO CLOTHING")</f>
        <v xml:space="preserve">          5540 - FREIGHT-IN-LOGO CLOTHING</v>
      </c>
      <c r="C118" s="12"/>
      <c r="D118" s="3"/>
      <c r="E118" s="3"/>
      <c r="F118" s="20">
        <f t="shared" si="12"/>
        <v>0</v>
      </c>
      <c r="G118" s="3"/>
      <c r="H118" s="3">
        <v>1283.68</v>
      </c>
      <c r="I118" s="3"/>
      <c r="J118" s="20">
        <f t="shared" si="13"/>
        <v>2.5331006246438904E-3</v>
      </c>
      <c r="K118" s="3"/>
      <c r="L118" s="3">
        <f t="shared" si="14"/>
        <v>-1283.68</v>
      </c>
      <c r="M118" s="3"/>
      <c r="N118" s="20">
        <f t="shared" si="15"/>
        <v>-1</v>
      </c>
      <c r="O118" s="12"/>
      <c r="P118" s="3">
        <v>0</v>
      </c>
      <c r="Q118" s="3"/>
      <c r="R118" s="20">
        <f t="shared" si="16"/>
        <v>0</v>
      </c>
      <c r="S118" s="3"/>
      <c r="T118" s="3">
        <v>10499.7</v>
      </c>
      <c r="U118" s="3"/>
      <c r="V118" s="20">
        <f t="shared" si="17"/>
        <v>2.0155289385858388E-3</v>
      </c>
      <c r="W118" s="3"/>
      <c r="X118" s="3">
        <f t="shared" si="18"/>
        <v>-10499.7</v>
      </c>
      <c r="Y118" s="3"/>
      <c r="Z118" s="20">
        <f t="shared" si="19"/>
        <v>-1</v>
      </c>
    </row>
    <row r="119" spans="1:26" s="69" customFormat="1" ht="15" hidden="1" customHeight="1" outlineLevel="1" x14ac:dyDescent="0.25">
      <c r="A119" s="42"/>
      <c r="B119" s="12" t="str">
        <f>CONCATENATE("          ","5541"," - ","FREIGHT-IN-LOGO GIFTS")</f>
        <v xml:space="preserve">          5541 - FREIGHT-IN-LOGO GIFTS</v>
      </c>
      <c r="C119" s="12"/>
      <c r="D119" s="3"/>
      <c r="E119" s="3"/>
      <c r="F119" s="20">
        <f t="shared" si="12"/>
        <v>0</v>
      </c>
      <c r="G119" s="3"/>
      <c r="H119" s="3">
        <v>961.21</v>
      </c>
      <c r="I119" s="3"/>
      <c r="J119" s="20">
        <f t="shared" si="13"/>
        <v>1.8967668355150456E-3</v>
      </c>
      <c r="K119" s="3"/>
      <c r="L119" s="3">
        <f t="shared" si="14"/>
        <v>-961.21</v>
      </c>
      <c r="M119" s="3"/>
      <c r="N119" s="20">
        <f t="shared" si="15"/>
        <v>-1</v>
      </c>
      <c r="O119" s="12"/>
      <c r="P119" s="3">
        <v>0</v>
      </c>
      <c r="Q119" s="3"/>
      <c r="R119" s="20">
        <f t="shared" si="16"/>
        <v>0</v>
      </c>
      <c r="S119" s="3"/>
      <c r="T119" s="3">
        <v>5977.2</v>
      </c>
      <c r="U119" s="3"/>
      <c r="V119" s="20">
        <f t="shared" si="17"/>
        <v>1.1473870274117616E-3</v>
      </c>
      <c r="W119" s="3"/>
      <c r="X119" s="3">
        <f t="shared" si="18"/>
        <v>-5977.2</v>
      </c>
      <c r="Y119" s="3"/>
      <c r="Z119" s="20">
        <f t="shared" si="19"/>
        <v>-1</v>
      </c>
    </row>
    <row r="120" spans="1:26" s="69" customFormat="1" ht="15" hidden="1" customHeight="1" outlineLevel="1" x14ac:dyDescent="0.25">
      <c r="A120" s="42"/>
      <c r="B120" s="12" t="str">
        <f>CONCATENATE("          ","5542"," - ","FREIGHT-IN-EVERYDAY GIFTS")</f>
        <v xml:space="preserve">          5542 - FREIGHT-IN-EVERYDAY GIFTS</v>
      </c>
      <c r="C120" s="12"/>
      <c r="D120" s="3"/>
      <c r="E120" s="3"/>
      <c r="F120" s="20">
        <f t="shared" si="12"/>
        <v>0</v>
      </c>
      <c r="G120" s="3"/>
      <c r="H120" s="3"/>
      <c r="I120" s="3"/>
      <c r="J120" s="20">
        <f t="shared" si="13"/>
        <v>0</v>
      </c>
      <c r="K120" s="3"/>
      <c r="L120" s="3">
        <f t="shared" si="14"/>
        <v>0</v>
      </c>
      <c r="M120" s="3"/>
      <c r="N120" s="20">
        <f t="shared" si="15"/>
        <v>0</v>
      </c>
      <c r="O120" s="12"/>
      <c r="P120" s="3">
        <v>0</v>
      </c>
      <c r="Q120" s="3"/>
      <c r="R120" s="20">
        <f t="shared" si="16"/>
        <v>0</v>
      </c>
      <c r="S120" s="3"/>
      <c r="T120" s="3">
        <v>681.72</v>
      </c>
      <c r="U120" s="3"/>
      <c r="V120" s="20">
        <f t="shared" si="17"/>
        <v>1.3086339495535471E-4</v>
      </c>
      <c r="W120" s="3"/>
      <c r="X120" s="3">
        <f t="shared" si="18"/>
        <v>-681.72</v>
      </c>
      <c r="Y120" s="3"/>
      <c r="Z120" s="20">
        <f t="shared" si="19"/>
        <v>-1</v>
      </c>
    </row>
    <row r="121" spans="1:26" s="69" customFormat="1" ht="15" hidden="1" customHeight="1" outlineLevel="1" x14ac:dyDescent="0.25">
      <c r="A121" s="42"/>
      <c r="B121" s="12" t="str">
        <f>CONCATENATE("          ","5543"," - ","FREIGHT-IN-CARDS")</f>
        <v xml:space="preserve">          5543 - FREIGHT-IN-CARDS</v>
      </c>
      <c r="C121" s="12"/>
      <c r="D121" s="3"/>
      <c r="E121" s="3"/>
      <c r="F121" s="20">
        <f t="shared" si="12"/>
        <v>0</v>
      </c>
      <c r="G121" s="3"/>
      <c r="H121" s="3"/>
      <c r="I121" s="3"/>
      <c r="J121" s="20">
        <f t="shared" si="13"/>
        <v>0</v>
      </c>
      <c r="K121" s="3"/>
      <c r="L121" s="3">
        <f t="shared" si="14"/>
        <v>0</v>
      </c>
      <c r="M121" s="3"/>
      <c r="N121" s="20">
        <f t="shared" si="15"/>
        <v>0</v>
      </c>
      <c r="O121" s="12"/>
      <c r="P121" s="3"/>
      <c r="Q121" s="3"/>
      <c r="R121" s="20">
        <f t="shared" si="16"/>
        <v>0</v>
      </c>
      <c r="S121" s="3"/>
      <c r="T121" s="3">
        <v>9110.5300000000007</v>
      </c>
      <c r="U121" s="3"/>
      <c r="V121" s="20">
        <f t="shared" si="17"/>
        <v>1.7488630018814291E-3</v>
      </c>
      <c r="W121" s="3"/>
      <c r="X121" s="3">
        <f t="shared" si="18"/>
        <v>-9110.5300000000007</v>
      </c>
      <c r="Y121" s="3"/>
      <c r="Z121" s="20">
        <f t="shared" si="19"/>
        <v>-1</v>
      </c>
    </row>
    <row r="122" spans="1:26" s="69" customFormat="1" ht="15" hidden="1" customHeight="1" outlineLevel="1" x14ac:dyDescent="0.25">
      <c r="A122" s="42"/>
      <c r="B122" s="12" t="str">
        <f>CONCATENATE("          ","5544"," - ","FREIGHT-IN-ACCESSORIES")</f>
        <v xml:space="preserve">          5544 - FREIGHT-IN-ACCESSORIES</v>
      </c>
      <c r="C122" s="12"/>
      <c r="D122" s="3"/>
      <c r="E122" s="3"/>
      <c r="F122" s="20">
        <f t="shared" si="12"/>
        <v>0</v>
      </c>
      <c r="G122" s="3"/>
      <c r="H122" s="3"/>
      <c r="I122" s="3"/>
      <c r="J122" s="20">
        <f t="shared" si="13"/>
        <v>0</v>
      </c>
      <c r="K122" s="3"/>
      <c r="L122" s="3">
        <f t="shared" si="14"/>
        <v>0</v>
      </c>
      <c r="M122" s="3"/>
      <c r="N122" s="20">
        <f t="shared" si="15"/>
        <v>0</v>
      </c>
      <c r="O122" s="12"/>
      <c r="P122" s="3">
        <v>0</v>
      </c>
      <c r="Q122" s="3"/>
      <c r="R122" s="20">
        <f t="shared" si="16"/>
        <v>0</v>
      </c>
      <c r="S122" s="3"/>
      <c r="T122" s="3"/>
      <c r="U122" s="3"/>
      <c r="V122" s="20">
        <f t="shared" si="17"/>
        <v>0</v>
      </c>
      <c r="W122" s="3"/>
      <c r="X122" s="3">
        <f t="shared" si="18"/>
        <v>0</v>
      </c>
      <c r="Y122" s="3"/>
      <c r="Z122" s="20">
        <f t="shared" si="19"/>
        <v>0</v>
      </c>
    </row>
    <row r="123" spans="1:26" s="69" customFormat="1" ht="15" hidden="1" customHeight="1" outlineLevel="1" x14ac:dyDescent="0.25">
      <c r="A123" s="42"/>
      <c r="B123" s="12" t="str">
        <f>CONCATENATE("          ","5545"," - ","FREIGHT-IN-SPECIAL ORDERS")</f>
        <v xml:space="preserve">          5545 - FREIGHT-IN-SPECIAL ORDERS</v>
      </c>
      <c r="C123" s="12"/>
      <c r="D123" s="3"/>
      <c r="E123" s="3"/>
      <c r="F123" s="20">
        <f t="shared" si="12"/>
        <v>0</v>
      </c>
      <c r="G123" s="3"/>
      <c r="H123" s="3">
        <v>1033.9000000000001</v>
      </c>
      <c r="I123" s="3"/>
      <c r="J123" s="20">
        <f t="shared" si="13"/>
        <v>2.0402068551502854E-3</v>
      </c>
      <c r="K123" s="3"/>
      <c r="L123" s="3">
        <f t="shared" si="14"/>
        <v>-1033.9000000000001</v>
      </c>
      <c r="M123" s="3"/>
      <c r="N123" s="20">
        <f t="shared" si="15"/>
        <v>-1</v>
      </c>
      <c r="O123" s="12"/>
      <c r="P123" s="3">
        <v>0</v>
      </c>
      <c r="Q123" s="3"/>
      <c r="R123" s="20">
        <f t="shared" si="16"/>
        <v>0</v>
      </c>
      <c r="S123" s="3"/>
      <c r="T123" s="3">
        <v>2468.66</v>
      </c>
      <c r="U123" s="3"/>
      <c r="V123" s="20">
        <f t="shared" si="17"/>
        <v>4.7388550811254754E-4</v>
      </c>
      <c r="W123" s="3"/>
      <c r="X123" s="3">
        <f t="shared" si="18"/>
        <v>-2468.66</v>
      </c>
      <c r="Y123" s="3"/>
      <c r="Z123" s="20">
        <f t="shared" si="19"/>
        <v>-1</v>
      </c>
    </row>
    <row r="124" spans="1:26" s="69" customFormat="1" ht="15" hidden="1" customHeight="1" outlineLevel="1" x14ac:dyDescent="0.25">
      <c r="A124" s="42"/>
      <c r="B124" s="12" t="str">
        <f>CONCATENATE("          ","5592"," - ","FREIGHT-IN-GRAD MERCH")</f>
        <v xml:space="preserve">          5592 - FREIGHT-IN-GRAD MERCH</v>
      </c>
      <c r="C124" s="12"/>
      <c r="D124" s="3"/>
      <c r="E124" s="3"/>
      <c r="F124" s="20">
        <f t="shared" si="12"/>
        <v>0</v>
      </c>
      <c r="G124" s="3"/>
      <c r="H124" s="3"/>
      <c r="I124" s="3"/>
      <c r="J124" s="20">
        <f t="shared" si="13"/>
        <v>0</v>
      </c>
      <c r="K124" s="3"/>
      <c r="L124" s="3">
        <f t="shared" si="14"/>
        <v>0</v>
      </c>
      <c r="M124" s="3"/>
      <c r="N124" s="20">
        <f t="shared" si="15"/>
        <v>0</v>
      </c>
      <c r="O124" s="12"/>
      <c r="P124" s="3"/>
      <c r="Q124" s="3"/>
      <c r="R124" s="20">
        <f t="shared" si="16"/>
        <v>0</v>
      </c>
      <c r="S124" s="3"/>
      <c r="T124" s="3">
        <v>0</v>
      </c>
      <c r="U124" s="3"/>
      <c r="V124" s="20">
        <f t="shared" si="17"/>
        <v>0</v>
      </c>
      <c r="W124" s="3"/>
      <c r="X124" s="3">
        <f t="shared" si="18"/>
        <v>0</v>
      </c>
      <c r="Y124" s="3"/>
      <c r="Z124" s="20">
        <f t="shared" si="19"/>
        <v>0</v>
      </c>
    </row>
    <row r="125" spans="1:26" ht="15" customHeight="1" x14ac:dyDescent="0.25">
      <c r="A125" s="10"/>
      <c r="B125" s="11"/>
      <c r="C125" s="11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O125" s="11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2" customFormat="1" ht="15" customHeight="1" x14ac:dyDescent="0.25">
      <c r="A126" s="11"/>
      <c r="B126" s="27" t="s">
        <v>288</v>
      </c>
      <c r="C126" s="27"/>
      <c r="D126" s="22">
        <f>D12-D83</f>
        <v>483329.32</v>
      </c>
      <c r="E126" s="15"/>
      <c r="F126" s="23">
        <f>IF(D$12=0,0,D126/D$12)</f>
        <v>0.56355195521893475</v>
      </c>
      <c r="G126" s="15"/>
      <c r="H126" s="22">
        <f>H12-H83</f>
        <v>258139.27000000019</v>
      </c>
      <c r="I126" s="15"/>
      <c r="J126" s="23">
        <f>IF(H$12=0,0,H126/H$12)</f>
        <v>0.50938921388673064</v>
      </c>
      <c r="K126" s="16"/>
      <c r="L126" s="22">
        <f>+D126-H126</f>
        <v>225190.04999999981</v>
      </c>
      <c r="M126" s="16"/>
      <c r="N126" s="23">
        <f>IF(H126=0,0,L126/H126)</f>
        <v>0.87235874650145107</v>
      </c>
      <c r="O126" s="28"/>
      <c r="P126" s="22">
        <f>P12-P83</f>
        <v>3445673.2400000007</v>
      </c>
      <c r="Q126" s="15"/>
      <c r="R126" s="23">
        <f>IF(P$12=0,0,P126/P$12)</f>
        <v>0.4582431555346721</v>
      </c>
      <c r="S126" s="15"/>
      <c r="T126" s="22">
        <f>T12-T83</f>
        <v>2016620.94</v>
      </c>
      <c r="U126" s="15"/>
      <c r="V126" s="23">
        <f>IF(T$12=0,0,T126/T$12)</f>
        <v>0.38711180916865962</v>
      </c>
      <c r="W126" s="16"/>
      <c r="X126" s="22">
        <f>+P126-T126</f>
        <v>1429052.3000000007</v>
      </c>
      <c r="Y126" s="16"/>
      <c r="Z126" s="23">
        <f>IF(T126=0,0,X126/T126)</f>
        <v>0.70863704311232667</v>
      </c>
    </row>
    <row r="127" spans="1:26" ht="15" customHeight="1" x14ac:dyDescent="0.25">
      <c r="A127" s="10"/>
      <c r="B127" s="11"/>
      <c r="C127" s="10"/>
      <c r="D127" s="2"/>
      <c r="E127" s="2"/>
      <c r="F127" s="6"/>
      <c r="G127" s="2"/>
      <c r="H127" s="2"/>
      <c r="I127" s="2"/>
      <c r="J127" s="6"/>
      <c r="K127" s="2"/>
      <c r="L127" s="2"/>
      <c r="M127" s="2"/>
      <c r="N127" s="6"/>
      <c r="O127" s="36"/>
      <c r="P127" s="2"/>
      <c r="Q127" s="2"/>
      <c r="R127" s="6"/>
      <c r="S127" s="2"/>
      <c r="T127" s="2"/>
      <c r="U127" s="2"/>
      <c r="V127" s="6"/>
      <c r="W127" s="2"/>
      <c r="X127" s="2"/>
      <c r="Y127" s="2"/>
      <c r="Z127" s="6"/>
    </row>
    <row r="128" spans="1:26" s="62" customFormat="1" ht="15" customHeight="1" x14ac:dyDescent="0.25">
      <c r="A128" s="11"/>
      <c r="B128" s="28" t="s">
        <v>289</v>
      </c>
      <c r="C128" s="11"/>
      <c r="D128" s="21" cm="1">
        <f t="array" ref="D128">SUM(OSRRefD22x_0)</f>
        <v>324725.14000000007</v>
      </c>
      <c r="E128" s="21"/>
      <c r="F128" s="31">
        <f t="shared" ref="F128:F159" si="20">IF(D$12=0,0,D128/D$12)</f>
        <v>0.37862277330028804</v>
      </c>
      <c r="G128" s="21"/>
      <c r="H128" s="21" cm="1">
        <f t="array" ref="H128">SUM(OSRRefH22x_0)</f>
        <v>230734.18999999994</v>
      </c>
      <c r="I128" s="21"/>
      <c r="J128" s="31">
        <f t="shared" ref="J128:J159" si="21">IF(H$12=0,0,H128/H$12)</f>
        <v>0.45531045183823221</v>
      </c>
      <c r="K128" s="5"/>
      <c r="L128" s="21">
        <f t="shared" ref="L128:L159" si="22">+D128-H128</f>
        <v>93990.950000000128</v>
      </c>
      <c r="M128" s="5"/>
      <c r="N128" s="31">
        <f t="shared" ref="N128:N159" si="23">IF(H128=0,0,L128/H128)</f>
        <v>0.40735597095515036</v>
      </c>
      <c r="O128" s="11"/>
      <c r="P128" s="21" cm="1">
        <f t="array" ref="P128">SUM(OSRRefP22x_0)</f>
        <v>3537849.81</v>
      </c>
      <c r="Q128" s="21"/>
      <c r="R128" s="31">
        <f t="shared" ref="R128:R159" si="24">IF(P$12=0,0,P128/P$12)</f>
        <v>0.4705017997417944</v>
      </c>
      <c r="S128" s="21"/>
      <c r="T128" s="21" cm="1">
        <f t="array" ref="T128">SUM(OSRRefT22x_0)</f>
        <v>2869065.8400000012</v>
      </c>
      <c r="U128" s="21"/>
      <c r="V128" s="31">
        <f t="shared" ref="V128:V159" si="25">IF(T$12=0,0,T128/T$12)</f>
        <v>0.55074766205016235</v>
      </c>
      <c r="W128" s="5"/>
      <c r="X128" s="21">
        <f t="shared" ref="X128:X159" si="26">+P128-T128</f>
        <v>668783.96999999881</v>
      </c>
      <c r="Y128" s="5"/>
      <c r="Z128" s="31">
        <f t="shared" ref="Z128:Z159" si="27">IF(T128=0,0,X128/T128)</f>
        <v>0.23310164607445835</v>
      </c>
    </row>
    <row r="129" spans="1:26" s="68" customFormat="1" ht="15" customHeight="1" outlineLevel="1" collapsed="1" x14ac:dyDescent="0.25">
      <c r="A129" s="26"/>
      <c r="B129" s="14" t="str">
        <f>CONCATENATE("     ","*Benefits                                         ")</f>
        <v xml:space="preserve">     *Benefits                                         </v>
      </c>
      <c r="C129" s="14"/>
      <c r="D129" s="2">
        <f>SUM(OSRRefD22_0x_0)</f>
        <v>44085.649999999994</v>
      </c>
      <c r="E129" s="2"/>
      <c r="F129" s="6">
        <f t="shared" si="20"/>
        <v>5.1402952865755441E-2</v>
      </c>
      <c r="G129" s="2"/>
      <c r="H129" s="2">
        <f>SUM(OSRRefH22_0x_0)</f>
        <v>47641.08</v>
      </c>
      <c r="I129" s="2"/>
      <c r="J129" s="6">
        <f t="shared" si="21"/>
        <v>9.4010695427762025E-2</v>
      </c>
      <c r="K129" s="2"/>
      <c r="L129" s="2">
        <f t="shared" si="22"/>
        <v>-3555.4300000000076</v>
      </c>
      <c r="M129" s="2"/>
      <c r="N129" s="6">
        <f t="shared" si="23"/>
        <v>-7.4629500422744563E-2</v>
      </c>
      <c r="O129" s="14"/>
      <c r="P129" s="2">
        <f>SUM(OSRRefP22_0x_0)</f>
        <v>516704.52</v>
      </c>
      <c r="Q129" s="2"/>
      <c r="R129" s="6">
        <f t="shared" si="24"/>
        <v>6.8716994686306376E-2</v>
      </c>
      <c r="S129" s="2"/>
      <c r="T129" s="2">
        <f>SUM(OSRRefT22_0x_0)</f>
        <v>511502.97000000003</v>
      </c>
      <c r="U129" s="2"/>
      <c r="V129" s="6">
        <f t="shared" si="25"/>
        <v>9.8188428070097616E-2</v>
      </c>
      <c r="W129" s="2"/>
      <c r="X129" s="2">
        <f t="shared" si="26"/>
        <v>5201.5499999999884</v>
      </c>
      <c r="Y129" s="2"/>
      <c r="Z129" s="6">
        <f t="shared" si="27"/>
        <v>1.0169149164471104E-2</v>
      </c>
    </row>
    <row r="130" spans="1:26" s="69" customFormat="1" ht="15" hidden="1" customHeight="1" outlineLevel="2" x14ac:dyDescent="0.25">
      <c r="A130" s="25"/>
      <c r="B130" s="12" t="str">
        <f>CONCATENATE("          ","6111"," - ","F.I.C.A.")</f>
        <v xml:space="preserve">          6111 - F.I.C.A.</v>
      </c>
      <c r="C130" s="12"/>
      <c r="D130" s="7">
        <v>8766.32</v>
      </c>
      <c r="E130" s="3"/>
      <c r="F130" s="8">
        <f t="shared" si="20"/>
        <v>1.0221347167754798E-2</v>
      </c>
      <c r="G130" s="3"/>
      <c r="H130" s="7">
        <v>8259.76</v>
      </c>
      <c r="I130" s="3"/>
      <c r="J130" s="8">
        <f t="shared" si="21"/>
        <v>1.6299080156587795E-2</v>
      </c>
      <c r="K130" s="3"/>
      <c r="L130" s="7">
        <f t="shared" si="22"/>
        <v>506.55999999999949</v>
      </c>
      <c r="M130" s="3"/>
      <c r="N130" s="8">
        <f t="shared" si="23"/>
        <v>6.1328658459809907E-2</v>
      </c>
      <c r="O130" s="12"/>
      <c r="P130" s="7">
        <v>96299.85</v>
      </c>
      <c r="Q130" s="3"/>
      <c r="R130" s="8">
        <f t="shared" si="24"/>
        <v>1.2807002889663324E-2</v>
      </c>
      <c r="S130" s="3"/>
      <c r="T130" s="7">
        <v>97477.94</v>
      </c>
      <c r="U130" s="3"/>
      <c r="V130" s="8">
        <f t="shared" si="25"/>
        <v>1.8711925954430511E-2</v>
      </c>
      <c r="W130" s="3"/>
      <c r="X130" s="7">
        <f t="shared" si="26"/>
        <v>-1178.0899999999965</v>
      </c>
      <c r="Y130" s="3"/>
      <c r="Z130" s="8">
        <f t="shared" si="27"/>
        <v>-1.2085708828069166E-2</v>
      </c>
    </row>
    <row r="131" spans="1:26" s="69" customFormat="1" ht="15" hidden="1" customHeight="1" outlineLevel="2" x14ac:dyDescent="0.25">
      <c r="A131" s="25"/>
      <c r="B131" s="12" t="str">
        <f>CONCATENATE("          ","6112"," - ","COMPENSATION INSURANCE")</f>
        <v xml:space="preserve">          6112 - COMPENSATION INSURANCE</v>
      </c>
      <c r="C131" s="12"/>
      <c r="D131" s="7">
        <v>3533.43</v>
      </c>
      <c r="E131" s="3"/>
      <c r="F131" s="8">
        <f t="shared" si="20"/>
        <v>4.1199060407285876E-3</v>
      </c>
      <c r="G131" s="3"/>
      <c r="H131" s="7">
        <v>2713.69</v>
      </c>
      <c r="I131" s="3"/>
      <c r="J131" s="8">
        <f t="shared" si="21"/>
        <v>5.3549559345708268E-3</v>
      </c>
      <c r="K131" s="3"/>
      <c r="L131" s="7">
        <f t="shared" si="22"/>
        <v>819.73999999999978</v>
      </c>
      <c r="M131" s="3"/>
      <c r="N131" s="8">
        <f t="shared" si="23"/>
        <v>0.30207577136666303</v>
      </c>
      <c r="O131" s="12"/>
      <c r="P131" s="7">
        <v>28123.51</v>
      </c>
      <c r="Q131" s="3"/>
      <c r="R131" s="8">
        <f t="shared" si="24"/>
        <v>3.7401706631679629E-3</v>
      </c>
      <c r="S131" s="3"/>
      <c r="T131" s="7">
        <v>24292.02</v>
      </c>
      <c r="U131" s="3"/>
      <c r="V131" s="8">
        <f t="shared" si="25"/>
        <v>4.6631112590555879E-3</v>
      </c>
      <c r="W131" s="3"/>
      <c r="X131" s="7">
        <f t="shared" si="26"/>
        <v>3831.489999999998</v>
      </c>
      <c r="Y131" s="3"/>
      <c r="Z131" s="8">
        <f t="shared" si="27"/>
        <v>0.15772628212886364</v>
      </c>
    </row>
    <row r="132" spans="1:26" s="69" customFormat="1" ht="15" hidden="1" customHeight="1" outlineLevel="2" x14ac:dyDescent="0.25">
      <c r="A132" s="25"/>
      <c r="B132" s="12" t="str">
        <f>CONCATENATE("          ","6113"," - ","GROUP INSURANCE")</f>
        <v xml:space="preserve">          6113 - GROUP INSURANCE</v>
      </c>
      <c r="C132" s="12"/>
      <c r="D132" s="7">
        <v>14259.14</v>
      </c>
      <c r="E132" s="3"/>
      <c r="F132" s="8">
        <f t="shared" si="20"/>
        <v>1.6625861279718188E-2</v>
      </c>
      <c r="G132" s="3"/>
      <c r="H132" s="7">
        <v>18284.05</v>
      </c>
      <c r="I132" s="3"/>
      <c r="J132" s="8">
        <f t="shared" si="21"/>
        <v>3.6080127816917079E-2</v>
      </c>
      <c r="K132" s="3"/>
      <c r="L132" s="7">
        <f t="shared" si="22"/>
        <v>-4024.91</v>
      </c>
      <c r="M132" s="3"/>
      <c r="N132" s="8">
        <f t="shared" si="23"/>
        <v>-0.22013230110396767</v>
      </c>
      <c r="O132" s="12"/>
      <c r="P132" s="7">
        <v>178805.82</v>
      </c>
      <c r="Q132" s="3"/>
      <c r="R132" s="8">
        <f t="shared" si="24"/>
        <v>2.377954538276664E-2</v>
      </c>
      <c r="S132" s="3"/>
      <c r="T132" s="7">
        <v>183154.19</v>
      </c>
      <c r="U132" s="3"/>
      <c r="V132" s="8">
        <f t="shared" si="25"/>
        <v>3.5158392160561637E-2</v>
      </c>
      <c r="W132" s="3"/>
      <c r="X132" s="7">
        <f t="shared" si="26"/>
        <v>-4348.3699999999953</v>
      </c>
      <c r="Y132" s="3"/>
      <c r="Z132" s="8">
        <f t="shared" si="27"/>
        <v>-2.374158079594027E-2</v>
      </c>
    </row>
    <row r="133" spans="1:26" s="69" customFormat="1" ht="15" hidden="1" customHeight="1" outlineLevel="2" x14ac:dyDescent="0.25">
      <c r="A133" s="25"/>
      <c r="B133" s="12" t="str">
        <f>CONCATENATE("          ","6114"," - ","STATE UNEMPLOYMENT INSURANCE")</f>
        <v xml:space="preserve">          6114 - STATE UNEMPLOYMENT INSURANCE</v>
      </c>
      <c r="C133" s="12"/>
      <c r="D133" s="7">
        <v>632.16999999999996</v>
      </c>
      <c r="E133" s="3"/>
      <c r="F133" s="8">
        <f t="shared" si="20"/>
        <v>7.3709709878712511E-4</v>
      </c>
      <c r="G133" s="3"/>
      <c r="H133" s="7">
        <v>481.57</v>
      </c>
      <c r="I133" s="3"/>
      <c r="J133" s="8">
        <f t="shared" si="21"/>
        <v>9.5028766344397214E-4</v>
      </c>
      <c r="K133" s="3"/>
      <c r="L133" s="7">
        <f t="shared" si="22"/>
        <v>150.59999999999997</v>
      </c>
      <c r="M133" s="3"/>
      <c r="N133" s="8">
        <f t="shared" si="23"/>
        <v>0.3127271217060863</v>
      </c>
      <c r="O133" s="12"/>
      <c r="P133" s="7">
        <v>5066.76</v>
      </c>
      <c r="Q133" s="3"/>
      <c r="R133" s="8">
        <f t="shared" si="24"/>
        <v>6.7383292872450525E-4</v>
      </c>
      <c r="S133" s="3"/>
      <c r="T133" s="7">
        <v>4015</v>
      </c>
      <c r="U133" s="3"/>
      <c r="V133" s="8">
        <f t="shared" si="25"/>
        <v>7.7072189571341483E-4</v>
      </c>
      <c r="W133" s="3"/>
      <c r="X133" s="7">
        <f t="shared" si="26"/>
        <v>1051.7600000000002</v>
      </c>
      <c r="Y133" s="3"/>
      <c r="Z133" s="8">
        <f t="shared" si="27"/>
        <v>0.26195765877957666</v>
      </c>
    </row>
    <row r="134" spans="1:26" s="69" customFormat="1" ht="15" hidden="1" customHeight="1" outlineLevel="2" x14ac:dyDescent="0.25">
      <c r="A134" s="25"/>
      <c r="B134" s="12" t="str">
        <f>CONCATENATE("          ","6115"," - ","P.E.R.S.")</f>
        <v xml:space="preserve">          6115 - P.E.R.S.</v>
      </c>
      <c r="C134" s="12"/>
      <c r="D134" s="7">
        <v>4484.1099999999997</v>
      </c>
      <c r="E134" s="3"/>
      <c r="F134" s="8">
        <f t="shared" si="20"/>
        <v>5.228379188576388E-3</v>
      </c>
      <c r="G134" s="3"/>
      <c r="H134" s="7">
        <v>6355.39</v>
      </c>
      <c r="I134" s="3"/>
      <c r="J134" s="8">
        <f t="shared" si="21"/>
        <v>1.2541164759796471E-2</v>
      </c>
      <c r="K134" s="3"/>
      <c r="L134" s="7">
        <f t="shared" si="22"/>
        <v>-1871.2800000000007</v>
      </c>
      <c r="M134" s="3"/>
      <c r="N134" s="8">
        <f t="shared" si="23"/>
        <v>-0.29443983768108656</v>
      </c>
      <c r="O134" s="12"/>
      <c r="P134" s="7">
        <v>71786.100000000006</v>
      </c>
      <c r="Q134" s="3"/>
      <c r="R134" s="8">
        <f t="shared" si="24"/>
        <v>9.5468974265033677E-3</v>
      </c>
      <c r="S134" s="3"/>
      <c r="T134" s="7">
        <v>74700.44</v>
      </c>
      <c r="U134" s="3"/>
      <c r="V134" s="8">
        <f t="shared" si="25"/>
        <v>1.4339542895996564E-2</v>
      </c>
      <c r="W134" s="3"/>
      <c r="X134" s="7">
        <f t="shared" si="26"/>
        <v>-2914.3399999999965</v>
      </c>
      <c r="Y134" s="3"/>
      <c r="Z134" s="8">
        <f t="shared" si="27"/>
        <v>-3.9013692556563208E-2</v>
      </c>
    </row>
    <row r="135" spans="1:26" s="69" customFormat="1" ht="15" hidden="1" customHeight="1" outlineLevel="2" x14ac:dyDescent="0.25">
      <c r="A135" s="25"/>
      <c r="B135" s="12" t="str">
        <f>CONCATENATE("          ","6116"," - ","EDUCATIONAL BENEFITS")</f>
        <v xml:space="preserve">          6116 - EDUCATIONAL BENEFITS</v>
      </c>
      <c r="C135" s="12"/>
      <c r="D135" s="7"/>
      <c r="E135" s="3"/>
      <c r="F135" s="8">
        <f t="shared" si="20"/>
        <v>0</v>
      </c>
      <c r="G135" s="3"/>
      <c r="H135" s="7"/>
      <c r="I135" s="3"/>
      <c r="J135" s="8">
        <f t="shared" si="21"/>
        <v>0</v>
      </c>
      <c r="K135" s="3"/>
      <c r="L135" s="7">
        <f t="shared" si="22"/>
        <v>0</v>
      </c>
      <c r="M135" s="3"/>
      <c r="N135" s="8">
        <f t="shared" si="23"/>
        <v>0</v>
      </c>
      <c r="O135" s="12"/>
      <c r="P135" s="7"/>
      <c r="Q135" s="3"/>
      <c r="R135" s="8">
        <f t="shared" si="24"/>
        <v>0</v>
      </c>
      <c r="S135" s="3"/>
      <c r="T135" s="7">
        <v>0</v>
      </c>
      <c r="U135" s="3"/>
      <c r="V135" s="8">
        <f t="shared" si="25"/>
        <v>0</v>
      </c>
      <c r="W135" s="3"/>
      <c r="X135" s="7">
        <f t="shared" si="26"/>
        <v>0</v>
      </c>
      <c r="Y135" s="3"/>
      <c r="Z135" s="8">
        <f t="shared" si="27"/>
        <v>0</v>
      </c>
    </row>
    <row r="136" spans="1:26" s="69" customFormat="1" ht="15" hidden="1" customHeight="1" outlineLevel="2" x14ac:dyDescent="0.25">
      <c r="A136" s="25"/>
      <c r="B136" s="12" t="str">
        <f>CONCATENATE("          ","6117"," - ","RETIREMENT STAFF HOURLY")</f>
        <v xml:space="preserve">          6117 - RETIREMENT STAFF HOURLY</v>
      </c>
      <c r="C136" s="12"/>
      <c r="D136" s="7">
        <v>661.04</v>
      </c>
      <c r="E136" s="3"/>
      <c r="F136" s="8">
        <f t="shared" si="20"/>
        <v>7.7075891956632106E-4</v>
      </c>
      <c r="G136" s="3"/>
      <c r="H136" s="7">
        <v>477.35</v>
      </c>
      <c r="I136" s="3"/>
      <c r="J136" s="8">
        <f t="shared" si="21"/>
        <v>9.4196028852499148E-4</v>
      </c>
      <c r="K136" s="3"/>
      <c r="L136" s="7">
        <f t="shared" si="22"/>
        <v>183.68999999999994</v>
      </c>
      <c r="M136" s="3"/>
      <c r="N136" s="8">
        <f t="shared" si="23"/>
        <v>0.38481198282182871</v>
      </c>
      <c r="O136" s="12"/>
      <c r="P136" s="7">
        <v>7536.26</v>
      </c>
      <c r="Q136" s="3"/>
      <c r="R136" s="8">
        <f t="shared" si="24"/>
        <v>1.0022539349464627E-3</v>
      </c>
      <c r="S136" s="3"/>
      <c r="T136" s="7">
        <v>4238.32</v>
      </c>
      <c r="U136" s="3"/>
      <c r="V136" s="8">
        <f t="shared" si="25"/>
        <v>8.13590541728538E-4</v>
      </c>
      <c r="W136" s="3"/>
      <c r="X136" s="7">
        <f t="shared" si="26"/>
        <v>3297.9400000000005</v>
      </c>
      <c r="Y136" s="3"/>
      <c r="Z136" s="8">
        <f t="shared" si="27"/>
        <v>0.77812435115800616</v>
      </c>
    </row>
    <row r="137" spans="1:26" s="69" customFormat="1" ht="15" hidden="1" customHeight="1" outlineLevel="2" x14ac:dyDescent="0.25">
      <c r="A137" s="25"/>
      <c r="B137" s="12" t="str">
        <f>CONCATENATE("          ","6118"," - ","VACATION")</f>
        <v xml:space="preserve">          6118 - VACATION</v>
      </c>
      <c r="C137" s="12"/>
      <c r="D137" s="7">
        <v>4827.2</v>
      </c>
      <c r="E137" s="3"/>
      <c r="F137" s="8">
        <f t="shared" si="20"/>
        <v>5.6284150074587692E-3</v>
      </c>
      <c r="G137" s="3"/>
      <c r="H137" s="7">
        <v>5570.12</v>
      </c>
      <c r="I137" s="3"/>
      <c r="J137" s="8">
        <f t="shared" si="21"/>
        <v>1.0991582365808789E-2</v>
      </c>
      <c r="K137" s="3"/>
      <c r="L137" s="7">
        <f t="shared" si="22"/>
        <v>-742.92000000000007</v>
      </c>
      <c r="M137" s="3"/>
      <c r="N137" s="8">
        <f t="shared" si="23"/>
        <v>-0.13337594163141908</v>
      </c>
      <c r="O137" s="12"/>
      <c r="P137" s="7">
        <v>69155.210000000006</v>
      </c>
      <c r="Q137" s="3"/>
      <c r="R137" s="8">
        <f t="shared" si="24"/>
        <v>9.1970130203242687E-3</v>
      </c>
      <c r="S137" s="3"/>
      <c r="T137" s="7">
        <v>63124.73</v>
      </c>
      <c r="U137" s="3"/>
      <c r="V137" s="8">
        <f t="shared" si="25"/>
        <v>1.2117462408965746E-2</v>
      </c>
      <c r="W137" s="3"/>
      <c r="X137" s="7">
        <f t="shared" si="26"/>
        <v>6030.4800000000032</v>
      </c>
      <c r="Y137" s="3"/>
      <c r="Z137" s="8">
        <f t="shared" si="27"/>
        <v>9.5532765051034724E-2</v>
      </c>
    </row>
    <row r="138" spans="1:26" s="69" customFormat="1" ht="15" hidden="1" customHeight="1" outlineLevel="2" x14ac:dyDescent="0.25">
      <c r="A138" s="25"/>
      <c r="B138" s="12" t="str">
        <f>CONCATENATE("          ","6119"," - ","SICK LEAVE")</f>
        <v xml:space="preserve">          6119 - SICK LEAVE</v>
      </c>
      <c r="C138" s="12"/>
      <c r="D138" s="7">
        <v>3719.16</v>
      </c>
      <c r="E138" s="3"/>
      <c r="F138" s="8">
        <f t="shared" si="20"/>
        <v>4.336463365748334E-3</v>
      </c>
      <c r="G138" s="3"/>
      <c r="H138" s="7">
        <v>3824.03</v>
      </c>
      <c r="I138" s="3"/>
      <c r="J138" s="8">
        <f t="shared" si="21"/>
        <v>7.54600272782701E-3</v>
      </c>
      <c r="K138" s="3"/>
      <c r="L138" s="7">
        <f t="shared" si="22"/>
        <v>-104.87000000000035</v>
      </c>
      <c r="M138" s="3"/>
      <c r="N138" s="8">
        <f t="shared" si="23"/>
        <v>-2.7423948033880576E-2</v>
      </c>
      <c r="O138" s="12"/>
      <c r="P138" s="7">
        <v>28138.41</v>
      </c>
      <c r="Q138" s="3"/>
      <c r="R138" s="8">
        <f t="shared" si="24"/>
        <v>3.7421522274492781E-3</v>
      </c>
      <c r="S138" s="3"/>
      <c r="T138" s="7">
        <v>44528.58</v>
      </c>
      <c r="U138" s="3"/>
      <c r="V138" s="8">
        <f t="shared" si="25"/>
        <v>8.5477338956479326E-3</v>
      </c>
      <c r="W138" s="3"/>
      <c r="X138" s="7">
        <f t="shared" si="26"/>
        <v>-16390.170000000002</v>
      </c>
      <c r="Y138" s="3"/>
      <c r="Z138" s="8">
        <f t="shared" si="27"/>
        <v>-0.36808202731818535</v>
      </c>
    </row>
    <row r="139" spans="1:26" s="69" customFormat="1" ht="15" hidden="1" customHeight="1" outlineLevel="2" x14ac:dyDescent="0.25">
      <c r="A139" s="25"/>
      <c r="B139" s="12" t="str">
        <f>CONCATENATE("          ","6156"," - ","EMPLOYEE MEALS")</f>
        <v xml:space="preserve">          6156 - EMPLOYEE MEALS</v>
      </c>
      <c r="C139" s="12"/>
      <c r="D139" s="7">
        <v>3203.08</v>
      </c>
      <c r="E139" s="3"/>
      <c r="F139" s="8">
        <f t="shared" si="20"/>
        <v>3.7347247974169363E-3</v>
      </c>
      <c r="G139" s="3"/>
      <c r="H139" s="7">
        <v>1675.12</v>
      </c>
      <c r="I139" s="3"/>
      <c r="J139" s="8">
        <f t="shared" si="21"/>
        <v>3.3055337142850814E-3</v>
      </c>
      <c r="K139" s="3"/>
      <c r="L139" s="7">
        <f t="shared" si="22"/>
        <v>1527.96</v>
      </c>
      <c r="M139" s="3"/>
      <c r="N139" s="8">
        <f t="shared" si="23"/>
        <v>0.91214957734371283</v>
      </c>
      <c r="O139" s="12"/>
      <c r="P139" s="7">
        <v>31792.6</v>
      </c>
      <c r="Q139" s="3"/>
      <c r="R139" s="8">
        <f t="shared" si="24"/>
        <v>4.2281262127605614E-3</v>
      </c>
      <c r="S139" s="3"/>
      <c r="T139" s="7">
        <v>15971.75</v>
      </c>
      <c r="U139" s="3"/>
      <c r="V139" s="8">
        <f t="shared" si="25"/>
        <v>3.065947057997692E-3</v>
      </c>
      <c r="W139" s="3"/>
      <c r="X139" s="7">
        <f t="shared" si="26"/>
        <v>15820.849999999999</v>
      </c>
      <c r="Y139" s="3"/>
      <c r="Z139" s="8">
        <f t="shared" si="27"/>
        <v>0.99055206849593802</v>
      </c>
    </row>
    <row r="140" spans="1:26" s="68" customFormat="1" ht="15" customHeight="1" outlineLevel="1" collapsed="1" x14ac:dyDescent="0.25">
      <c r="A140" s="26"/>
      <c r="B140" s="14" t="str">
        <f>CONCATENATE("     ","*Payroll                                          ")</f>
        <v xml:space="preserve">     *Payroll                                          </v>
      </c>
      <c r="C140" s="14"/>
      <c r="D140" s="2">
        <f>SUM(OSRRefD22_1x_0)</f>
        <v>157092.06</v>
      </c>
      <c r="E140" s="2"/>
      <c r="F140" s="6">
        <f t="shared" si="20"/>
        <v>0.18316608138395207</v>
      </c>
      <c r="G140" s="2"/>
      <c r="H140" s="2">
        <f>SUM(OSRRefH22_1x_0)</f>
        <v>122510.93000000001</v>
      </c>
      <c r="I140" s="2"/>
      <c r="J140" s="6">
        <f t="shared" si="21"/>
        <v>0.24175223833720549</v>
      </c>
      <c r="K140" s="2"/>
      <c r="L140" s="2">
        <f t="shared" si="22"/>
        <v>34581.12999999999</v>
      </c>
      <c r="M140" s="2"/>
      <c r="N140" s="6">
        <f t="shared" si="23"/>
        <v>0.28226975340077809</v>
      </c>
      <c r="O140" s="14"/>
      <c r="P140" s="2">
        <f>SUM(OSRRefP22_1x_0)</f>
        <v>1848176.65</v>
      </c>
      <c r="Q140" s="2"/>
      <c r="R140" s="6">
        <f t="shared" si="24"/>
        <v>0.24579066008055339</v>
      </c>
      <c r="S140" s="2"/>
      <c r="T140" s="2">
        <f>SUM(OSRRefT22_1x_0)</f>
        <v>1371370.71</v>
      </c>
      <c r="U140" s="2"/>
      <c r="V140" s="6">
        <f t="shared" si="25"/>
        <v>0.2632491739320178</v>
      </c>
      <c r="W140" s="2"/>
      <c r="X140" s="2">
        <f t="shared" si="26"/>
        <v>476805.93999999994</v>
      </c>
      <c r="Y140" s="2"/>
      <c r="Z140" s="6">
        <f t="shared" si="27"/>
        <v>0.34768566699226056</v>
      </c>
    </row>
    <row r="141" spans="1:26" s="69" customFormat="1" ht="15" hidden="1" customHeight="1" outlineLevel="2" x14ac:dyDescent="0.25">
      <c r="A141" s="25"/>
      <c r="B141" s="12" t="str">
        <f>CONCATENATE("          ","6001"," - ","ADMINISTRATIVE SALARIES")</f>
        <v xml:space="preserve">          6001 - ADMINISTRATIVE SALARIES</v>
      </c>
      <c r="C141" s="12"/>
      <c r="D141" s="7">
        <v>3726.6</v>
      </c>
      <c r="E141" s="3"/>
      <c r="F141" s="8">
        <f t="shared" si="20"/>
        <v>4.345138251324961E-3</v>
      </c>
      <c r="G141" s="3"/>
      <c r="H141" s="7">
        <v>4205.74</v>
      </c>
      <c r="I141" s="3"/>
      <c r="J141" s="8">
        <f t="shared" si="21"/>
        <v>8.2992354956763319E-3</v>
      </c>
      <c r="K141" s="3"/>
      <c r="L141" s="7">
        <f t="shared" si="22"/>
        <v>-479.13999999999987</v>
      </c>
      <c r="M141" s="3"/>
      <c r="N141" s="8">
        <f t="shared" si="23"/>
        <v>-0.11392525453309046</v>
      </c>
      <c r="O141" s="12"/>
      <c r="P141" s="7">
        <v>51393.13</v>
      </c>
      <c r="Q141" s="3"/>
      <c r="R141" s="8">
        <f t="shared" si="24"/>
        <v>6.8348181686559515E-3</v>
      </c>
      <c r="S141" s="3"/>
      <c r="T141" s="7">
        <v>47398.53</v>
      </c>
      <c r="U141" s="3"/>
      <c r="V141" s="8">
        <f t="shared" si="25"/>
        <v>9.098651281601285E-3</v>
      </c>
      <c r="W141" s="3"/>
      <c r="X141" s="7">
        <f t="shared" si="26"/>
        <v>3994.5999999999985</v>
      </c>
      <c r="Y141" s="3"/>
      <c r="Z141" s="8">
        <f t="shared" si="27"/>
        <v>8.427687525330424E-2</v>
      </c>
    </row>
    <row r="142" spans="1:26" s="69" customFormat="1" ht="15" hidden="1" customHeight="1" outlineLevel="2" x14ac:dyDescent="0.25">
      <c r="A142" s="25"/>
      <c r="B142" s="12" t="str">
        <f>CONCATENATE("          ","6002"," - ","STAFF SALARIES")</f>
        <v xml:space="preserve">          6002 - STAFF SALARIES</v>
      </c>
      <c r="C142" s="12"/>
      <c r="D142" s="7">
        <v>42271.360000000001</v>
      </c>
      <c r="E142" s="3"/>
      <c r="F142" s="8">
        <f t="shared" si="20"/>
        <v>4.9287528382849756E-2</v>
      </c>
      <c r="G142" s="3"/>
      <c r="H142" s="7">
        <v>63555.839999999997</v>
      </c>
      <c r="I142" s="3"/>
      <c r="J142" s="8">
        <f t="shared" si="21"/>
        <v>0.12541547582245352</v>
      </c>
      <c r="K142" s="3"/>
      <c r="L142" s="7">
        <f t="shared" si="22"/>
        <v>-21284.479999999996</v>
      </c>
      <c r="M142" s="3"/>
      <c r="N142" s="8">
        <f t="shared" si="23"/>
        <v>-0.33489416550862983</v>
      </c>
      <c r="O142" s="12"/>
      <c r="P142" s="7">
        <v>616100.42000000004</v>
      </c>
      <c r="Q142" s="3"/>
      <c r="R142" s="8">
        <f t="shared" si="24"/>
        <v>8.1935744025175408E-2</v>
      </c>
      <c r="S142" s="3"/>
      <c r="T142" s="7">
        <v>666730.72</v>
      </c>
      <c r="U142" s="3"/>
      <c r="V142" s="8">
        <f t="shared" si="25"/>
        <v>0.12798604344925776</v>
      </c>
      <c r="W142" s="3"/>
      <c r="X142" s="7">
        <f t="shared" si="26"/>
        <v>-50630.29999999993</v>
      </c>
      <c r="Y142" s="3"/>
      <c r="Z142" s="8">
        <f t="shared" si="27"/>
        <v>-7.5938153862176824E-2</v>
      </c>
    </row>
    <row r="143" spans="1:26" s="69" customFormat="1" ht="15" hidden="1" customHeight="1" outlineLevel="2" x14ac:dyDescent="0.25">
      <c r="A143" s="25"/>
      <c r="B143" s="12" t="str">
        <f>CONCATENATE("          ","6004"," - ","STAFF HOURLY")</f>
        <v xml:space="preserve">          6004 - STAFF HOURLY</v>
      </c>
      <c r="C143" s="12"/>
      <c r="D143" s="7">
        <v>27548.76</v>
      </c>
      <c r="E143" s="3"/>
      <c r="F143" s="8">
        <f t="shared" si="20"/>
        <v>3.2121282362628407E-2</v>
      </c>
      <c r="G143" s="3"/>
      <c r="H143" s="7">
        <v>13052.53</v>
      </c>
      <c r="I143" s="3"/>
      <c r="J143" s="8">
        <f t="shared" si="21"/>
        <v>2.5756708756218931E-2</v>
      </c>
      <c r="K143" s="3"/>
      <c r="L143" s="7">
        <f t="shared" si="22"/>
        <v>14496.229999999998</v>
      </c>
      <c r="M143" s="3"/>
      <c r="N143" s="8">
        <f t="shared" si="23"/>
        <v>1.1106069091586073</v>
      </c>
      <c r="O143" s="12"/>
      <c r="P143" s="7">
        <v>272763.78999999998</v>
      </c>
      <c r="Q143" s="3"/>
      <c r="R143" s="8">
        <f t="shared" si="24"/>
        <v>3.6275099563763805E-2</v>
      </c>
      <c r="S143" s="3"/>
      <c r="T143" s="7">
        <v>168344.5</v>
      </c>
      <c r="U143" s="3"/>
      <c r="V143" s="8">
        <f t="shared" si="25"/>
        <v>3.2315514862497376E-2</v>
      </c>
      <c r="W143" s="3"/>
      <c r="X143" s="7">
        <f t="shared" si="26"/>
        <v>104419.28999999998</v>
      </c>
      <c r="Y143" s="3"/>
      <c r="Z143" s="8">
        <f t="shared" si="27"/>
        <v>0.62027146714029846</v>
      </c>
    </row>
    <row r="144" spans="1:26" s="69" customFormat="1" ht="15" hidden="1" customHeight="1" outlineLevel="2" x14ac:dyDescent="0.25">
      <c r="A144" s="25"/>
      <c r="B144" s="12" t="str">
        <f>CONCATENATE("          ","6005"," - ","TEMPORARY WAGES-HOURLY")</f>
        <v xml:space="preserve">          6005 - TEMPORARY WAGES-HOURLY</v>
      </c>
      <c r="C144" s="12"/>
      <c r="D144" s="7">
        <v>2184.14</v>
      </c>
      <c r="E144" s="3"/>
      <c r="F144" s="8">
        <f t="shared" si="20"/>
        <v>2.5466619063620726E-3</v>
      </c>
      <c r="G144" s="3"/>
      <c r="H144" s="7">
        <v>7607.71</v>
      </c>
      <c r="I144" s="3"/>
      <c r="J144" s="8">
        <f t="shared" si="21"/>
        <v>1.5012382332909736E-2</v>
      </c>
      <c r="K144" s="3"/>
      <c r="L144" s="7">
        <f t="shared" si="22"/>
        <v>-5423.57</v>
      </c>
      <c r="M144" s="3"/>
      <c r="N144" s="8">
        <f t="shared" si="23"/>
        <v>-0.71290440881684503</v>
      </c>
      <c r="O144" s="12"/>
      <c r="P144" s="7">
        <v>80884.62</v>
      </c>
      <c r="Q144" s="3"/>
      <c r="R144" s="8">
        <f t="shared" si="24"/>
        <v>1.0756917711391241E-2</v>
      </c>
      <c r="S144" s="3"/>
      <c r="T144" s="7">
        <v>159839.76</v>
      </c>
      <c r="U144" s="3"/>
      <c r="V144" s="8">
        <f t="shared" si="25"/>
        <v>3.0682939685573413E-2</v>
      </c>
      <c r="W144" s="3"/>
      <c r="X144" s="7">
        <f t="shared" si="26"/>
        <v>-78955.140000000014</v>
      </c>
      <c r="Y144" s="3"/>
      <c r="Z144" s="8">
        <f t="shared" si="27"/>
        <v>-0.49396433027677222</v>
      </c>
    </row>
    <row r="145" spans="1:26" s="69" customFormat="1" ht="15" hidden="1" customHeight="1" outlineLevel="2" x14ac:dyDescent="0.25">
      <c r="A145" s="25"/>
      <c r="B145" s="12" t="str">
        <f>CONCATENATE("          ","6006"," - ","TEMPORARY PART TIME")</f>
        <v xml:space="preserve">          6006 - TEMPORARY PART TIME</v>
      </c>
      <c r="C145" s="12"/>
      <c r="D145" s="7">
        <v>1520.8</v>
      </c>
      <c r="E145" s="3"/>
      <c r="F145" s="8">
        <f t="shared" si="20"/>
        <v>1.7732212345341598E-3</v>
      </c>
      <c r="G145" s="3"/>
      <c r="H145" s="7">
        <v>2769.97</v>
      </c>
      <c r="I145" s="3"/>
      <c r="J145" s="8">
        <f t="shared" si="21"/>
        <v>5.466013910978465E-3</v>
      </c>
      <c r="K145" s="3"/>
      <c r="L145" s="7">
        <f t="shared" si="22"/>
        <v>-1249.1699999999998</v>
      </c>
      <c r="M145" s="3"/>
      <c r="N145" s="8">
        <f t="shared" si="23"/>
        <v>-0.4509687830554121</v>
      </c>
      <c r="O145" s="12"/>
      <c r="P145" s="7">
        <v>19354.939999999999</v>
      </c>
      <c r="Q145" s="3"/>
      <c r="R145" s="8">
        <f t="shared" si="24"/>
        <v>2.5740307228854483E-3</v>
      </c>
      <c r="S145" s="3"/>
      <c r="T145" s="7">
        <v>19716.73</v>
      </c>
      <c r="U145" s="3"/>
      <c r="V145" s="8">
        <f t="shared" si="25"/>
        <v>3.7848357466673866E-3</v>
      </c>
      <c r="W145" s="3"/>
      <c r="X145" s="7">
        <f t="shared" si="26"/>
        <v>-361.79000000000087</v>
      </c>
      <c r="Y145" s="3"/>
      <c r="Z145" s="8">
        <f t="shared" si="27"/>
        <v>-1.8349391608040527E-2</v>
      </c>
    </row>
    <row r="146" spans="1:26" s="69" customFormat="1" ht="15" hidden="1" customHeight="1" outlineLevel="2" x14ac:dyDescent="0.25">
      <c r="A146" s="25"/>
      <c r="B146" s="12" t="str">
        <f>CONCATENATE("          ","6007"," - ","STUDENT HOURLY")</f>
        <v xml:space="preserve">          6007 - STUDENT HOURLY</v>
      </c>
      <c r="C146" s="12"/>
      <c r="D146" s="7">
        <v>69769.31</v>
      </c>
      <c r="E146" s="3"/>
      <c r="F146" s="8">
        <f t="shared" si="20"/>
        <v>8.1349567340081863E-2</v>
      </c>
      <c r="G146" s="3"/>
      <c r="H146" s="7">
        <v>28779.68</v>
      </c>
      <c r="I146" s="3"/>
      <c r="J146" s="8">
        <f t="shared" si="21"/>
        <v>5.6791276163102387E-2</v>
      </c>
      <c r="K146" s="3"/>
      <c r="L146" s="7">
        <f t="shared" si="22"/>
        <v>40989.629999999997</v>
      </c>
      <c r="M146" s="3"/>
      <c r="N146" s="8">
        <f t="shared" si="23"/>
        <v>1.4242559333529767</v>
      </c>
      <c r="O146" s="12"/>
      <c r="P146" s="7">
        <v>690627.85</v>
      </c>
      <c r="Q146" s="3"/>
      <c r="R146" s="8">
        <f t="shared" si="24"/>
        <v>9.1847213371900036E-2</v>
      </c>
      <c r="S146" s="3"/>
      <c r="T146" s="7">
        <v>296799.06</v>
      </c>
      <c r="U146" s="3"/>
      <c r="V146" s="8">
        <f t="shared" si="25"/>
        <v>5.6973732047113208E-2</v>
      </c>
      <c r="W146" s="3"/>
      <c r="X146" s="7">
        <f t="shared" si="26"/>
        <v>393828.79</v>
      </c>
      <c r="Y146" s="3"/>
      <c r="Z146" s="8">
        <f t="shared" si="27"/>
        <v>1.3269206108671638</v>
      </c>
    </row>
    <row r="147" spans="1:26" s="69" customFormat="1" ht="15" hidden="1" customHeight="1" outlineLevel="2" x14ac:dyDescent="0.25">
      <c r="A147" s="25"/>
      <c r="B147" s="12" t="str">
        <f>CONCATENATE("          ","6008"," - ","STUDENT HOURLY-FICA EXEMPT")</f>
        <v xml:space="preserve">          6008 - STUDENT HOURLY-FICA EXEMPT</v>
      </c>
      <c r="C147" s="12"/>
      <c r="D147" s="7">
        <v>10071.09</v>
      </c>
      <c r="E147" s="3"/>
      <c r="F147" s="8">
        <f t="shared" si="20"/>
        <v>1.1742681906170853E-2</v>
      </c>
      <c r="G147" s="3"/>
      <c r="H147" s="7">
        <v>2539.46</v>
      </c>
      <c r="I147" s="3"/>
      <c r="J147" s="8">
        <f t="shared" si="21"/>
        <v>5.0111458558660836E-3</v>
      </c>
      <c r="K147" s="3"/>
      <c r="L147" s="7">
        <f t="shared" si="22"/>
        <v>7531.63</v>
      </c>
      <c r="M147" s="3"/>
      <c r="N147" s="8">
        <f t="shared" si="23"/>
        <v>2.965839194159388</v>
      </c>
      <c r="O147" s="12"/>
      <c r="P147" s="7">
        <v>117051.9</v>
      </c>
      <c r="Q147" s="3"/>
      <c r="R147" s="8">
        <f t="shared" si="24"/>
        <v>1.5566836516781514E-2</v>
      </c>
      <c r="S147" s="3"/>
      <c r="T147" s="7">
        <v>12541.41</v>
      </c>
      <c r="U147" s="3"/>
      <c r="V147" s="8">
        <f t="shared" si="25"/>
        <v>2.4074568593073914E-3</v>
      </c>
      <c r="W147" s="3"/>
      <c r="X147" s="7">
        <f t="shared" si="26"/>
        <v>104510.48999999999</v>
      </c>
      <c r="Y147" s="3"/>
      <c r="Z147" s="8">
        <f t="shared" si="27"/>
        <v>8.3332328661609818</v>
      </c>
    </row>
    <row r="148" spans="1:26" s="68" customFormat="1" ht="15" customHeight="1" outlineLevel="1" collapsed="1" x14ac:dyDescent="0.25">
      <c r="A148" s="26"/>
      <c r="B148" s="14" t="str">
        <f>CONCATENATE("     ","Advertising/Promo                                 ")</f>
        <v xml:space="preserve">     Advertising/Promo                                 </v>
      </c>
      <c r="C148" s="14"/>
      <c r="D148" s="2">
        <f>SUM(OSRRefD22_2x_0)</f>
        <v>1274.8800000000001</v>
      </c>
      <c r="E148" s="2"/>
      <c r="F148" s="6">
        <f t="shared" si="20"/>
        <v>1.4864836188078052E-3</v>
      </c>
      <c r="G148" s="2"/>
      <c r="H148" s="2">
        <f>SUM(OSRRefH22_2x_0)</f>
        <v>7.47</v>
      </c>
      <c r="I148" s="2"/>
      <c r="J148" s="6">
        <f t="shared" si="21"/>
        <v>1.4740637593551243E-5</v>
      </c>
      <c r="K148" s="2"/>
      <c r="L148" s="2">
        <f t="shared" si="22"/>
        <v>1267.4100000000001</v>
      </c>
      <c r="M148" s="2"/>
      <c r="N148" s="6">
        <f t="shared" si="23"/>
        <v>169.66666666666669</v>
      </c>
      <c r="O148" s="14"/>
      <c r="P148" s="2">
        <f>SUM(OSRRefP22_2x_0)</f>
        <v>13485.16</v>
      </c>
      <c r="Q148" s="2"/>
      <c r="R148" s="6">
        <f t="shared" si="24"/>
        <v>1.7934034485782922E-3</v>
      </c>
      <c r="S148" s="2"/>
      <c r="T148" s="2">
        <f>SUM(OSRRefT22_2x_0)</f>
        <v>17543.52</v>
      </c>
      <c r="U148" s="2"/>
      <c r="V148" s="6">
        <f t="shared" si="25"/>
        <v>3.36766500420578E-3</v>
      </c>
      <c r="W148" s="2"/>
      <c r="X148" s="2">
        <f t="shared" si="26"/>
        <v>-4058.3600000000006</v>
      </c>
      <c r="Y148" s="2"/>
      <c r="Z148" s="6">
        <f t="shared" si="27"/>
        <v>-0.2313309985681323</v>
      </c>
    </row>
    <row r="149" spans="1:26" s="69" customFormat="1" ht="15" hidden="1" customHeight="1" outlineLevel="2" x14ac:dyDescent="0.25">
      <c r="A149" s="25"/>
      <c r="B149" s="12" t="str">
        <f>CONCATENATE("          ","6362"," - ","ADVERTISING EXPENSE")</f>
        <v xml:space="preserve">          6362 - ADVERTISING EXPENSE</v>
      </c>
      <c r="C149" s="12"/>
      <c r="D149" s="7">
        <v>1274.8800000000001</v>
      </c>
      <c r="E149" s="3"/>
      <c r="F149" s="8">
        <f t="shared" si="20"/>
        <v>1.4864836188078052E-3</v>
      </c>
      <c r="G149" s="3"/>
      <c r="H149" s="7">
        <v>7.47</v>
      </c>
      <c r="I149" s="3"/>
      <c r="J149" s="8">
        <f t="shared" si="21"/>
        <v>1.4740637593551243E-5</v>
      </c>
      <c r="K149" s="3"/>
      <c r="L149" s="7">
        <f t="shared" si="22"/>
        <v>1267.4100000000001</v>
      </c>
      <c r="M149" s="3"/>
      <c r="N149" s="8">
        <f t="shared" si="23"/>
        <v>169.66666666666669</v>
      </c>
      <c r="O149" s="12"/>
      <c r="P149" s="7">
        <v>13485.16</v>
      </c>
      <c r="Q149" s="3"/>
      <c r="R149" s="8">
        <f t="shared" si="24"/>
        <v>1.7934034485782922E-3</v>
      </c>
      <c r="S149" s="3"/>
      <c r="T149" s="7">
        <v>17543.52</v>
      </c>
      <c r="U149" s="3"/>
      <c r="V149" s="8">
        <f t="shared" si="25"/>
        <v>3.36766500420578E-3</v>
      </c>
      <c r="W149" s="3"/>
      <c r="X149" s="7">
        <f t="shared" si="26"/>
        <v>-4058.3600000000006</v>
      </c>
      <c r="Y149" s="3"/>
      <c r="Z149" s="8">
        <f t="shared" si="27"/>
        <v>-0.2313309985681323</v>
      </c>
    </row>
    <row r="150" spans="1:26" s="68" customFormat="1" ht="15" customHeight="1" outlineLevel="1" collapsed="1" x14ac:dyDescent="0.25">
      <c r="A150" s="26"/>
      <c r="B150" s="14" t="str">
        <f>CONCATENATE("     ","Bad Debts/Over/Short                              ")</f>
        <v xml:space="preserve">     Bad Debts/Over/Short                              </v>
      </c>
      <c r="C150" s="14"/>
      <c r="D150" s="2">
        <f>SUM(OSRRefD22_3x_0)</f>
        <v>23.48</v>
      </c>
      <c r="E150" s="2"/>
      <c r="F150" s="6">
        <f t="shared" si="20"/>
        <v>2.7377192653118145E-5</v>
      </c>
      <c r="G150" s="2"/>
      <c r="H150" s="2">
        <f>SUM(OSRRefH22_3x_0)</f>
        <v>21.56</v>
      </c>
      <c r="I150" s="2"/>
      <c r="J150" s="6">
        <f t="shared" si="21"/>
        <v>4.2544597927304523E-5</v>
      </c>
      <c r="K150" s="2"/>
      <c r="L150" s="2">
        <f t="shared" si="22"/>
        <v>1.9200000000000017</v>
      </c>
      <c r="M150" s="2"/>
      <c r="N150" s="6">
        <f t="shared" si="23"/>
        <v>8.9053803339517706E-2</v>
      </c>
      <c r="O150" s="14"/>
      <c r="P150" s="2">
        <f>SUM(OSRRefP22_3x_0)</f>
        <v>30.24</v>
      </c>
      <c r="Q150" s="2"/>
      <c r="R150" s="6">
        <f t="shared" si="24"/>
        <v>4.0216445548297207E-6</v>
      </c>
      <c r="S150" s="2"/>
      <c r="T150" s="2">
        <f>SUM(OSRRefT22_3x_0)</f>
        <v>5204.26</v>
      </c>
      <c r="U150" s="2"/>
      <c r="V150" s="6">
        <f t="shared" si="25"/>
        <v>9.9901298455429537E-4</v>
      </c>
      <c r="W150" s="2"/>
      <c r="X150" s="2">
        <f t="shared" si="26"/>
        <v>-5174.0200000000004</v>
      </c>
      <c r="Y150" s="2"/>
      <c r="Z150" s="6">
        <f t="shared" si="27"/>
        <v>-0.99418937562689036</v>
      </c>
    </row>
    <row r="151" spans="1:26" s="69" customFormat="1" ht="15" hidden="1" customHeight="1" outlineLevel="2" x14ac:dyDescent="0.25">
      <c r="A151" s="25"/>
      <c r="B151" s="12" t="str">
        <f>CONCATENATE("          ","6272"," - ","CASH (OVER/SHORT)")</f>
        <v xml:space="preserve">          6272 - CASH (OVER/SHORT)</v>
      </c>
      <c r="C151" s="12"/>
      <c r="D151" s="7">
        <v>23.48</v>
      </c>
      <c r="E151" s="3"/>
      <c r="F151" s="8">
        <f t="shared" si="20"/>
        <v>2.7377192653118145E-5</v>
      </c>
      <c r="G151" s="3"/>
      <c r="H151" s="7">
        <v>21.56</v>
      </c>
      <c r="I151" s="3"/>
      <c r="J151" s="8">
        <f t="shared" si="21"/>
        <v>4.2544597927304523E-5</v>
      </c>
      <c r="K151" s="3"/>
      <c r="L151" s="7">
        <f t="shared" si="22"/>
        <v>1.9200000000000017</v>
      </c>
      <c r="M151" s="3"/>
      <c r="N151" s="8">
        <f t="shared" si="23"/>
        <v>8.9053803339517706E-2</v>
      </c>
      <c r="O151" s="12"/>
      <c r="P151" s="7">
        <v>30.24</v>
      </c>
      <c r="Q151" s="3"/>
      <c r="R151" s="8">
        <f t="shared" si="24"/>
        <v>4.0216445548297207E-6</v>
      </c>
      <c r="S151" s="3"/>
      <c r="T151" s="7">
        <v>-145.16</v>
      </c>
      <c r="U151" s="3"/>
      <c r="V151" s="8">
        <f t="shared" si="25"/>
        <v>-2.7865003831073298E-5</v>
      </c>
      <c r="W151" s="3"/>
      <c r="X151" s="7">
        <f t="shared" si="26"/>
        <v>175.4</v>
      </c>
      <c r="Y151" s="3"/>
      <c r="Z151" s="8">
        <f t="shared" si="27"/>
        <v>-1.2083218517497933</v>
      </c>
    </row>
    <row r="152" spans="1:26" s="69" customFormat="1" ht="15" hidden="1" customHeight="1" outlineLevel="2" x14ac:dyDescent="0.25">
      <c r="A152" s="25"/>
      <c r="B152" s="12" t="str">
        <f>CONCATENATE("          ","6342"," - ","BAD DEBT")</f>
        <v xml:space="preserve">          6342 - BAD DEBT</v>
      </c>
      <c r="C152" s="12"/>
      <c r="D152" s="7"/>
      <c r="E152" s="3"/>
      <c r="F152" s="8">
        <f t="shared" si="20"/>
        <v>0</v>
      </c>
      <c r="G152" s="3"/>
      <c r="H152" s="7"/>
      <c r="I152" s="3"/>
      <c r="J152" s="8">
        <f t="shared" si="21"/>
        <v>0</v>
      </c>
      <c r="K152" s="3"/>
      <c r="L152" s="7">
        <f t="shared" si="22"/>
        <v>0</v>
      </c>
      <c r="M152" s="3"/>
      <c r="N152" s="8">
        <f t="shared" si="23"/>
        <v>0</v>
      </c>
      <c r="O152" s="12"/>
      <c r="P152" s="7"/>
      <c r="Q152" s="3"/>
      <c r="R152" s="8">
        <f t="shared" si="24"/>
        <v>0</v>
      </c>
      <c r="S152" s="3"/>
      <c r="T152" s="7">
        <v>5349.42</v>
      </c>
      <c r="U152" s="3"/>
      <c r="V152" s="8">
        <f t="shared" si="25"/>
        <v>1.0268779883853688E-3</v>
      </c>
      <c r="W152" s="3"/>
      <c r="X152" s="7">
        <f t="shared" si="26"/>
        <v>-5349.42</v>
      </c>
      <c r="Y152" s="3"/>
      <c r="Z152" s="8">
        <f t="shared" si="27"/>
        <v>-1</v>
      </c>
    </row>
    <row r="153" spans="1:26" s="68" customFormat="1" ht="15" customHeight="1" outlineLevel="1" collapsed="1" x14ac:dyDescent="0.25">
      <c r="A153" s="26"/>
      <c r="B153" s="14" t="str">
        <f>CONCATENATE("     ","Bank/card Fees                                    ")</f>
        <v xml:space="preserve">     Bank/card Fees                                    </v>
      </c>
      <c r="C153" s="14"/>
      <c r="D153" s="2">
        <f>SUM(OSRRefD22_4x_0)</f>
        <v>16090.22</v>
      </c>
      <c r="E153" s="2"/>
      <c r="F153" s="6">
        <f t="shared" si="20"/>
        <v>1.8760862554133503E-2</v>
      </c>
      <c r="G153" s="2"/>
      <c r="H153" s="2">
        <f>SUM(OSRRefH22_4x_0)</f>
        <v>3967.68</v>
      </c>
      <c r="I153" s="2"/>
      <c r="J153" s="6">
        <f t="shared" si="21"/>
        <v>7.8294689380430244E-3</v>
      </c>
      <c r="K153" s="2"/>
      <c r="L153" s="2">
        <f t="shared" si="22"/>
        <v>12122.539999999999</v>
      </c>
      <c r="M153" s="2"/>
      <c r="N153" s="6">
        <f t="shared" si="23"/>
        <v>3.0553220017743365</v>
      </c>
      <c r="O153" s="14"/>
      <c r="P153" s="2">
        <f>SUM(OSRRefP22_4x_0)</f>
        <v>142870.16</v>
      </c>
      <c r="Q153" s="2"/>
      <c r="R153" s="6">
        <f t="shared" si="24"/>
        <v>1.9000429927633962E-2</v>
      </c>
      <c r="S153" s="2"/>
      <c r="T153" s="2">
        <f>SUM(OSRRefT22_4x_0)</f>
        <v>78603.539999999994</v>
      </c>
      <c r="U153" s="2"/>
      <c r="V153" s="6">
        <f t="shared" si="25"/>
        <v>1.5088784398153232E-2</v>
      </c>
      <c r="W153" s="2"/>
      <c r="X153" s="2">
        <f t="shared" si="26"/>
        <v>64266.62000000001</v>
      </c>
      <c r="Y153" s="2"/>
      <c r="Z153" s="6">
        <f t="shared" si="27"/>
        <v>0.81760465241132929</v>
      </c>
    </row>
    <row r="154" spans="1:26" s="69" customFormat="1" ht="15" hidden="1" customHeight="1" outlineLevel="2" x14ac:dyDescent="0.25">
      <c r="A154" s="25"/>
      <c r="B154" s="12" t="str">
        <f>CONCATENATE("          ","6381"," - ","BANK/CREDIT CARD FEES")</f>
        <v xml:space="preserve">          6381 - BANK/CREDIT CARD FEES</v>
      </c>
      <c r="C154" s="12"/>
      <c r="D154" s="7">
        <v>16090.22</v>
      </c>
      <c r="E154" s="3"/>
      <c r="F154" s="8">
        <f t="shared" si="20"/>
        <v>1.8760862554133503E-2</v>
      </c>
      <c r="G154" s="3"/>
      <c r="H154" s="7">
        <v>3967.68</v>
      </c>
      <c r="I154" s="3"/>
      <c r="J154" s="8">
        <f t="shared" si="21"/>
        <v>7.8294689380430244E-3</v>
      </c>
      <c r="K154" s="3"/>
      <c r="L154" s="7">
        <f t="shared" si="22"/>
        <v>12122.539999999999</v>
      </c>
      <c r="M154" s="3"/>
      <c r="N154" s="8">
        <f t="shared" si="23"/>
        <v>3.0553220017743365</v>
      </c>
      <c r="O154" s="12"/>
      <c r="P154" s="7">
        <v>142870.16</v>
      </c>
      <c r="Q154" s="3"/>
      <c r="R154" s="8">
        <f t="shared" si="24"/>
        <v>1.9000429927633962E-2</v>
      </c>
      <c r="S154" s="3"/>
      <c r="T154" s="7">
        <v>78603.539999999994</v>
      </c>
      <c r="U154" s="3"/>
      <c r="V154" s="8">
        <f t="shared" si="25"/>
        <v>1.5088784398153232E-2</v>
      </c>
      <c r="W154" s="3"/>
      <c r="X154" s="7">
        <f t="shared" si="26"/>
        <v>64266.62000000001</v>
      </c>
      <c r="Y154" s="3"/>
      <c r="Z154" s="8">
        <f t="shared" si="27"/>
        <v>0.81760465241132929</v>
      </c>
    </row>
    <row r="155" spans="1:26" s="68" customFormat="1" ht="15" customHeight="1" outlineLevel="1" collapsed="1" x14ac:dyDescent="0.25">
      <c r="A155" s="26"/>
      <c r="B155" s="14" t="str">
        <f>CONCATENATE("     ","Depreciation                                      ")</f>
        <v xml:space="preserve">     Depreciation                                      </v>
      </c>
      <c r="C155" s="14"/>
      <c r="D155" s="2">
        <f>SUM(OSRRefD22_5x_0)</f>
        <v>16380.05</v>
      </c>
      <c r="E155" s="2"/>
      <c r="F155" s="6">
        <f t="shared" si="20"/>
        <v>1.9098798318471374E-2</v>
      </c>
      <c r="G155" s="2"/>
      <c r="H155" s="2">
        <f>SUM(OSRRefH22_5x_0)</f>
        <v>30735.85</v>
      </c>
      <c r="I155" s="2"/>
      <c r="J155" s="6">
        <f t="shared" si="21"/>
        <v>6.0651409100368404E-2</v>
      </c>
      <c r="K155" s="2"/>
      <c r="L155" s="2">
        <f t="shared" si="22"/>
        <v>-14355.8</v>
      </c>
      <c r="M155" s="2"/>
      <c r="N155" s="6">
        <f t="shared" si="23"/>
        <v>-0.46707021279710825</v>
      </c>
      <c r="O155" s="14"/>
      <c r="P155" s="2">
        <f>SUM(OSRRefP22_5x_0)</f>
        <v>300196.67</v>
      </c>
      <c r="Q155" s="2"/>
      <c r="R155" s="6">
        <f t="shared" si="24"/>
        <v>3.992342272762945E-2</v>
      </c>
      <c r="S155" s="2"/>
      <c r="T155" s="2">
        <f>SUM(OSRRefT22_5x_0)</f>
        <v>338389.83999999997</v>
      </c>
      <c r="U155" s="2"/>
      <c r="V155" s="6">
        <f t="shared" si="25"/>
        <v>6.4957524028632405E-2</v>
      </c>
      <c r="W155" s="2"/>
      <c r="X155" s="2">
        <f t="shared" si="26"/>
        <v>-38193.169999999984</v>
      </c>
      <c r="Y155" s="2"/>
      <c r="Z155" s="6">
        <f t="shared" si="27"/>
        <v>-0.11286736623061729</v>
      </c>
    </row>
    <row r="156" spans="1:26" s="69" customFormat="1" ht="15" hidden="1" customHeight="1" outlineLevel="2" x14ac:dyDescent="0.25">
      <c r="A156" s="25"/>
      <c r="B156" s="12" t="str">
        <f>CONCATENATE("          ","6321"," - ","BUILDING DEPRECIATION")</f>
        <v xml:space="preserve">          6321 - BUILDING DEPRECIATION</v>
      </c>
      <c r="C156" s="12"/>
      <c r="D156" s="7">
        <v>13321.71</v>
      </c>
      <c r="E156" s="3"/>
      <c r="F156" s="8">
        <f t="shared" si="20"/>
        <v>1.5532837356855643E-2</v>
      </c>
      <c r="G156" s="3"/>
      <c r="H156" s="7">
        <v>16396.52</v>
      </c>
      <c r="I156" s="3"/>
      <c r="J156" s="8">
        <f t="shared" si="21"/>
        <v>3.2355442987337994E-2</v>
      </c>
      <c r="K156" s="3"/>
      <c r="L156" s="7">
        <f t="shared" si="22"/>
        <v>-3074.8100000000013</v>
      </c>
      <c r="M156" s="3"/>
      <c r="N156" s="8">
        <f t="shared" si="23"/>
        <v>-0.18752820720494356</v>
      </c>
      <c r="O156" s="12"/>
      <c r="P156" s="7">
        <v>165797.54999999999</v>
      </c>
      <c r="Q156" s="3"/>
      <c r="R156" s="8">
        <f t="shared" si="24"/>
        <v>2.2049563960370645E-2</v>
      </c>
      <c r="S156" s="3"/>
      <c r="T156" s="7">
        <v>180361.72</v>
      </c>
      <c r="U156" s="3"/>
      <c r="V156" s="8">
        <f t="shared" si="25"/>
        <v>3.4622347883569646E-2</v>
      </c>
      <c r="W156" s="3"/>
      <c r="X156" s="7">
        <f t="shared" si="26"/>
        <v>-14564.170000000013</v>
      </c>
      <c r="Y156" s="3"/>
      <c r="Z156" s="8">
        <f t="shared" si="27"/>
        <v>-8.0749784377749406E-2</v>
      </c>
    </row>
    <row r="157" spans="1:26" s="69" customFormat="1" ht="15" hidden="1" customHeight="1" outlineLevel="2" x14ac:dyDescent="0.25">
      <c r="A157" s="25"/>
      <c r="B157" s="12" t="str">
        <f>CONCATENATE("          ","6322"," - ","EQUIPMENT DEPRECIATION EXPENSE")</f>
        <v xml:space="preserve">          6322 - EQUIPMENT DEPRECIATION EXPENSE</v>
      </c>
      <c r="C157" s="12"/>
      <c r="D157" s="7">
        <v>3058.34</v>
      </c>
      <c r="E157" s="3"/>
      <c r="F157" s="8">
        <f t="shared" si="20"/>
        <v>3.5659609616157306E-3</v>
      </c>
      <c r="G157" s="3"/>
      <c r="H157" s="7">
        <v>14339.33</v>
      </c>
      <c r="I157" s="3"/>
      <c r="J157" s="8">
        <f t="shared" si="21"/>
        <v>2.8295966113030407E-2</v>
      </c>
      <c r="K157" s="3"/>
      <c r="L157" s="7">
        <f t="shared" si="22"/>
        <v>-11280.99</v>
      </c>
      <c r="M157" s="3"/>
      <c r="N157" s="8">
        <f t="shared" si="23"/>
        <v>-0.78671667365211628</v>
      </c>
      <c r="O157" s="12"/>
      <c r="P157" s="7">
        <v>134399.12</v>
      </c>
      <c r="Q157" s="3"/>
      <c r="R157" s="8">
        <f t="shared" si="24"/>
        <v>1.7873858767258805E-2</v>
      </c>
      <c r="S157" s="3"/>
      <c r="T157" s="7">
        <v>158028.12</v>
      </c>
      <c r="U157" s="3"/>
      <c r="V157" s="8">
        <f t="shared" si="25"/>
        <v>3.0335176145062762E-2</v>
      </c>
      <c r="W157" s="3"/>
      <c r="X157" s="7">
        <f t="shared" si="26"/>
        <v>-23629</v>
      </c>
      <c r="Y157" s="3"/>
      <c r="Z157" s="8">
        <f t="shared" si="27"/>
        <v>-0.14952402142099774</v>
      </c>
    </row>
    <row r="158" spans="1:26" s="68" customFormat="1" ht="15" customHeight="1" outlineLevel="1" collapsed="1" x14ac:dyDescent="0.25">
      <c r="A158" s="26"/>
      <c r="B158" s="14" t="str">
        <f>CONCATENATE("     ","Discounts and Markdowns                           ")</f>
        <v xml:space="preserve">     Discounts and Markdowns                           </v>
      </c>
      <c r="C158" s="14"/>
      <c r="D158" s="2">
        <f>SUM(OSRRefD22_6x_0)</f>
        <v>-17.57</v>
      </c>
      <c r="E158" s="2"/>
      <c r="F158" s="6">
        <f t="shared" si="20"/>
        <v>-2.0486255320071797E-5</v>
      </c>
      <c r="G158" s="2"/>
      <c r="H158" s="2">
        <f>SUM(OSRRefH22_6x_0)</f>
        <v>0</v>
      </c>
      <c r="I158" s="2"/>
      <c r="J158" s="6">
        <f t="shared" si="21"/>
        <v>0</v>
      </c>
      <c r="K158" s="2"/>
      <c r="L158" s="2">
        <f t="shared" si="22"/>
        <v>-17.57</v>
      </c>
      <c r="M158" s="2"/>
      <c r="N158" s="6">
        <f t="shared" si="23"/>
        <v>0</v>
      </c>
      <c r="O158" s="14"/>
      <c r="P158" s="2">
        <f>SUM(OSRRefP22_6x_0)</f>
        <v>1989.08</v>
      </c>
      <c r="Q158" s="2"/>
      <c r="R158" s="6">
        <f t="shared" si="24"/>
        <v>2.645295221931449E-4</v>
      </c>
      <c r="S158" s="2"/>
      <c r="T158" s="2">
        <f>SUM(OSRRefT22_6x_0)</f>
        <v>-15.43</v>
      </c>
      <c r="U158" s="2"/>
      <c r="V158" s="6">
        <f t="shared" si="25"/>
        <v>-2.96195239124732E-6</v>
      </c>
      <c r="W158" s="2"/>
      <c r="X158" s="2">
        <f t="shared" si="26"/>
        <v>2004.51</v>
      </c>
      <c r="Y158" s="2"/>
      <c r="Z158" s="6">
        <f t="shared" si="27"/>
        <v>-129.90991574854181</v>
      </c>
    </row>
    <row r="159" spans="1:26" s="69" customFormat="1" ht="15" hidden="1" customHeight="1" outlineLevel="2" x14ac:dyDescent="0.25">
      <c r="A159" s="25"/>
      <c r="B159" s="12" t="str">
        <f>CONCATENATE("          ","6382"," - ","DISCOUNTS/MARK DOWNS")</f>
        <v xml:space="preserve">          6382 - DISCOUNTS/MARK DOWNS</v>
      </c>
      <c r="C159" s="12"/>
      <c r="D159" s="7"/>
      <c r="E159" s="3"/>
      <c r="F159" s="8">
        <f t="shared" si="20"/>
        <v>0</v>
      </c>
      <c r="G159" s="3"/>
      <c r="H159" s="7">
        <v>0</v>
      </c>
      <c r="I159" s="3"/>
      <c r="J159" s="8">
        <f t="shared" si="21"/>
        <v>0</v>
      </c>
      <c r="K159" s="3"/>
      <c r="L159" s="7">
        <f t="shared" si="22"/>
        <v>0</v>
      </c>
      <c r="M159" s="3"/>
      <c r="N159" s="8">
        <f t="shared" si="23"/>
        <v>0</v>
      </c>
      <c r="O159" s="12"/>
      <c r="P159" s="7">
        <v>2171.35</v>
      </c>
      <c r="Q159" s="3"/>
      <c r="R159" s="8">
        <f t="shared" si="24"/>
        <v>2.8876977196195484E-4</v>
      </c>
      <c r="S159" s="3"/>
      <c r="T159" s="7">
        <v>0</v>
      </c>
      <c r="U159" s="3"/>
      <c r="V159" s="8">
        <f t="shared" si="25"/>
        <v>0</v>
      </c>
      <c r="W159" s="3"/>
      <c r="X159" s="7">
        <f t="shared" si="26"/>
        <v>2171.35</v>
      </c>
      <c r="Y159" s="3"/>
      <c r="Z159" s="8">
        <f t="shared" si="27"/>
        <v>0</v>
      </c>
    </row>
    <row r="160" spans="1:26" s="69" customFormat="1" ht="15" hidden="1" customHeight="1" outlineLevel="2" x14ac:dyDescent="0.25">
      <c r="A160" s="25"/>
      <c r="B160" s="12" t="str">
        <f>CONCATENATE("          ","9175"," - ","EARNED DISCOUNTS")</f>
        <v xml:space="preserve">          9175 - EARNED DISCOUNTS</v>
      </c>
      <c r="C160" s="12"/>
      <c r="D160" s="7">
        <v>-17.57</v>
      </c>
      <c r="E160" s="3"/>
      <c r="F160" s="8">
        <f t="shared" ref="F160:F191" si="28">IF(D$12=0,0,D160/D$12)</f>
        <v>-2.0486255320071797E-5</v>
      </c>
      <c r="G160" s="3"/>
      <c r="H160" s="7">
        <v>0</v>
      </c>
      <c r="I160" s="3"/>
      <c r="J160" s="8">
        <f t="shared" ref="J160:J191" si="29">IF(H$12=0,0,H160/H$12)</f>
        <v>0</v>
      </c>
      <c r="K160" s="3"/>
      <c r="L160" s="7">
        <f t="shared" ref="L160:L191" si="30">+D160-H160</f>
        <v>-17.57</v>
      </c>
      <c r="M160" s="3"/>
      <c r="N160" s="8">
        <f t="shared" ref="N160:N191" si="31">IF(H160=0,0,L160/H160)</f>
        <v>0</v>
      </c>
      <c r="O160" s="12"/>
      <c r="P160" s="7">
        <v>-182.27</v>
      </c>
      <c r="Q160" s="3"/>
      <c r="R160" s="8">
        <f t="shared" ref="R160:R191" si="32">IF(P$12=0,0,P160/P$12)</f>
        <v>-2.4240249768809962E-5</v>
      </c>
      <c r="S160" s="3"/>
      <c r="T160" s="7">
        <v>-15.43</v>
      </c>
      <c r="U160" s="3"/>
      <c r="V160" s="8">
        <f t="shared" ref="V160:V191" si="33">IF(T$12=0,0,T160/T$12)</f>
        <v>-2.96195239124732E-6</v>
      </c>
      <c r="W160" s="3"/>
      <c r="X160" s="7">
        <f t="shared" ref="X160:X191" si="34">+P160-T160</f>
        <v>-166.84</v>
      </c>
      <c r="Y160" s="3"/>
      <c r="Z160" s="8">
        <f t="shared" ref="Z160:Z191" si="35">IF(T160=0,0,X160/T160)</f>
        <v>10.812702527543747</v>
      </c>
    </row>
    <row r="161" spans="1:26" s="68" customFormat="1" ht="15" customHeight="1" outlineLevel="1" collapsed="1" x14ac:dyDescent="0.25">
      <c r="A161" s="26"/>
      <c r="B161" s="14" t="str">
        <f>CONCATENATE("     ","Donations                                         ")</f>
        <v xml:space="preserve">     Donations                                         </v>
      </c>
      <c r="C161" s="14"/>
      <c r="D161" s="2">
        <f>SUM(OSRRefD22_7x_0)</f>
        <v>132.07</v>
      </c>
      <c r="E161" s="2"/>
      <c r="F161" s="6">
        <f t="shared" si="28"/>
        <v>1.5399087877756871E-4</v>
      </c>
      <c r="G161" s="2"/>
      <c r="H161" s="2">
        <f>SUM(OSRRefH22_7x_0)</f>
        <v>0</v>
      </c>
      <c r="I161" s="2"/>
      <c r="J161" s="6">
        <f t="shared" si="29"/>
        <v>0</v>
      </c>
      <c r="K161" s="2"/>
      <c r="L161" s="2">
        <f t="shared" si="30"/>
        <v>132.07</v>
      </c>
      <c r="M161" s="2"/>
      <c r="N161" s="6">
        <f t="shared" si="31"/>
        <v>0</v>
      </c>
      <c r="O161" s="14"/>
      <c r="P161" s="2">
        <f>SUM(OSRRefP22_7x_0)</f>
        <v>7438.87</v>
      </c>
      <c r="Q161" s="2"/>
      <c r="R161" s="6">
        <f t="shared" si="32"/>
        <v>9.893019520365795E-4</v>
      </c>
      <c r="S161" s="2"/>
      <c r="T161" s="2">
        <f>SUM(OSRRefT22_7x_0)</f>
        <v>360.9</v>
      </c>
      <c r="U161" s="2"/>
      <c r="V161" s="6">
        <f t="shared" si="33"/>
        <v>6.9278588334488518E-5</v>
      </c>
      <c r="W161" s="2"/>
      <c r="X161" s="2">
        <f t="shared" si="34"/>
        <v>7077.97</v>
      </c>
      <c r="Y161" s="2"/>
      <c r="Z161" s="6">
        <f t="shared" si="35"/>
        <v>19.611997783319481</v>
      </c>
    </row>
    <row r="162" spans="1:26" s="69" customFormat="1" ht="15" hidden="1" customHeight="1" outlineLevel="2" x14ac:dyDescent="0.25">
      <c r="A162" s="25"/>
      <c r="B162" s="12" t="str">
        <f>CONCATENATE("          ","6399"," - ","DONATION-ON CAMPUS")</f>
        <v xml:space="preserve">          6399 - DONATION-ON CAMPUS</v>
      </c>
      <c r="C162" s="12"/>
      <c r="D162" s="7">
        <v>132.07</v>
      </c>
      <c r="E162" s="3"/>
      <c r="F162" s="8">
        <f t="shared" si="28"/>
        <v>1.5399087877756871E-4</v>
      </c>
      <c r="G162" s="3"/>
      <c r="H162" s="7"/>
      <c r="I162" s="3"/>
      <c r="J162" s="8">
        <f t="shared" si="29"/>
        <v>0</v>
      </c>
      <c r="K162" s="3"/>
      <c r="L162" s="7">
        <f t="shared" si="30"/>
        <v>132.07</v>
      </c>
      <c r="M162" s="3"/>
      <c r="N162" s="8">
        <f t="shared" si="31"/>
        <v>0</v>
      </c>
      <c r="O162" s="12"/>
      <c r="P162" s="7">
        <v>7438.87</v>
      </c>
      <c r="Q162" s="3"/>
      <c r="R162" s="8">
        <f t="shared" si="32"/>
        <v>9.893019520365795E-4</v>
      </c>
      <c r="S162" s="3"/>
      <c r="T162" s="7">
        <v>360.9</v>
      </c>
      <c r="U162" s="3"/>
      <c r="V162" s="8">
        <f t="shared" si="33"/>
        <v>6.9278588334488518E-5</v>
      </c>
      <c r="W162" s="3"/>
      <c r="X162" s="7">
        <f t="shared" si="34"/>
        <v>7077.97</v>
      </c>
      <c r="Y162" s="3"/>
      <c r="Z162" s="8">
        <f t="shared" si="35"/>
        <v>19.611997783319481</v>
      </c>
    </row>
    <row r="163" spans="1:26" s="68" customFormat="1" ht="15" customHeight="1" outlineLevel="1" collapsed="1" x14ac:dyDescent="0.25">
      <c r="A163" s="26"/>
      <c r="B163" s="14" t="str">
        <f>CONCATENATE("     ","Employees' Appreciation                           ")</f>
        <v xml:space="preserve">     Employees' Appreciation                           </v>
      </c>
      <c r="C163" s="14"/>
      <c r="D163" s="2">
        <f>SUM(OSRRefD22_8x_0)</f>
        <v>21.5</v>
      </c>
      <c r="E163" s="2"/>
      <c r="F163" s="6">
        <f t="shared" si="28"/>
        <v>2.5068553749660991E-5</v>
      </c>
      <c r="G163" s="2"/>
      <c r="H163" s="2">
        <f>SUM(OSRRefH22_8x_0)</f>
        <v>0</v>
      </c>
      <c r="I163" s="2"/>
      <c r="J163" s="6">
        <f t="shared" si="29"/>
        <v>0</v>
      </c>
      <c r="K163" s="2"/>
      <c r="L163" s="2">
        <f t="shared" si="30"/>
        <v>21.5</v>
      </c>
      <c r="M163" s="2"/>
      <c r="N163" s="6">
        <f t="shared" si="31"/>
        <v>0</v>
      </c>
      <c r="O163" s="14"/>
      <c r="P163" s="2">
        <f>SUM(OSRRefP22_8x_0)</f>
        <v>4341.38</v>
      </c>
      <c r="Q163" s="2"/>
      <c r="R163" s="6">
        <f t="shared" si="32"/>
        <v>5.7736399594730998E-4</v>
      </c>
      <c r="S163" s="2"/>
      <c r="T163" s="2">
        <f>SUM(OSRRefT22_8x_0)</f>
        <v>186.03</v>
      </c>
      <c r="U163" s="2"/>
      <c r="V163" s="6">
        <f t="shared" si="33"/>
        <v>3.5710434435757546E-5</v>
      </c>
      <c r="W163" s="2"/>
      <c r="X163" s="2">
        <f t="shared" si="34"/>
        <v>4155.3500000000004</v>
      </c>
      <c r="Y163" s="2"/>
      <c r="Z163" s="6">
        <f t="shared" si="35"/>
        <v>22.336988657743376</v>
      </c>
    </row>
    <row r="164" spans="1:26" s="69" customFormat="1" ht="15" hidden="1" customHeight="1" outlineLevel="2" x14ac:dyDescent="0.25">
      <c r="A164" s="25"/>
      <c r="B164" s="12" t="str">
        <f>CONCATENATE("          ","6277"," - ","EMPLOYEE APPRECIATION")</f>
        <v xml:space="preserve">          6277 - EMPLOYEE APPRECIATION</v>
      </c>
      <c r="C164" s="12"/>
      <c r="D164" s="7">
        <v>21.5</v>
      </c>
      <c r="E164" s="3"/>
      <c r="F164" s="8">
        <f t="shared" si="28"/>
        <v>2.5068553749660991E-5</v>
      </c>
      <c r="G164" s="3"/>
      <c r="H164" s="7"/>
      <c r="I164" s="3"/>
      <c r="J164" s="8">
        <f t="shared" si="29"/>
        <v>0</v>
      </c>
      <c r="K164" s="3"/>
      <c r="L164" s="7">
        <f t="shared" si="30"/>
        <v>21.5</v>
      </c>
      <c r="M164" s="3"/>
      <c r="N164" s="8">
        <f t="shared" si="31"/>
        <v>0</v>
      </c>
      <c r="O164" s="12"/>
      <c r="P164" s="7">
        <v>4341.38</v>
      </c>
      <c r="Q164" s="3"/>
      <c r="R164" s="8">
        <f t="shared" si="32"/>
        <v>5.7736399594730998E-4</v>
      </c>
      <c r="S164" s="3"/>
      <c r="T164" s="7">
        <v>186.03</v>
      </c>
      <c r="U164" s="3"/>
      <c r="V164" s="8">
        <f t="shared" si="33"/>
        <v>3.5710434435757546E-5</v>
      </c>
      <c r="W164" s="3"/>
      <c r="X164" s="7">
        <f t="shared" si="34"/>
        <v>4155.3500000000004</v>
      </c>
      <c r="Y164" s="3"/>
      <c r="Z164" s="8">
        <f t="shared" si="35"/>
        <v>22.336988657743376</v>
      </c>
    </row>
    <row r="165" spans="1:26" s="68" customFormat="1" ht="15" customHeight="1" outlineLevel="1" collapsed="1" x14ac:dyDescent="0.25">
      <c r="A165" s="26"/>
      <c r="B165" s="14" t="str">
        <f>CONCATENATE("     ","Equipment Rental                                  ")</f>
        <v xml:space="preserve">     Equipment Rental                                  </v>
      </c>
      <c r="C165" s="14"/>
      <c r="D165" s="2">
        <f>SUM(OSRRefD22_9x_0)</f>
        <v>1712.05</v>
      </c>
      <c r="E165" s="2"/>
      <c r="F165" s="6">
        <f t="shared" si="28"/>
        <v>1.9962147649817256E-3</v>
      </c>
      <c r="G165" s="2"/>
      <c r="H165" s="2">
        <f>SUM(OSRRefH22_9x_0)</f>
        <v>1712.05</v>
      </c>
      <c r="I165" s="2"/>
      <c r="J165" s="6">
        <f t="shared" si="29"/>
        <v>3.378408111384124E-3</v>
      </c>
      <c r="K165" s="2"/>
      <c r="L165" s="2">
        <f t="shared" si="30"/>
        <v>0</v>
      </c>
      <c r="M165" s="2"/>
      <c r="N165" s="6">
        <f t="shared" si="31"/>
        <v>0</v>
      </c>
      <c r="O165" s="14"/>
      <c r="P165" s="2">
        <f>SUM(OSRRefP22_9x_0)</f>
        <v>17510.36</v>
      </c>
      <c r="Q165" s="2"/>
      <c r="R165" s="6">
        <f t="shared" si="32"/>
        <v>2.3287183844943175E-3</v>
      </c>
      <c r="S165" s="2"/>
      <c r="T165" s="2">
        <f>SUM(OSRRefT22_9x_0)</f>
        <v>16546.22</v>
      </c>
      <c r="U165" s="2"/>
      <c r="V165" s="6">
        <f t="shared" si="33"/>
        <v>3.1762226762867296E-3</v>
      </c>
      <c r="W165" s="2"/>
      <c r="X165" s="2">
        <f t="shared" si="34"/>
        <v>964.13999999999942</v>
      </c>
      <c r="Y165" s="2"/>
      <c r="Z165" s="6">
        <f t="shared" si="35"/>
        <v>5.8269502037323291E-2</v>
      </c>
    </row>
    <row r="166" spans="1:26" s="69" customFormat="1" ht="15" hidden="1" customHeight="1" outlineLevel="2" x14ac:dyDescent="0.25">
      <c r="A166" s="25"/>
      <c r="B166" s="12" t="str">
        <f>CONCATENATE("          ","6351"," - ","EQUIPMENT RENTAL")</f>
        <v xml:space="preserve">          6351 - EQUIPMENT RENTAL</v>
      </c>
      <c r="C166" s="12"/>
      <c r="D166" s="7">
        <v>1712.05</v>
      </c>
      <c r="E166" s="3"/>
      <c r="F166" s="8">
        <f t="shared" si="28"/>
        <v>1.9962147649817256E-3</v>
      </c>
      <c r="G166" s="3"/>
      <c r="H166" s="7">
        <v>1712.05</v>
      </c>
      <c r="I166" s="3"/>
      <c r="J166" s="8">
        <f t="shared" si="29"/>
        <v>3.378408111384124E-3</v>
      </c>
      <c r="K166" s="3"/>
      <c r="L166" s="7">
        <f t="shared" si="30"/>
        <v>0</v>
      </c>
      <c r="M166" s="3"/>
      <c r="N166" s="8">
        <f t="shared" si="31"/>
        <v>0</v>
      </c>
      <c r="O166" s="12"/>
      <c r="P166" s="7">
        <v>17510.36</v>
      </c>
      <c r="Q166" s="3"/>
      <c r="R166" s="8">
        <f t="shared" si="32"/>
        <v>2.3287183844943175E-3</v>
      </c>
      <c r="S166" s="3"/>
      <c r="T166" s="7">
        <v>16546.22</v>
      </c>
      <c r="U166" s="3"/>
      <c r="V166" s="8">
        <f t="shared" si="33"/>
        <v>3.1762226762867296E-3</v>
      </c>
      <c r="W166" s="3"/>
      <c r="X166" s="7">
        <f t="shared" si="34"/>
        <v>964.13999999999942</v>
      </c>
      <c r="Y166" s="3"/>
      <c r="Z166" s="8">
        <f t="shared" si="35"/>
        <v>5.8269502037323291E-2</v>
      </c>
    </row>
    <row r="167" spans="1:26" s="68" customFormat="1" ht="15" customHeight="1" outlineLevel="1" collapsed="1" x14ac:dyDescent="0.25">
      <c r="A167" s="26"/>
      <c r="B167" s="14" t="str">
        <f>CONCATENATE("     ","Freight out/Postage                               ")</f>
        <v xml:space="preserve">     Freight out/Postage                               </v>
      </c>
      <c r="C167" s="14"/>
      <c r="D167" s="2">
        <f>SUM(OSRRefD22_10x_0)</f>
        <v>-1240.0600000000004</v>
      </c>
      <c r="E167" s="2"/>
      <c r="F167" s="6">
        <f t="shared" si="28"/>
        <v>-1.4458842215257963E-3</v>
      </c>
      <c r="G167" s="2"/>
      <c r="H167" s="2">
        <f>SUM(OSRRefH22_10x_0)</f>
        <v>-20865.219999999998</v>
      </c>
      <c r="I167" s="2"/>
      <c r="J167" s="6">
        <f t="shared" si="29"/>
        <v>-4.1173580499292803E-2</v>
      </c>
      <c r="K167" s="2"/>
      <c r="L167" s="2">
        <f t="shared" si="30"/>
        <v>19625.159999999996</v>
      </c>
      <c r="M167" s="2"/>
      <c r="N167" s="6">
        <f t="shared" si="31"/>
        <v>-0.94056808411317971</v>
      </c>
      <c r="O167" s="14"/>
      <c r="P167" s="2">
        <f>SUM(OSRRefP22_10x_0)</f>
        <v>-45218.649999999994</v>
      </c>
      <c r="Q167" s="2"/>
      <c r="R167" s="6">
        <f t="shared" si="32"/>
        <v>-6.0136685697503613E-3</v>
      </c>
      <c r="S167" s="2"/>
      <c r="T167" s="2">
        <f>SUM(OSRRefT22_10x_0)</f>
        <v>-67886.76999999996</v>
      </c>
      <c r="U167" s="2"/>
      <c r="V167" s="6">
        <f t="shared" si="33"/>
        <v>-1.3031586567437246E-2</v>
      </c>
      <c r="W167" s="2"/>
      <c r="X167" s="2">
        <f t="shared" si="34"/>
        <v>22668.119999999966</v>
      </c>
      <c r="Y167" s="2"/>
      <c r="Z167" s="6">
        <f t="shared" si="35"/>
        <v>-0.33391071632955849</v>
      </c>
    </row>
    <row r="168" spans="1:26" s="69" customFormat="1" ht="15" hidden="1" customHeight="1" outlineLevel="2" x14ac:dyDescent="0.25">
      <c r="A168" s="25"/>
      <c r="B168" s="12" t="str">
        <f>CONCATENATE("          ","6305"," - ","FREIGHT OUT")</f>
        <v xml:space="preserve">          6305 - FREIGHT OUT</v>
      </c>
      <c r="C168" s="12"/>
      <c r="D168" s="7">
        <v>8082.94</v>
      </c>
      <c r="E168" s="3"/>
      <c r="F168" s="8">
        <f t="shared" si="28"/>
        <v>9.4245402718737131E-3</v>
      </c>
      <c r="G168" s="3"/>
      <c r="H168" s="7">
        <v>22482.81</v>
      </c>
      <c r="I168" s="3"/>
      <c r="J168" s="8">
        <f t="shared" si="29"/>
        <v>4.4365589597680034E-2</v>
      </c>
      <c r="K168" s="3"/>
      <c r="L168" s="7">
        <f t="shared" si="30"/>
        <v>-14399.870000000003</v>
      </c>
      <c r="M168" s="3"/>
      <c r="N168" s="8">
        <f t="shared" si="31"/>
        <v>-0.64048355165568727</v>
      </c>
      <c r="O168" s="12"/>
      <c r="P168" s="7">
        <v>134420.12</v>
      </c>
      <c r="Q168" s="3"/>
      <c r="R168" s="8">
        <f t="shared" si="32"/>
        <v>1.7876651575977436E-2</v>
      </c>
      <c r="S168" s="3"/>
      <c r="T168" s="7">
        <v>224383.64</v>
      </c>
      <c r="U168" s="3"/>
      <c r="V168" s="8">
        <f t="shared" si="33"/>
        <v>4.3072823010679058E-2</v>
      </c>
      <c r="W168" s="3"/>
      <c r="X168" s="7">
        <f t="shared" si="34"/>
        <v>-89963.520000000019</v>
      </c>
      <c r="Y168" s="3"/>
      <c r="Z168" s="8">
        <f t="shared" si="35"/>
        <v>-0.40093618233486189</v>
      </c>
    </row>
    <row r="169" spans="1:26" s="69" customFormat="1" ht="15" hidden="1" customHeight="1" outlineLevel="2" x14ac:dyDescent="0.25">
      <c r="A169" s="25"/>
      <c r="B169" s="12" t="str">
        <f>CONCATENATE("          ","6307"," - ","POSTAGE")</f>
        <v xml:space="preserve">          6307 - POSTAGE</v>
      </c>
      <c r="C169" s="12"/>
      <c r="D169" s="7">
        <v>-9323</v>
      </c>
      <c r="E169" s="3"/>
      <c r="F169" s="8">
        <f t="shared" si="28"/>
        <v>-1.0870424493399509E-2</v>
      </c>
      <c r="G169" s="3"/>
      <c r="H169" s="7">
        <v>-43348.03</v>
      </c>
      <c r="I169" s="3"/>
      <c r="J169" s="8">
        <f t="shared" si="29"/>
        <v>-8.553917009697283E-2</v>
      </c>
      <c r="K169" s="3"/>
      <c r="L169" s="7">
        <f t="shared" si="30"/>
        <v>34025.03</v>
      </c>
      <c r="M169" s="3"/>
      <c r="N169" s="8">
        <f t="shared" si="31"/>
        <v>-0.78492678906054092</v>
      </c>
      <c r="O169" s="12"/>
      <c r="P169" s="7">
        <v>-179638.77</v>
      </c>
      <c r="Q169" s="3"/>
      <c r="R169" s="8">
        <f t="shared" si="32"/>
        <v>-2.3890320145727797E-2</v>
      </c>
      <c r="S169" s="3"/>
      <c r="T169" s="7">
        <v>-292270.40999999997</v>
      </c>
      <c r="U169" s="3"/>
      <c r="V169" s="8">
        <f t="shared" si="33"/>
        <v>-5.6104409578116306E-2</v>
      </c>
      <c r="W169" s="3"/>
      <c r="X169" s="7">
        <f t="shared" si="34"/>
        <v>112631.63999999998</v>
      </c>
      <c r="Y169" s="3"/>
      <c r="Z169" s="8">
        <f t="shared" si="35"/>
        <v>-0.38536792007100545</v>
      </c>
    </row>
    <row r="170" spans="1:26" s="68" customFormat="1" ht="15" customHeight="1" outlineLevel="1" collapsed="1" x14ac:dyDescent="0.25">
      <c r="A170" s="26"/>
      <c r="B170" s="14" t="str">
        <f>CONCATENATE("     ","General                                           ")</f>
        <v xml:space="preserve">     General                                           </v>
      </c>
      <c r="C170" s="14"/>
      <c r="D170" s="2">
        <f>SUM(OSRRefD22_11x_0)</f>
        <v>45.45</v>
      </c>
      <c r="E170" s="2"/>
      <c r="F170" s="6">
        <f t="shared" si="28"/>
        <v>5.2993756647539172E-5</v>
      </c>
      <c r="G170" s="2"/>
      <c r="H170" s="2">
        <f>SUM(OSRRefH22_11x_0)</f>
        <v>0</v>
      </c>
      <c r="I170" s="2"/>
      <c r="J170" s="6">
        <f t="shared" si="29"/>
        <v>0</v>
      </c>
      <c r="K170" s="2"/>
      <c r="L170" s="2">
        <f t="shared" si="30"/>
        <v>45.45</v>
      </c>
      <c r="M170" s="2"/>
      <c r="N170" s="6">
        <f t="shared" si="31"/>
        <v>0</v>
      </c>
      <c r="O170" s="14"/>
      <c r="P170" s="2">
        <f>SUM(OSRRefP22_11x_0)</f>
        <v>6485.51</v>
      </c>
      <c r="Q170" s="2"/>
      <c r="R170" s="6">
        <f t="shared" si="32"/>
        <v>8.625137558463526E-4</v>
      </c>
      <c r="S170" s="2"/>
      <c r="T170" s="2">
        <f>SUM(OSRRefT22_11x_0)</f>
        <v>2603.63</v>
      </c>
      <c r="U170" s="2"/>
      <c r="V170" s="6">
        <f t="shared" si="33"/>
        <v>4.9979443320954378E-4</v>
      </c>
      <c r="W170" s="2"/>
      <c r="X170" s="2">
        <f t="shared" si="34"/>
        <v>3881.88</v>
      </c>
      <c r="Y170" s="2"/>
      <c r="Z170" s="6">
        <f t="shared" si="35"/>
        <v>1.490949174805944</v>
      </c>
    </row>
    <row r="171" spans="1:26" s="69" customFormat="1" ht="15" hidden="1" customHeight="1" outlineLevel="2" x14ac:dyDescent="0.25">
      <c r="A171" s="25"/>
      <c r="B171" s="12" t="str">
        <f>CONCATENATE("          ","6279"," - ","GENERAL EXPENSE")</f>
        <v xml:space="preserve">          6279 - GENERAL EXPENSE</v>
      </c>
      <c r="C171" s="12"/>
      <c r="D171" s="7">
        <v>45.45</v>
      </c>
      <c r="E171" s="3"/>
      <c r="F171" s="8">
        <f t="shared" si="28"/>
        <v>5.2993756647539172E-5</v>
      </c>
      <c r="G171" s="3"/>
      <c r="H171" s="7"/>
      <c r="I171" s="3"/>
      <c r="J171" s="8">
        <f t="shared" si="29"/>
        <v>0</v>
      </c>
      <c r="K171" s="3"/>
      <c r="L171" s="7">
        <f t="shared" si="30"/>
        <v>45.45</v>
      </c>
      <c r="M171" s="3"/>
      <c r="N171" s="8">
        <f t="shared" si="31"/>
        <v>0</v>
      </c>
      <c r="O171" s="12"/>
      <c r="P171" s="7">
        <v>6485.51</v>
      </c>
      <c r="Q171" s="3"/>
      <c r="R171" s="8">
        <f t="shared" si="32"/>
        <v>8.625137558463526E-4</v>
      </c>
      <c r="S171" s="3"/>
      <c r="T171" s="7">
        <v>2603.63</v>
      </c>
      <c r="U171" s="3"/>
      <c r="V171" s="8">
        <f t="shared" si="33"/>
        <v>4.9979443320954378E-4</v>
      </c>
      <c r="W171" s="3"/>
      <c r="X171" s="7">
        <f t="shared" si="34"/>
        <v>3881.88</v>
      </c>
      <c r="Y171" s="3"/>
      <c r="Z171" s="8">
        <f t="shared" si="35"/>
        <v>1.490949174805944</v>
      </c>
    </row>
    <row r="172" spans="1:26" s="68" customFormat="1" ht="15" customHeight="1" outlineLevel="1" collapsed="1" x14ac:dyDescent="0.25">
      <c r="A172" s="26"/>
      <c r="B172" s="14" t="str">
        <f>CONCATENATE("     ","Insurance                                         ")</f>
        <v xml:space="preserve">     Insurance                                         </v>
      </c>
      <c r="C172" s="14"/>
      <c r="D172" s="2">
        <f>SUM(OSRRefD22_12x_0)</f>
        <v>5494.57</v>
      </c>
      <c r="E172" s="2"/>
      <c r="F172" s="6">
        <f t="shared" si="28"/>
        <v>6.406554575640688E-3</v>
      </c>
      <c r="G172" s="2"/>
      <c r="H172" s="2">
        <f>SUM(OSRRefH22_12x_0)</f>
        <v>4044.74</v>
      </c>
      <c r="I172" s="2"/>
      <c r="J172" s="6">
        <f t="shared" si="29"/>
        <v>7.9815323293360718E-3</v>
      </c>
      <c r="K172" s="2"/>
      <c r="L172" s="2">
        <f t="shared" si="30"/>
        <v>1449.83</v>
      </c>
      <c r="M172" s="2"/>
      <c r="N172" s="6">
        <f t="shared" si="31"/>
        <v>0.35844825625380122</v>
      </c>
      <c r="O172" s="14"/>
      <c r="P172" s="2">
        <f>SUM(OSRRefP22_12x_0)</f>
        <v>60440.27</v>
      </c>
      <c r="Q172" s="2"/>
      <c r="R172" s="6">
        <f t="shared" si="32"/>
        <v>8.0380053815455738E-3</v>
      </c>
      <c r="S172" s="2"/>
      <c r="T172" s="2">
        <f>SUM(OSRRefT22_12x_0)</f>
        <v>44492.14</v>
      </c>
      <c r="U172" s="2"/>
      <c r="V172" s="6">
        <f t="shared" si="33"/>
        <v>8.5407388505969236E-3</v>
      </c>
      <c r="W172" s="2"/>
      <c r="X172" s="2">
        <f t="shared" si="34"/>
        <v>15948.129999999997</v>
      </c>
      <c r="Y172" s="2"/>
      <c r="Z172" s="6">
        <f t="shared" si="35"/>
        <v>0.35844825625380117</v>
      </c>
    </row>
    <row r="173" spans="1:26" s="69" customFormat="1" ht="15" hidden="1" customHeight="1" outlineLevel="2" x14ac:dyDescent="0.25">
      <c r="A173" s="25"/>
      <c r="B173" s="12" t="str">
        <f>CONCATENATE("          ","6314"," - ","LIABILITY INSURANCE")</f>
        <v xml:space="preserve">          6314 - LIABILITY INSURANCE</v>
      </c>
      <c r="C173" s="12"/>
      <c r="D173" s="7">
        <v>5494.57</v>
      </c>
      <c r="E173" s="3"/>
      <c r="F173" s="8">
        <f t="shared" si="28"/>
        <v>6.406554575640688E-3</v>
      </c>
      <c r="G173" s="3"/>
      <c r="H173" s="7">
        <v>4044.74</v>
      </c>
      <c r="I173" s="3"/>
      <c r="J173" s="8">
        <f t="shared" si="29"/>
        <v>7.9815323293360718E-3</v>
      </c>
      <c r="K173" s="3"/>
      <c r="L173" s="7">
        <f t="shared" si="30"/>
        <v>1449.83</v>
      </c>
      <c r="M173" s="3"/>
      <c r="N173" s="8">
        <f t="shared" si="31"/>
        <v>0.35844825625380122</v>
      </c>
      <c r="O173" s="12"/>
      <c r="P173" s="7">
        <v>60440.27</v>
      </c>
      <c r="Q173" s="3"/>
      <c r="R173" s="8">
        <f t="shared" si="32"/>
        <v>8.0380053815455738E-3</v>
      </c>
      <c r="S173" s="3"/>
      <c r="T173" s="7">
        <v>44492.14</v>
      </c>
      <c r="U173" s="3"/>
      <c r="V173" s="8">
        <f t="shared" si="33"/>
        <v>8.5407388505969236E-3</v>
      </c>
      <c r="W173" s="3"/>
      <c r="X173" s="7">
        <f t="shared" si="34"/>
        <v>15948.129999999997</v>
      </c>
      <c r="Y173" s="3"/>
      <c r="Z173" s="8">
        <f t="shared" si="35"/>
        <v>0.35844825625380117</v>
      </c>
    </row>
    <row r="174" spans="1:26" s="68" customFormat="1" ht="15" customHeight="1" outlineLevel="1" collapsed="1" x14ac:dyDescent="0.25">
      <c r="A174" s="26"/>
      <c r="B174" s="14" t="str">
        <f>CONCATENATE("     ","Inventory Adjustment                              ")</f>
        <v xml:space="preserve">     Inventory Adjustment                              </v>
      </c>
      <c r="C174" s="14"/>
      <c r="D174" s="2">
        <f>SUM(OSRRefD22_13x_0)</f>
        <v>5100</v>
      </c>
      <c r="E174" s="2"/>
      <c r="F174" s="6">
        <f t="shared" si="28"/>
        <v>5.9464941452684215E-3</v>
      </c>
      <c r="G174" s="2"/>
      <c r="H174" s="2">
        <f>SUM(OSRRefH22_13x_0)</f>
        <v>2100</v>
      </c>
      <c r="I174" s="2"/>
      <c r="J174" s="6">
        <f t="shared" si="29"/>
        <v>4.1439543435686224E-3</v>
      </c>
      <c r="K174" s="2"/>
      <c r="L174" s="2">
        <f t="shared" si="30"/>
        <v>3000</v>
      </c>
      <c r="M174" s="2"/>
      <c r="N174" s="6">
        <f t="shared" si="31"/>
        <v>1.4285714285714286</v>
      </c>
      <c r="O174" s="14"/>
      <c r="P174" s="2">
        <f>SUM(OSRRefP22_13x_0)</f>
        <v>60100</v>
      </c>
      <c r="Q174" s="2"/>
      <c r="R174" s="6">
        <f t="shared" si="32"/>
        <v>7.9927525709413434E-3</v>
      </c>
      <c r="S174" s="2"/>
      <c r="T174" s="2">
        <f>SUM(OSRRefT22_13x_0)</f>
        <v>28100</v>
      </c>
      <c r="U174" s="2"/>
      <c r="V174" s="6">
        <f t="shared" si="33"/>
        <v>5.3940934668859171E-3</v>
      </c>
      <c r="W174" s="2"/>
      <c r="X174" s="2">
        <f t="shared" si="34"/>
        <v>32000</v>
      </c>
      <c r="Y174" s="2"/>
      <c r="Z174" s="6">
        <f t="shared" si="35"/>
        <v>1.1387900355871887</v>
      </c>
    </row>
    <row r="175" spans="1:26" s="69" customFormat="1" ht="15" hidden="1" customHeight="1" outlineLevel="2" x14ac:dyDescent="0.25">
      <c r="A175" s="25"/>
      <c r="B175" s="12" t="str">
        <f>CONCATENATE("          ","6408"," - ","INVENTORY ADJUSTMENT")</f>
        <v xml:space="preserve">          6408 - INVENTORY ADJUSTMENT</v>
      </c>
      <c r="C175" s="12"/>
      <c r="D175" s="7">
        <v>5100</v>
      </c>
      <c r="E175" s="3"/>
      <c r="F175" s="8">
        <f t="shared" si="28"/>
        <v>5.9464941452684215E-3</v>
      </c>
      <c r="G175" s="3"/>
      <c r="H175" s="7">
        <v>2100</v>
      </c>
      <c r="I175" s="3"/>
      <c r="J175" s="8">
        <f t="shared" si="29"/>
        <v>4.1439543435686224E-3</v>
      </c>
      <c r="K175" s="3"/>
      <c r="L175" s="7">
        <f t="shared" si="30"/>
        <v>3000</v>
      </c>
      <c r="M175" s="3"/>
      <c r="N175" s="8">
        <f t="shared" si="31"/>
        <v>1.4285714285714286</v>
      </c>
      <c r="O175" s="12"/>
      <c r="P175" s="7">
        <v>60100</v>
      </c>
      <c r="Q175" s="3"/>
      <c r="R175" s="8">
        <f t="shared" si="32"/>
        <v>7.9927525709413434E-3</v>
      </c>
      <c r="S175" s="3"/>
      <c r="T175" s="7">
        <v>28100</v>
      </c>
      <c r="U175" s="3"/>
      <c r="V175" s="8">
        <f t="shared" si="33"/>
        <v>5.3940934668859171E-3</v>
      </c>
      <c r="W175" s="3"/>
      <c r="X175" s="7">
        <f t="shared" si="34"/>
        <v>32000</v>
      </c>
      <c r="Y175" s="3"/>
      <c r="Z175" s="8">
        <f t="shared" si="35"/>
        <v>1.1387900355871887</v>
      </c>
    </row>
    <row r="176" spans="1:26" s="69" customFormat="1" ht="15" hidden="1" customHeight="1" outlineLevel="2" x14ac:dyDescent="0.25">
      <c r="A176" s="25"/>
      <c r="B176" s="12" t="str">
        <f>CONCATENATE("          ","7741"," - ","INV. SHRINKAGE-LOGO GIFTS")</f>
        <v xml:space="preserve">          7741 - INV. SHRINKAGE-LOGO GIFTS</v>
      </c>
      <c r="C176" s="12"/>
      <c r="D176" s="7"/>
      <c r="E176" s="3"/>
      <c r="F176" s="8">
        <f t="shared" si="28"/>
        <v>0</v>
      </c>
      <c r="G176" s="3"/>
      <c r="H176" s="7"/>
      <c r="I176" s="3"/>
      <c r="J176" s="8">
        <f t="shared" si="29"/>
        <v>0</v>
      </c>
      <c r="K176" s="3"/>
      <c r="L176" s="7">
        <f t="shared" si="30"/>
        <v>0</v>
      </c>
      <c r="M176" s="3"/>
      <c r="N176" s="8">
        <f t="shared" si="31"/>
        <v>0</v>
      </c>
      <c r="O176" s="12"/>
      <c r="P176" s="7"/>
      <c r="Q176" s="3"/>
      <c r="R176" s="8">
        <f t="shared" si="32"/>
        <v>0</v>
      </c>
      <c r="S176" s="3"/>
      <c r="T176" s="7">
        <v>0</v>
      </c>
      <c r="U176" s="3"/>
      <c r="V176" s="8">
        <f t="shared" si="33"/>
        <v>0</v>
      </c>
      <c r="W176" s="3"/>
      <c r="X176" s="7">
        <f t="shared" si="34"/>
        <v>0</v>
      </c>
      <c r="Y176" s="3"/>
      <c r="Z176" s="8">
        <f t="shared" si="35"/>
        <v>0</v>
      </c>
    </row>
    <row r="177" spans="1:26" s="68" customFormat="1" ht="15" customHeight="1" outlineLevel="1" collapsed="1" x14ac:dyDescent="0.25">
      <c r="A177" s="26"/>
      <c r="B177" s="14" t="str">
        <f>CONCATENATE("     ","Professional Services                             ")</f>
        <v xml:space="preserve">     Professional Services                             </v>
      </c>
      <c r="C177" s="14"/>
      <c r="D177" s="2">
        <f>SUM(OSRRefD22_14x_0)</f>
        <v>0</v>
      </c>
      <c r="E177" s="2"/>
      <c r="F177" s="6">
        <f t="shared" si="28"/>
        <v>0</v>
      </c>
      <c r="G177" s="2"/>
      <c r="H177" s="2">
        <f>SUM(OSRRefH22_14x_0)</f>
        <v>0</v>
      </c>
      <c r="I177" s="2"/>
      <c r="J177" s="6">
        <f t="shared" si="29"/>
        <v>0</v>
      </c>
      <c r="K177" s="2"/>
      <c r="L177" s="2">
        <f t="shared" si="30"/>
        <v>0</v>
      </c>
      <c r="M177" s="2"/>
      <c r="N177" s="6">
        <f t="shared" si="31"/>
        <v>0</v>
      </c>
      <c r="O177" s="14"/>
      <c r="P177" s="2">
        <f>SUM(OSRRefP22_14x_0)</f>
        <v>9626.5300000000007</v>
      </c>
      <c r="Q177" s="2"/>
      <c r="R177" s="6">
        <f t="shared" si="32"/>
        <v>1.2802408054366718E-3</v>
      </c>
      <c r="S177" s="2"/>
      <c r="T177" s="2">
        <f>SUM(OSRRefT22_14x_0)</f>
        <v>0</v>
      </c>
      <c r="U177" s="2"/>
      <c r="V177" s="6">
        <f t="shared" si="33"/>
        <v>0</v>
      </c>
      <c r="W177" s="2"/>
      <c r="X177" s="2">
        <f t="shared" si="34"/>
        <v>9626.5300000000007</v>
      </c>
      <c r="Y177" s="2"/>
      <c r="Z177" s="6">
        <f t="shared" si="35"/>
        <v>0</v>
      </c>
    </row>
    <row r="178" spans="1:26" s="69" customFormat="1" ht="15" hidden="1" customHeight="1" outlineLevel="2" x14ac:dyDescent="0.25">
      <c r="A178" s="25"/>
      <c r="B178" s="12" t="str">
        <f>CONCATENATE("          ","6336"," - ","PROFESSIONAL SERVICES")</f>
        <v xml:space="preserve">          6336 - PROFESSIONAL SERVICES</v>
      </c>
      <c r="C178" s="12"/>
      <c r="D178" s="7"/>
      <c r="E178" s="3"/>
      <c r="F178" s="8">
        <f t="shared" si="28"/>
        <v>0</v>
      </c>
      <c r="G178" s="3"/>
      <c r="H178" s="7"/>
      <c r="I178" s="3"/>
      <c r="J178" s="8">
        <f t="shared" si="29"/>
        <v>0</v>
      </c>
      <c r="K178" s="3"/>
      <c r="L178" s="7">
        <f t="shared" si="30"/>
        <v>0</v>
      </c>
      <c r="M178" s="3"/>
      <c r="N178" s="8">
        <f t="shared" si="31"/>
        <v>0</v>
      </c>
      <c r="O178" s="12"/>
      <c r="P178" s="7">
        <v>9626.5300000000007</v>
      </c>
      <c r="Q178" s="3"/>
      <c r="R178" s="8">
        <f t="shared" si="32"/>
        <v>1.2802408054366718E-3</v>
      </c>
      <c r="S178" s="3"/>
      <c r="T178" s="7"/>
      <c r="U178" s="3"/>
      <c r="V178" s="8">
        <f t="shared" si="33"/>
        <v>0</v>
      </c>
      <c r="W178" s="3"/>
      <c r="X178" s="7">
        <f t="shared" si="34"/>
        <v>9626.5300000000007</v>
      </c>
      <c r="Y178" s="3"/>
      <c r="Z178" s="8">
        <f t="shared" si="35"/>
        <v>0</v>
      </c>
    </row>
    <row r="179" spans="1:26" s="68" customFormat="1" ht="15" customHeight="1" outlineLevel="1" collapsed="1" x14ac:dyDescent="0.25">
      <c r="A179" s="26"/>
      <c r="B179" s="14" t="str">
        <f>CONCATENATE("     ","Rent                                              ")</f>
        <v xml:space="preserve">     Rent                                              </v>
      </c>
      <c r="C179" s="14"/>
      <c r="D179" s="2">
        <f>SUM(OSRRefD22_15x_0)</f>
        <v>6100</v>
      </c>
      <c r="E179" s="2"/>
      <c r="F179" s="6">
        <f t="shared" si="28"/>
        <v>7.1124733894387003E-3</v>
      </c>
      <c r="G179" s="2"/>
      <c r="H179" s="2">
        <f>SUM(OSRRefH22_15x_0)</f>
        <v>6100</v>
      </c>
      <c r="I179" s="2"/>
      <c r="J179" s="6">
        <f t="shared" si="29"/>
        <v>1.2037200712270761E-2</v>
      </c>
      <c r="K179" s="2"/>
      <c r="L179" s="2">
        <f t="shared" si="30"/>
        <v>0</v>
      </c>
      <c r="M179" s="2"/>
      <c r="N179" s="6">
        <f t="shared" si="31"/>
        <v>0</v>
      </c>
      <c r="O179" s="14"/>
      <c r="P179" s="2">
        <f>SUM(OSRRefP22_15x_0)</f>
        <v>67100</v>
      </c>
      <c r="Q179" s="2"/>
      <c r="R179" s="6">
        <f t="shared" si="32"/>
        <v>8.9236888104852596E-3</v>
      </c>
      <c r="S179" s="2"/>
      <c r="T179" s="2">
        <f>SUM(OSRRefT22_15x_0)</f>
        <v>67100</v>
      </c>
      <c r="U179" s="2"/>
      <c r="V179" s="6">
        <f t="shared" si="33"/>
        <v>1.2880557709183097E-2</v>
      </c>
      <c r="W179" s="2"/>
      <c r="X179" s="2">
        <f t="shared" si="34"/>
        <v>0</v>
      </c>
      <c r="Y179" s="2"/>
      <c r="Z179" s="6">
        <f t="shared" si="35"/>
        <v>0</v>
      </c>
    </row>
    <row r="180" spans="1:26" s="69" customFormat="1" ht="15" hidden="1" customHeight="1" outlineLevel="2" x14ac:dyDescent="0.25">
      <c r="A180" s="25"/>
      <c r="B180" s="12" t="str">
        <f>CONCATENATE("          ","6273"," - ","RENT")</f>
        <v xml:space="preserve">          6273 - RENT</v>
      </c>
      <c r="C180" s="12"/>
      <c r="D180" s="7">
        <v>6100</v>
      </c>
      <c r="E180" s="3"/>
      <c r="F180" s="8">
        <f t="shared" si="28"/>
        <v>7.1124733894387003E-3</v>
      </c>
      <c r="G180" s="3"/>
      <c r="H180" s="7">
        <v>6100</v>
      </c>
      <c r="I180" s="3"/>
      <c r="J180" s="8">
        <f t="shared" si="29"/>
        <v>1.2037200712270761E-2</v>
      </c>
      <c r="K180" s="3"/>
      <c r="L180" s="7">
        <f t="shared" si="30"/>
        <v>0</v>
      </c>
      <c r="M180" s="3"/>
      <c r="N180" s="8">
        <f t="shared" si="31"/>
        <v>0</v>
      </c>
      <c r="O180" s="12"/>
      <c r="P180" s="7">
        <v>67100</v>
      </c>
      <c r="Q180" s="3"/>
      <c r="R180" s="8">
        <f t="shared" si="32"/>
        <v>8.9236888104852596E-3</v>
      </c>
      <c r="S180" s="3"/>
      <c r="T180" s="7">
        <v>67100</v>
      </c>
      <c r="U180" s="3"/>
      <c r="V180" s="8">
        <f t="shared" si="33"/>
        <v>1.2880557709183097E-2</v>
      </c>
      <c r="W180" s="3"/>
      <c r="X180" s="7">
        <f t="shared" si="34"/>
        <v>0</v>
      </c>
      <c r="Y180" s="3"/>
      <c r="Z180" s="8">
        <f t="shared" si="35"/>
        <v>0</v>
      </c>
    </row>
    <row r="181" spans="1:26" s="68" customFormat="1" ht="15" customHeight="1" outlineLevel="1" collapsed="1" x14ac:dyDescent="0.25">
      <c r="A181" s="26"/>
      <c r="B181" s="14" t="str">
        <f>CONCATENATE("     ","Repair and Maintenance                            ")</f>
        <v xml:space="preserve">     Repair and Maintenance                            </v>
      </c>
      <c r="C181" s="14"/>
      <c r="D181" s="2">
        <f>SUM(OSRRefD22_16x_0)</f>
        <v>5559.93</v>
      </c>
      <c r="E181" s="2"/>
      <c r="F181" s="6">
        <f t="shared" si="28"/>
        <v>6.4827629790396579E-3</v>
      </c>
      <c r="G181" s="2"/>
      <c r="H181" s="2">
        <f>SUM(OSRRefH22_16x_0)</f>
        <v>9239.2199999999993</v>
      </c>
      <c r="I181" s="2"/>
      <c r="J181" s="6">
        <f t="shared" si="29"/>
        <v>1.8231859928660041E-2</v>
      </c>
      <c r="K181" s="2"/>
      <c r="L181" s="2">
        <f t="shared" si="30"/>
        <v>-3679.2899999999991</v>
      </c>
      <c r="M181" s="2"/>
      <c r="N181" s="6">
        <f t="shared" si="31"/>
        <v>-0.39822517485242254</v>
      </c>
      <c r="O181" s="14"/>
      <c r="P181" s="2">
        <f>SUM(OSRRefP22_16x_0)</f>
        <v>142570.39000000001</v>
      </c>
      <c r="Q181" s="2"/>
      <c r="R181" s="6">
        <f t="shared" si="32"/>
        <v>1.8960563248129954E-2</v>
      </c>
      <c r="S181" s="2"/>
      <c r="T181" s="2">
        <f>SUM(OSRRefT22_16x_0)</f>
        <v>142154.91</v>
      </c>
      <c r="U181" s="2"/>
      <c r="V181" s="6">
        <f t="shared" si="33"/>
        <v>2.7288144886717276E-2</v>
      </c>
      <c r="W181" s="2"/>
      <c r="X181" s="2">
        <f t="shared" si="34"/>
        <v>415.48000000001048</v>
      </c>
      <c r="Y181" s="2"/>
      <c r="Z181" s="6">
        <f t="shared" si="35"/>
        <v>2.9227270447430235E-3</v>
      </c>
    </row>
    <row r="182" spans="1:26" s="69" customFormat="1" ht="15" hidden="1" customHeight="1" outlineLevel="2" x14ac:dyDescent="0.25">
      <c r="A182" s="25"/>
      <c r="B182" s="12" t="str">
        <f>CONCATENATE("          ","6371"," - ","COMPUTER SOFTWARE MAINTENANCE")</f>
        <v xml:space="preserve">          6371 - COMPUTER SOFTWARE MAINTENANCE</v>
      </c>
      <c r="C182" s="12"/>
      <c r="D182" s="7"/>
      <c r="E182" s="3"/>
      <c r="F182" s="8">
        <f t="shared" si="28"/>
        <v>0</v>
      </c>
      <c r="G182" s="3"/>
      <c r="H182" s="7"/>
      <c r="I182" s="3"/>
      <c r="J182" s="8">
        <f t="shared" si="29"/>
        <v>0</v>
      </c>
      <c r="K182" s="3"/>
      <c r="L182" s="7">
        <f t="shared" si="30"/>
        <v>0</v>
      </c>
      <c r="M182" s="3"/>
      <c r="N182" s="8">
        <f t="shared" si="31"/>
        <v>0</v>
      </c>
      <c r="O182" s="12"/>
      <c r="P182" s="7">
        <v>62511</v>
      </c>
      <c r="Q182" s="3"/>
      <c r="R182" s="8">
        <f t="shared" si="32"/>
        <v>8.3133936100185414E-3</v>
      </c>
      <c r="S182" s="3"/>
      <c r="T182" s="7">
        <v>59767.72</v>
      </c>
      <c r="U182" s="3"/>
      <c r="V182" s="8">
        <f t="shared" si="33"/>
        <v>1.147304868265718E-2</v>
      </c>
      <c r="W182" s="3"/>
      <c r="X182" s="7">
        <f t="shared" si="34"/>
        <v>2743.2799999999988</v>
      </c>
      <c r="Y182" s="3"/>
      <c r="Z182" s="8">
        <f t="shared" si="35"/>
        <v>4.5899023753959475E-2</v>
      </c>
    </row>
    <row r="183" spans="1:26" s="69" customFormat="1" ht="15" hidden="1" customHeight="1" outlineLevel="2" x14ac:dyDescent="0.25">
      <c r="A183" s="25"/>
      <c r="B183" s="12" t="str">
        <f>CONCATENATE("          ","6372"," - ","COMPUTER HARDWARE MAINTENANCE")</f>
        <v xml:space="preserve">          6372 - COMPUTER HARDWARE MAINTENANCE</v>
      </c>
      <c r="C183" s="12"/>
      <c r="D183" s="7"/>
      <c r="E183" s="3"/>
      <c r="F183" s="8">
        <f t="shared" si="28"/>
        <v>0</v>
      </c>
      <c r="G183" s="3"/>
      <c r="H183" s="7"/>
      <c r="I183" s="3"/>
      <c r="J183" s="8">
        <f t="shared" si="29"/>
        <v>0</v>
      </c>
      <c r="K183" s="3"/>
      <c r="L183" s="7">
        <f t="shared" si="30"/>
        <v>0</v>
      </c>
      <c r="M183" s="3"/>
      <c r="N183" s="8">
        <f t="shared" si="31"/>
        <v>0</v>
      </c>
      <c r="O183" s="12"/>
      <c r="P183" s="7"/>
      <c r="Q183" s="3"/>
      <c r="R183" s="8">
        <f t="shared" si="32"/>
        <v>0</v>
      </c>
      <c r="S183" s="3"/>
      <c r="T183" s="7">
        <v>-1.1499999999999999</v>
      </c>
      <c r="U183" s="3"/>
      <c r="V183" s="8">
        <f t="shared" si="33"/>
        <v>-2.2075471483696809E-7</v>
      </c>
      <c r="W183" s="3"/>
      <c r="X183" s="7">
        <f t="shared" si="34"/>
        <v>1.1499999999999999</v>
      </c>
      <c r="Y183" s="3"/>
      <c r="Z183" s="8">
        <f t="shared" si="35"/>
        <v>-1</v>
      </c>
    </row>
    <row r="184" spans="1:26" s="69" customFormat="1" ht="15" hidden="1" customHeight="1" outlineLevel="2" x14ac:dyDescent="0.25">
      <c r="A184" s="25"/>
      <c r="B184" s="12" t="str">
        <f>CONCATENATE("          ","6373"," - ","MAINTENANCE CONTRACTS")</f>
        <v xml:space="preserve">          6373 - MAINTENANCE CONTRACTS</v>
      </c>
      <c r="C184" s="12"/>
      <c r="D184" s="7">
        <v>1648.79</v>
      </c>
      <c r="E184" s="3"/>
      <c r="F184" s="8">
        <f t="shared" si="28"/>
        <v>1.9224549179955139E-3</v>
      </c>
      <c r="G184" s="3"/>
      <c r="H184" s="7">
        <v>3187.44</v>
      </c>
      <c r="I184" s="3"/>
      <c r="J184" s="8">
        <f t="shared" si="29"/>
        <v>6.2898123013639864E-3</v>
      </c>
      <c r="K184" s="3"/>
      <c r="L184" s="7">
        <f t="shared" si="30"/>
        <v>-1538.65</v>
      </c>
      <c r="M184" s="3"/>
      <c r="N184" s="8">
        <f t="shared" si="31"/>
        <v>-0.48272281203724621</v>
      </c>
      <c r="O184" s="12"/>
      <c r="P184" s="7">
        <v>24020.49</v>
      </c>
      <c r="Q184" s="3"/>
      <c r="R184" s="8">
        <f t="shared" si="32"/>
        <v>3.1945063760860375E-3</v>
      </c>
      <c r="S184" s="3"/>
      <c r="T184" s="7">
        <v>49306.02</v>
      </c>
      <c r="U184" s="3"/>
      <c r="V184" s="8">
        <f t="shared" si="33"/>
        <v>9.4648142476920407E-3</v>
      </c>
      <c r="W184" s="3"/>
      <c r="X184" s="7">
        <f t="shared" si="34"/>
        <v>-25285.529999999995</v>
      </c>
      <c r="Y184" s="3"/>
      <c r="Z184" s="8">
        <f t="shared" si="35"/>
        <v>-0.512828453807466</v>
      </c>
    </row>
    <row r="185" spans="1:26" s="69" customFormat="1" ht="15" hidden="1" customHeight="1" outlineLevel="2" x14ac:dyDescent="0.25">
      <c r="A185" s="25"/>
      <c r="B185" s="12" t="str">
        <f>CONCATENATE("          ","6375"," - ","OUTSIDE REPAIRS &amp; MAINTENANCE")</f>
        <v xml:space="preserve">          6375 - OUTSIDE REPAIRS &amp; MAINTENANCE</v>
      </c>
      <c r="C185" s="12"/>
      <c r="D185" s="7">
        <v>3911.14</v>
      </c>
      <c r="E185" s="3"/>
      <c r="F185" s="8">
        <f t="shared" si="28"/>
        <v>4.5603080610441436E-3</v>
      </c>
      <c r="G185" s="3"/>
      <c r="H185" s="7">
        <v>6051.78</v>
      </c>
      <c r="I185" s="3"/>
      <c r="J185" s="8">
        <f t="shared" si="29"/>
        <v>1.1942047627296056E-2</v>
      </c>
      <c r="K185" s="3"/>
      <c r="L185" s="7">
        <f t="shared" si="30"/>
        <v>-2140.64</v>
      </c>
      <c r="M185" s="3"/>
      <c r="N185" s="8">
        <f t="shared" si="31"/>
        <v>-0.35372072348961792</v>
      </c>
      <c r="O185" s="12"/>
      <c r="P185" s="7">
        <v>56038.9</v>
      </c>
      <c r="Q185" s="3"/>
      <c r="R185" s="8">
        <f t="shared" si="32"/>
        <v>7.4526632620253719E-3</v>
      </c>
      <c r="S185" s="3"/>
      <c r="T185" s="7">
        <v>33082.32</v>
      </c>
      <c r="U185" s="3"/>
      <c r="V185" s="8">
        <f t="shared" si="33"/>
        <v>6.3505027110828931E-3</v>
      </c>
      <c r="W185" s="3"/>
      <c r="X185" s="7">
        <f t="shared" si="34"/>
        <v>22956.58</v>
      </c>
      <c r="Y185" s="3"/>
      <c r="Z185" s="8">
        <f t="shared" si="35"/>
        <v>0.69392291713519494</v>
      </c>
    </row>
    <row r="186" spans="1:26" s="68" customFormat="1" ht="15" customHeight="1" outlineLevel="1" collapsed="1" x14ac:dyDescent="0.25">
      <c r="A186" s="26"/>
      <c r="B186" s="14" t="str">
        <f>CONCATENATE("     ","Royalty &amp; Commissions                             ")</f>
        <v xml:space="preserve">     Royalty &amp; Commissions                             </v>
      </c>
      <c r="C186" s="14"/>
      <c r="D186" s="2">
        <f>SUM(OSRRefD22_17x_0)</f>
        <v>3844.9400000000005</v>
      </c>
      <c r="E186" s="2"/>
      <c r="F186" s="6">
        <f t="shared" si="28"/>
        <v>4.4831202350800719E-3</v>
      </c>
      <c r="G186" s="2"/>
      <c r="H186" s="2">
        <f>SUM(OSRRefH22_17x_0)</f>
        <v>393.98</v>
      </c>
      <c r="I186" s="2"/>
      <c r="J186" s="6">
        <f t="shared" si="29"/>
        <v>7.7744530108531714E-4</v>
      </c>
      <c r="K186" s="2"/>
      <c r="L186" s="2">
        <f t="shared" si="30"/>
        <v>3450.9600000000005</v>
      </c>
      <c r="M186" s="2"/>
      <c r="N186" s="6">
        <f t="shared" si="31"/>
        <v>8.7592263566678525</v>
      </c>
      <c r="O186" s="14"/>
      <c r="P186" s="2">
        <f>SUM(OSRRefP22_17x_0)</f>
        <v>85467.47</v>
      </c>
      <c r="Q186" s="2"/>
      <c r="R186" s="6">
        <f t="shared" si="32"/>
        <v>1.1366395017876075E-2</v>
      </c>
      <c r="S186" s="2"/>
      <c r="T186" s="2">
        <f>SUM(OSRRefT22_17x_0)</f>
        <v>48786.93</v>
      </c>
      <c r="U186" s="2"/>
      <c r="V186" s="6">
        <f t="shared" si="33"/>
        <v>9.3651694086270658E-3</v>
      </c>
      <c r="W186" s="2"/>
      <c r="X186" s="2">
        <f t="shared" si="34"/>
        <v>36680.54</v>
      </c>
      <c r="Y186" s="2"/>
      <c r="Z186" s="6">
        <f t="shared" si="35"/>
        <v>0.75185177669511072</v>
      </c>
    </row>
    <row r="187" spans="1:26" s="69" customFormat="1" ht="15" hidden="1" customHeight="1" outlineLevel="2" x14ac:dyDescent="0.25">
      <c r="A187" s="25"/>
      <c r="B187" s="12" t="str">
        <f>CONCATENATE("          ","6253"," - ","ROYALTY DUE ATHLETICS-LRG")</f>
        <v xml:space="preserve">          6253 - ROYALTY DUE ATHLETICS-LRG</v>
      </c>
      <c r="C187" s="12"/>
      <c r="D187" s="7">
        <v>-3708.97</v>
      </c>
      <c r="E187" s="3"/>
      <c r="F187" s="8">
        <f t="shared" si="28"/>
        <v>-4.3245820372502389E-3</v>
      </c>
      <c r="G187" s="3"/>
      <c r="H187" s="7"/>
      <c r="I187" s="3"/>
      <c r="J187" s="8">
        <f t="shared" si="29"/>
        <v>0</v>
      </c>
      <c r="K187" s="3"/>
      <c r="L187" s="7">
        <f t="shared" si="30"/>
        <v>-3708.97</v>
      </c>
      <c r="M187" s="3"/>
      <c r="N187" s="8">
        <f t="shared" si="31"/>
        <v>0</v>
      </c>
      <c r="O187" s="12"/>
      <c r="P187" s="7">
        <v>51456.52</v>
      </c>
      <c r="Q187" s="3"/>
      <c r="R187" s="8">
        <f t="shared" si="32"/>
        <v>6.8432484612594782E-3</v>
      </c>
      <c r="S187" s="3"/>
      <c r="T187" s="7">
        <v>35159.06</v>
      </c>
      <c r="U187" s="3"/>
      <c r="V187" s="8">
        <f t="shared" si="33"/>
        <v>6.7491550123790012E-3</v>
      </c>
      <c r="W187" s="3"/>
      <c r="X187" s="7">
        <f t="shared" si="34"/>
        <v>16297.46</v>
      </c>
      <c r="Y187" s="3"/>
      <c r="Z187" s="8">
        <f t="shared" si="35"/>
        <v>0.46353514570639831</v>
      </c>
    </row>
    <row r="188" spans="1:26" s="69" customFormat="1" ht="15" hidden="1" customHeight="1" outlineLevel="2" x14ac:dyDescent="0.25">
      <c r="A188" s="25"/>
      <c r="B188" s="12" t="str">
        <f>CONCATENATE("          ","6254"," - ","ROYALTY &amp; COMMISSIONS")</f>
        <v xml:space="preserve">          6254 - ROYALTY &amp; COMMISSIONS</v>
      </c>
      <c r="C188" s="12"/>
      <c r="D188" s="7">
        <v>6293.1</v>
      </c>
      <c r="E188" s="3"/>
      <c r="F188" s="8">
        <f t="shared" si="28"/>
        <v>7.3376239814879817E-3</v>
      </c>
      <c r="G188" s="3"/>
      <c r="H188" s="7"/>
      <c r="I188" s="3"/>
      <c r="J188" s="8">
        <f t="shared" si="29"/>
        <v>0</v>
      </c>
      <c r="K188" s="3"/>
      <c r="L188" s="7">
        <f t="shared" si="30"/>
        <v>6293.1</v>
      </c>
      <c r="M188" s="3"/>
      <c r="N188" s="8">
        <f t="shared" si="31"/>
        <v>0</v>
      </c>
      <c r="O188" s="12"/>
      <c r="P188" s="7">
        <v>20699.490000000002</v>
      </c>
      <c r="Q188" s="3"/>
      <c r="R188" s="8">
        <f t="shared" si="32"/>
        <v>2.7528436258681304E-3</v>
      </c>
      <c r="S188" s="3"/>
      <c r="T188" s="7"/>
      <c r="U188" s="3"/>
      <c r="V188" s="8">
        <f t="shared" si="33"/>
        <v>0</v>
      </c>
      <c r="W188" s="3"/>
      <c r="X188" s="7">
        <f t="shared" si="34"/>
        <v>20699.490000000002</v>
      </c>
      <c r="Y188" s="3"/>
      <c r="Z188" s="8">
        <f t="shared" si="35"/>
        <v>0</v>
      </c>
    </row>
    <row r="189" spans="1:26" s="69" customFormat="1" ht="15" hidden="1" customHeight="1" outlineLevel="2" x14ac:dyDescent="0.25">
      <c r="A189" s="25"/>
      <c r="B189" s="12" t="str">
        <f>CONCATENATE("          ","6259"," - ","ROYALTY &amp; COMMISSIONS")</f>
        <v xml:space="preserve">          6259 - ROYALTY &amp; COMMISSIONS</v>
      </c>
      <c r="C189" s="12"/>
      <c r="D189" s="7">
        <v>1260.81</v>
      </c>
      <c r="E189" s="3"/>
      <c r="F189" s="8">
        <f t="shared" si="28"/>
        <v>1.470078290842329E-3</v>
      </c>
      <c r="G189" s="3"/>
      <c r="H189" s="7">
        <v>393.98</v>
      </c>
      <c r="I189" s="3"/>
      <c r="J189" s="8">
        <f t="shared" si="29"/>
        <v>7.7744530108531714E-4</v>
      </c>
      <c r="K189" s="3"/>
      <c r="L189" s="7">
        <f t="shared" si="30"/>
        <v>866.82999999999993</v>
      </c>
      <c r="M189" s="3"/>
      <c r="N189" s="8">
        <f t="shared" si="31"/>
        <v>2.200187826793238</v>
      </c>
      <c r="O189" s="12"/>
      <c r="P189" s="7">
        <v>13311.46</v>
      </c>
      <c r="Q189" s="3"/>
      <c r="R189" s="8">
        <f t="shared" si="32"/>
        <v>1.7703029307484667E-3</v>
      </c>
      <c r="S189" s="3"/>
      <c r="T189" s="7">
        <v>13627.87</v>
      </c>
      <c r="U189" s="3"/>
      <c r="V189" s="8">
        <f t="shared" si="33"/>
        <v>2.6160143962480633E-3</v>
      </c>
      <c r="W189" s="3"/>
      <c r="X189" s="7">
        <f t="shared" si="34"/>
        <v>-316.41000000000167</v>
      </c>
      <c r="Y189" s="3"/>
      <c r="Z189" s="8">
        <f t="shared" si="35"/>
        <v>-2.3217861632082025E-2</v>
      </c>
    </row>
    <row r="190" spans="1:26" s="68" customFormat="1" ht="15" customHeight="1" outlineLevel="1" collapsed="1" x14ac:dyDescent="0.25">
      <c r="A190" s="26"/>
      <c r="B190" s="14" t="str">
        <f>CONCATENATE("     ","Services                                          ")</f>
        <v xml:space="preserve">     Services                                          </v>
      </c>
      <c r="C190" s="14"/>
      <c r="D190" s="2">
        <f>SUM(OSRRefD22_18x_0)</f>
        <v>5084.1499999999996</v>
      </c>
      <c r="E190" s="2"/>
      <c r="F190" s="6">
        <f t="shared" si="28"/>
        <v>5.9280133742483226E-3</v>
      </c>
      <c r="G190" s="2"/>
      <c r="H190" s="2">
        <f>SUM(OSRRefH22_18x_0)</f>
        <v>4297.32</v>
      </c>
      <c r="I190" s="2"/>
      <c r="J190" s="6">
        <f t="shared" si="29"/>
        <v>8.4799513712877674E-3</v>
      </c>
      <c r="K190" s="2"/>
      <c r="L190" s="2">
        <f t="shared" si="30"/>
        <v>786.82999999999993</v>
      </c>
      <c r="M190" s="2"/>
      <c r="N190" s="6">
        <f t="shared" si="31"/>
        <v>0.18309783772211519</v>
      </c>
      <c r="O190" s="14"/>
      <c r="P190" s="2">
        <f>SUM(OSRRefP22_18x_0)</f>
        <v>61594.909999999996</v>
      </c>
      <c r="Q190" s="2"/>
      <c r="R190" s="6">
        <f t="shared" si="32"/>
        <v>8.1915619843494283E-3</v>
      </c>
      <c r="S190" s="2"/>
      <c r="T190" s="2">
        <f>SUM(OSRRefT22_18x_0)</f>
        <v>44441.3</v>
      </c>
      <c r="U190" s="2"/>
      <c r="V190" s="6">
        <f t="shared" si="33"/>
        <v>8.5309795725949152E-3</v>
      </c>
      <c r="W190" s="2"/>
      <c r="X190" s="2">
        <f t="shared" si="34"/>
        <v>17153.609999999993</v>
      </c>
      <c r="Y190" s="2"/>
      <c r="Z190" s="6">
        <f t="shared" si="35"/>
        <v>0.38598353333498325</v>
      </c>
    </row>
    <row r="191" spans="1:26" s="69" customFormat="1" ht="15" hidden="1" customHeight="1" outlineLevel="2" x14ac:dyDescent="0.25">
      <c r="A191" s="25"/>
      <c r="B191" s="12" t="str">
        <f>CONCATENATE("          ","6282"," - ","JANITORIAL/EXTERMINATOR EXPENS")</f>
        <v xml:space="preserve">          6282 - JANITORIAL/EXTERMINATOR EXPENS</v>
      </c>
      <c r="C191" s="12"/>
      <c r="D191" s="7">
        <v>236.05</v>
      </c>
      <c r="E191" s="3"/>
      <c r="F191" s="8">
        <f t="shared" si="28"/>
        <v>2.7522940058639429E-4</v>
      </c>
      <c r="G191" s="3"/>
      <c r="H191" s="7">
        <v>291</v>
      </c>
      <c r="I191" s="3"/>
      <c r="J191" s="8">
        <f t="shared" si="29"/>
        <v>5.7423367332308062E-4</v>
      </c>
      <c r="K191" s="3"/>
      <c r="L191" s="7">
        <f t="shared" si="30"/>
        <v>-54.949999999999989</v>
      </c>
      <c r="M191" s="3"/>
      <c r="N191" s="8">
        <f t="shared" si="31"/>
        <v>-0.18883161512027488</v>
      </c>
      <c r="O191" s="12"/>
      <c r="P191" s="7">
        <v>3199.33</v>
      </c>
      <c r="Q191" s="3"/>
      <c r="R191" s="8">
        <f t="shared" si="32"/>
        <v>4.2548174846571992E-4</v>
      </c>
      <c r="S191" s="3"/>
      <c r="T191" s="7">
        <v>7697.12</v>
      </c>
      <c r="U191" s="3"/>
      <c r="V191" s="8">
        <f t="shared" si="33"/>
        <v>1.4775439397094992E-3</v>
      </c>
      <c r="W191" s="3"/>
      <c r="X191" s="7">
        <f t="shared" si="34"/>
        <v>-4497.79</v>
      </c>
      <c r="Y191" s="3"/>
      <c r="Z191" s="8">
        <f t="shared" si="35"/>
        <v>-0.58434713243394931</v>
      </c>
    </row>
    <row r="192" spans="1:26" s="69" customFormat="1" ht="15" hidden="1" customHeight="1" outlineLevel="2" x14ac:dyDescent="0.25">
      <c r="A192" s="25"/>
      <c r="B192" s="12" t="str">
        <f>CONCATENATE("          ","6283"," - ","PLANT SERVICE")</f>
        <v xml:space="preserve">          6283 - PLANT SERVICE</v>
      </c>
      <c r="C192" s="12"/>
      <c r="D192" s="7"/>
      <c r="E192" s="3"/>
      <c r="F192" s="8">
        <f t="shared" ref="F192:F216" si="36">IF(D$12=0,0,D192/D$12)</f>
        <v>0</v>
      </c>
      <c r="G192" s="3"/>
      <c r="H192" s="7"/>
      <c r="I192" s="3"/>
      <c r="J192" s="8">
        <f t="shared" ref="J192:J216" si="37">IF(H$12=0,0,H192/H$12)</f>
        <v>0</v>
      </c>
      <c r="K192" s="3"/>
      <c r="L192" s="7">
        <f t="shared" ref="L192:L216" si="38">+D192-H192</f>
        <v>0</v>
      </c>
      <c r="M192" s="3"/>
      <c r="N192" s="8">
        <f t="shared" ref="N192:N216" si="39">IF(H192=0,0,L192/H192)</f>
        <v>0</v>
      </c>
      <c r="O192" s="12"/>
      <c r="P192" s="7"/>
      <c r="Q192" s="3"/>
      <c r="R192" s="8">
        <f t="shared" ref="R192:R216" si="40">IF(P$12=0,0,P192/P$12)</f>
        <v>0</v>
      </c>
      <c r="S192" s="3"/>
      <c r="T192" s="7">
        <v>171.31</v>
      </c>
      <c r="U192" s="3"/>
      <c r="V192" s="8">
        <f t="shared" ref="V192:V216" si="41">IF(T$12=0,0,T192/T$12)</f>
        <v>3.2884774085844353E-5</v>
      </c>
      <c r="W192" s="3"/>
      <c r="X192" s="7">
        <f t="shared" ref="X192:X216" si="42">+P192-T192</f>
        <v>-171.31</v>
      </c>
      <c r="Y192" s="3"/>
      <c r="Z192" s="8">
        <f t="shared" ref="Z192:Z216" si="43">IF(T192=0,0,X192/T192)</f>
        <v>-1</v>
      </c>
    </row>
    <row r="193" spans="1:26" s="69" customFormat="1" ht="15" hidden="1" customHeight="1" outlineLevel="2" x14ac:dyDescent="0.25">
      <c r="A193" s="25"/>
      <c r="B193" s="12" t="str">
        <f>CONCATENATE("          ","6284"," - ","TRASH REMOVAL EXPENSE")</f>
        <v xml:space="preserve">          6284 - TRASH REMOVAL EXPENSE</v>
      </c>
      <c r="C193" s="12"/>
      <c r="D193" s="7">
        <v>149.69999999999999</v>
      </c>
      <c r="E193" s="3"/>
      <c r="F193" s="8">
        <f t="shared" si="36"/>
        <v>1.7454709285229071E-4</v>
      </c>
      <c r="G193" s="3"/>
      <c r="H193" s="7">
        <v>142.57</v>
      </c>
      <c r="I193" s="3"/>
      <c r="J193" s="8">
        <f t="shared" si="37"/>
        <v>2.8133503369646594E-4</v>
      </c>
      <c r="K193" s="3"/>
      <c r="L193" s="7">
        <f t="shared" si="38"/>
        <v>7.1299999999999955</v>
      </c>
      <c r="M193" s="3"/>
      <c r="N193" s="8">
        <f t="shared" si="39"/>
        <v>5.0010521147506461E-2</v>
      </c>
      <c r="O193" s="12"/>
      <c r="P193" s="7">
        <v>1489.87</v>
      </c>
      <c r="Q193" s="3"/>
      <c r="R193" s="8">
        <f t="shared" si="40"/>
        <v>1.9813913931561363E-4</v>
      </c>
      <c r="S193" s="3"/>
      <c r="T193" s="7">
        <v>1583.29</v>
      </c>
      <c r="U193" s="3"/>
      <c r="V193" s="8">
        <f t="shared" si="41"/>
        <v>3.0392933256888978E-4</v>
      </c>
      <c r="W193" s="3"/>
      <c r="X193" s="7">
        <f t="shared" si="42"/>
        <v>-93.420000000000073</v>
      </c>
      <c r="Y193" s="3"/>
      <c r="Z193" s="8">
        <f t="shared" si="43"/>
        <v>-5.9003720101813359E-2</v>
      </c>
    </row>
    <row r="194" spans="1:26" s="69" customFormat="1" ht="15" hidden="1" customHeight="1" outlineLevel="2" x14ac:dyDescent="0.25">
      <c r="A194" s="25"/>
      <c r="B194" s="12" t="str">
        <f>CONCATENATE("          ","6285"," - ","JANITORIAL SERVICES")</f>
        <v xml:space="preserve">          6285 - JANITORIAL SERVICES</v>
      </c>
      <c r="C194" s="12"/>
      <c r="D194" s="7">
        <v>4698.3999999999996</v>
      </c>
      <c r="E194" s="3"/>
      <c r="F194" s="8">
        <f t="shared" si="36"/>
        <v>5.4782368808096371E-3</v>
      </c>
      <c r="G194" s="3"/>
      <c r="H194" s="7">
        <v>3863.75</v>
      </c>
      <c r="I194" s="3"/>
      <c r="J194" s="8">
        <f t="shared" si="37"/>
        <v>7.6243826642682219E-3</v>
      </c>
      <c r="K194" s="3"/>
      <c r="L194" s="7">
        <f t="shared" si="38"/>
        <v>834.64999999999964</v>
      </c>
      <c r="M194" s="3"/>
      <c r="N194" s="8">
        <f t="shared" si="39"/>
        <v>0.21602070527337422</v>
      </c>
      <c r="O194" s="12"/>
      <c r="P194" s="7">
        <v>56905.71</v>
      </c>
      <c r="Q194" s="3"/>
      <c r="R194" s="8">
        <f t="shared" si="40"/>
        <v>7.5679410965680954E-3</v>
      </c>
      <c r="S194" s="3"/>
      <c r="T194" s="7">
        <v>34989.58</v>
      </c>
      <c r="U194" s="3"/>
      <c r="V194" s="8">
        <f t="shared" si="41"/>
        <v>6.7166215262306813E-3</v>
      </c>
      <c r="W194" s="3"/>
      <c r="X194" s="7">
        <f t="shared" si="42"/>
        <v>21916.129999999997</v>
      </c>
      <c r="Y194" s="3"/>
      <c r="Z194" s="8">
        <f t="shared" si="43"/>
        <v>0.62636161965933845</v>
      </c>
    </row>
    <row r="195" spans="1:26" s="68" customFormat="1" ht="15" customHeight="1" outlineLevel="1" collapsed="1" x14ac:dyDescent="0.25">
      <c r="A195" s="26"/>
      <c r="B195" s="14" t="str">
        <f>CONCATENATE("     ","Subscriptions &amp; Dues                              ")</f>
        <v xml:space="preserve">     Subscriptions &amp; Dues                              </v>
      </c>
      <c r="C195" s="14"/>
      <c r="D195" s="2">
        <f>SUM(OSRRefD22_19x_0)</f>
        <v>2287.59</v>
      </c>
      <c r="E195" s="2"/>
      <c r="F195" s="6">
        <f t="shared" si="36"/>
        <v>2.6672824591714881E-3</v>
      </c>
      <c r="G195" s="2"/>
      <c r="H195" s="2">
        <f>SUM(OSRRefH22_19x_0)</f>
        <v>611.22</v>
      </c>
      <c r="I195" s="2"/>
      <c r="J195" s="6">
        <f t="shared" si="37"/>
        <v>1.2061275113695303E-3</v>
      </c>
      <c r="K195" s="2"/>
      <c r="L195" s="2">
        <f t="shared" si="38"/>
        <v>1676.3700000000001</v>
      </c>
      <c r="M195" s="2"/>
      <c r="N195" s="6">
        <f t="shared" si="39"/>
        <v>2.7426622165505057</v>
      </c>
      <c r="O195" s="14"/>
      <c r="P195" s="2">
        <f>SUM(OSRRefP22_19x_0)</f>
        <v>7183.53</v>
      </c>
      <c r="Q195" s="2"/>
      <c r="R195" s="6">
        <f t="shared" si="40"/>
        <v>9.5534405783584474E-4</v>
      </c>
      <c r="S195" s="2"/>
      <c r="T195" s="2">
        <f>SUM(OSRRefT22_19x_0)</f>
        <v>7289.13</v>
      </c>
      <c r="U195" s="2"/>
      <c r="V195" s="6">
        <f t="shared" si="41"/>
        <v>1.3992259257039909E-3</v>
      </c>
      <c r="W195" s="2"/>
      <c r="X195" s="2">
        <f t="shared" si="42"/>
        <v>-105.60000000000036</v>
      </c>
      <c r="Y195" s="2"/>
      <c r="Z195" s="6">
        <f t="shared" si="43"/>
        <v>-1.4487325647916879E-2</v>
      </c>
    </row>
    <row r="196" spans="1:26" s="69" customFormat="1" ht="15" hidden="1" customHeight="1" outlineLevel="2" x14ac:dyDescent="0.25">
      <c r="A196" s="25"/>
      <c r="B196" s="12" t="str">
        <f>CONCATENATE("          ","6258"," - ","MEMBERSHIP DUES")</f>
        <v xml:space="preserve">          6258 - MEMBERSHIP DUES</v>
      </c>
      <c r="C196" s="12"/>
      <c r="D196" s="7">
        <v>843.84</v>
      </c>
      <c r="E196" s="3"/>
      <c r="F196" s="8">
        <f t="shared" si="36"/>
        <v>9.8389992540064814E-4</v>
      </c>
      <c r="G196" s="3"/>
      <c r="H196" s="7">
        <v>611.22</v>
      </c>
      <c r="I196" s="3"/>
      <c r="J196" s="8">
        <f t="shared" si="37"/>
        <v>1.2061275113695303E-3</v>
      </c>
      <c r="K196" s="3"/>
      <c r="L196" s="7">
        <f t="shared" si="38"/>
        <v>232.62</v>
      </c>
      <c r="M196" s="3"/>
      <c r="N196" s="8">
        <f t="shared" si="39"/>
        <v>0.38058309610287622</v>
      </c>
      <c r="O196" s="12"/>
      <c r="P196" s="7">
        <v>3832.14</v>
      </c>
      <c r="Q196" s="3"/>
      <c r="R196" s="8">
        <f t="shared" si="40"/>
        <v>5.0963971442940365E-4</v>
      </c>
      <c r="S196" s="3"/>
      <c r="T196" s="7">
        <v>3046.45</v>
      </c>
      <c r="U196" s="3"/>
      <c r="V196" s="8">
        <f t="shared" si="41"/>
        <v>5.8479843566528822E-4</v>
      </c>
      <c r="W196" s="3"/>
      <c r="X196" s="7">
        <f t="shared" si="42"/>
        <v>785.69</v>
      </c>
      <c r="Y196" s="3"/>
      <c r="Z196" s="8">
        <f t="shared" si="43"/>
        <v>0.2579034614058987</v>
      </c>
    </row>
    <row r="197" spans="1:26" s="69" customFormat="1" ht="15" hidden="1" customHeight="1" outlineLevel="2" x14ac:dyDescent="0.25">
      <c r="A197" s="25"/>
      <c r="B197" s="12" t="str">
        <f>CONCATENATE("          ","6275"," - ","SUBSCRIPTIONS")</f>
        <v xml:space="preserve">          6275 - SUBSCRIPTIONS</v>
      </c>
      <c r="C197" s="12"/>
      <c r="D197" s="7">
        <v>1443.75</v>
      </c>
      <c r="E197" s="3"/>
      <c r="F197" s="8">
        <f t="shared" si="36"/>
        <v>1.68338253377084E-3</v>
      </c>
      <c r="G197" s="3"/>
      <c r="H197" s="7"/>
      <c r="I197" s="3"/>
      <c r="J197" s="8">
        <f t="shared" si="37"/>
        <v>0</v>
      </c>
      <c r="K197" s="3"/>
      <c r="L197" s="7">
        <f t="shared" si="38"/>
        <v>1443.75</v>
      </c>
      <c r="M197" s="3"/>
      <c r="N197" s="8">
        <f t="shared" si="39"/>
        <v>0</v>
      </c>
      <c r="O197" s="12"/>
      <c r="P197" s="7">
        <v>3351.39</v>
      </c>
      <c r="Q197" s="3"/>
      <c r="R197" s="8">
        <f t="shared" si="40"/>
        <v>4.4570434340644109E-4</v>
      </c>
      <c r="S197" s="3"/>
      <c r="T197" s="7">
        <v>4242.68</v>
      </c>
      <c r="U197" s="3"/>
      <c r="V197" s="8">
        <f t="shared" si="41"/>
        <v>8.144274900387026E-4</v>
      </c>
      <c r="W197" s="3"/>
      <c r="X197" s="7">
        <f t="shared" si="42"/>
        <v>-891.29000000000042</v>
      </c>
      <c r="Y197" s="3"/>
      <c r="Z197" s="8">
        <f t="shared" si="43"/>
        <v>-0.2100771210649873</v>
      </c>
    </row>
    <row r="198" spans="1:26" s="68" customFormat="1" ht="15" customHeight="1" outlineLevel="1" collapsed="1" x14ac:dyDescent="0.25">
      <c r="A198" s="26"/>
      <c r="B198" s="14" t="str">
        <f>CONCATENATE("     ","Supplies                                          ")</f>
        <v xml:space="preserve">     Supplies                                          </v>
      </c>
      <c r="C198" s="14"/>
      <c r="D198" s="2">
        <f>SUM(OSRRefD22_20x_0)</f>
        <v>18264.050000000003</v>
      </c>
      <c r="E198" s="2"/>
      <c r="F198" s="6">
        <f t="shared" si="36"/>
        <v>2.1295503214488185E-2</v>
      </c>
      <c r="G198" s="2"/>
      <c r="H198" s="2">
        <f>SUM(OSRRefH22_20x_0)</f>
        <v>10202.06</v>
      </c>
      <c r="I198" s="2"/>
      <c r="J198" s="6">
        <f t="shared" si="37"/>
        <v>2.0131843262070334E-2</v>
      </c>
      <c r="K198" s="2"/>
      <c r="L198" s="2">
        <f t="shared" si="38"/>
        <v>8061.9900000000034</v>
      </c>
      <c r="M198" s="2"/>
      <c r="N198" s="6">
        <f t="shared" si="39"/>
        <v>0.79023158068076482</v>
      </c>
      <c r="O198" s="14"/>
      <c r="P198" s="2">
        <f>SUM(OSRRefP22_20x_0)</f>
        <v>116077.57</v>
      </c>
      <c r="Q198" s="2"/>
      <c r="R198" s="6">
        <f t="shared" si="40"/>
        <v>1.5437259501599397E-2</v>
      </c>
      <c r="S198" s="2"/>
      <c r="T198" s="2">
        <f>SUM(OSRRefT22_20x_0)</f>
        <v>121898.75</v>
      </c>
      <c r="U198" s="2"/>
      <c r="V198" s="6">
        <f t="shared" si="41"/>
        <v>2.3399759821941625E-2</v>
      </c>
      <c r="W198" s="2"/>
      <c r="X198" s="2">
        <f t="shared" si="42"/>
        <v>-5821.179999999993</v>
      </c>
      <c r="Y198" s="2"/>
      <c r="Z198" s="6">
        <f t="shared" si="43"/>
        <v>-4.7754222254124783E-2</v>
      </c>
    </row>
    <row r="199" spans="1:26" s="69" customFormat="1" ht="15" hidden="1" customHeight="1" outlineLevel="2" x14ac:dyDescent="0.25">
      <c r="A199" s="25"/>
      <c r="B199" s="12" t="str">
        <f>CONCATENATE("          ","6234"," - ","EXPENDABLE SUPPLIES &amp; EQUIPMEN")</f>
        <v xml:space="preserve">          6234 - EXPENDABLE SUPPLIES &amp; EQUIPMEN</v>
      </c>
      <c r="C199" s="12"/>
      <c r="D199" s="7"/>
      <c r="E199" s="3"/>
      <c r="F199" s="8">
        <f t="shared" si="36"/>
        <v>0</v>
      </c>
      <c r="G199" s="3"/>
      <c r="H199" s="7"/>
      <c r="I199" s="3"/>
      <c r="J199" s="8">
        <f t="shared" si="37"/>
        <v>0</v>
      </c>
      <c r="K199" s="3"/>
      <c r="L199" s="7">
        <f t="shared" si="38"/>
        <v>0</v>
      </c>
      <c r="M199" s="3"/>
      <c r="N199" s="8">
        <f t="shared" si="39"/>
        <v>0</v>
      </c>
      <c r="O199" s="12"/>
      <c r="P199" s="7">
        <v>10282.879999999999</v>
      </c>
      <c r="Q199" s="3"/>
      <c r="R199" s="8">
        <f t="shared" si="40"/>
        <v>1.3675293769830502E-3</v>
      </c>
      <c r="S199" s="3"/>
      <c r="T199" s="7">
        <v>0.16</v>
      </c>
      <c r="U199" s="3"/>
      <c r="V199" s="8">
        <f t="shared" si="41"/>
        <v>3.0713699455578172E-8</v>
      </c>
      <c r="W199" s="3"/>
      <c r="X199" s="7">
        <f t="shared" si="42"/>
        <v>10282.719999999999</v>
      </c>
      <c r="Y199" s="3"/>
      <c r="Z199" s="8">
        <f t="shared" si="43"/>
        <v>64266.999999999993</v>
      </c>
    </row>
    <row r="200" spans="1:26" s="69" customFormat="1" ht="15" hidden="1" customHeight="1" outlineLevel="2" x14ac:dyDescent="0.25">
      <c r="A200" s="25"/>
      <c r="B200" s="12" t="str">
        <f>CONCATENATE("          ","6235"," - ","COVID-19 EXPENSES")</f>
        <v xml:space="preserve">          6235 - COVID-19 EXPENSES</v>
      </c>
      <c r="C200" s="12"/>
      <c r="D200" s="7">
        <v>156</v>
      </c>
      <c r="E200" s="3"/>
      <c r="F200" s="8">
        <f t="shared" si="36"/>
        <v>1.8189276209056349E-4</v>
      </c>
      <c r="G200" s="3"/>
      <c r="H200" s="7">
        <v>2928.27</v>
      </c>
      <c r="I200" s="3"/>
      <c r="J200" s="8">
        <f t="shared" si="37"/>
        <v>5.7783891360198526E-3</v>
      </c>
      <c r="K200" s="3"/>
      <c r="L200" s="7">
        <f t="shared" si="38"/>
        <v>-2772.27</v>
      </c>
      <c r="M200" s="3"/>
      <c r="N200" s="8">
        <f t="shared" si="39"/>
        <v>-0.94672622401622797</v>
      </c>
      <c r="O200" s="12"/>
      <c r="P200" s="7">
        <v>3586.32</v>
      </c>
      <c r="Q200" s="3"/>
      <c r="R200" s="8">
        <f t="shared" si="40"/>
        <v>4.769478935144486E-4</v>
      </c>
      <c r="S200" s="3"/>
      <c r="T200" s="7">
        <v>43998.06</v>
      </c>
      <c r="U200" s="3"/>
      <c r="V200" s="8">
        <f t="shared" si="41"/>
        <v>8.4458949466780977E-3</v>
      </c>
      <c r="W200" s="3"/>
      <c r="X200" s="7">
        <f t="shared" si="42"/>
        <v>-40411.74</v>
      </c>
      <c r="Y200" s="3"/>
      <c r="Z200" s="8">
        <f t="shared" si="43"/>
        <v>-0.91848913338451743</v>
      </c>
    </row>
    <row r="201" spans="1:26" s="69" customFormat="1" ht="15" hidden="1" customHeight="1" outlineLevel="2" x14ac:dyDescent="0.25">
      <c r="A201" s="25"/>
      <c r="B201" s="12" t="str">
        <f>CONCATENATE("          ","6237"," - ","JANITORIAL SUPPLIES")</f>
        <v xml:space="preserve">          6237 - JANITORIAL SUPPLIES</v>
      </c>
      <c r="C201" s="12"/>
      <c r="D201" s="7">
        <v>452.35</v>
      </c>
      <c r="E201" s="3"/>
      <c r="F201" s="8">
        <f t="shared" si="36"/>
        <v>5.2743071110042557E-4</v>
      </c>
      <c r="G201" s="3"/>
      <c r="H201" s="7">
        <v>390.73</v>
      </c>
      <c r="I201" s="3"/>
      <c r="J201" s="8">
        <f t="shared" si="37"/>
        <v>7.7103203841074664E-4</v>
      </c>
      <c r="K201" s="3"/>
      <c r="L201" s="7">
        <f t="shared" si="38"/>
        <v>61.620000000000005</v>
      </c>
      <c r="M201" s="3"/>
      <c r="N201" s="8">
        <f t="shared" si="39"/>
        <v>0.15770480894735495</v>
      </c>
      <c r="O201" s="12"/>
      <c r="P201" s="7">
        <v>6648.25</v>
      </c>
      <c r="Q201" s="3"/>
      <c r="R201" s="8">
        <f t="shared" si="40"/>
        <v>8.8415669350683506E-4</v>
      </c>
      <c r="S201" s="3"/>
      <c r="T201" s="7">
        <v>3880.28</v>
      </c>
      <c r="U201" s="3"/>
      <c r="V201" s="8">
        <f t="shared" si="41"/>
        <v>7.4486096077181797E-4</v>
      </c>
      <c r="W201" s="3"/>
      <c r="X201" s="7">
        <f t="shared" si="42"/>
        <v>2767.97</v>
      </c>
      <c r="Y201" s="3"/>
      <c r="Z201" s="8">
        <f t="shared" si="43"/>
        <v>0.71334285154679555</v>
      </c>
    </row>
    <row r="202" spans="1:26" s="69" customFormat="1" ht="15" hidden="1" customHeight="1" outlineLevel="2" x14ac:dyDescent="0.25">
      <c r="A202" s="25"/>
      <c r="B202" s="12" t="str">
        <f>CONCATENATE("          ","6241"," - ","OFFICE EXPENSE")</f>
        <v xml:space="preserve">          6241 - OFFICE EXPENSE</v>
      </c>
      <c r="C202" s="12"/>
      <c r="D202" s="7">
        <v>648.09</v>
      </c>
      <c r="E202" s="3"/>
      <c r="F202" s="8">
        <f t="shared" si="36"/>
        <v>7.5565948835431597E-4</v>
      </c>
      <c r="G202" s="3"/>
      <c r="H202" s="7">
        <v>137.71</v>
      </c>
      <c r="I202" s="3"/>
      <c r="J202" s="8">
        <f t="shared" si="37"/>
        <v>2.7174473935849287E-4</v>
      </c>
      <c r="K202" s="3"/>
      <c r="L202" s="7">
        <f t="shared" si="38"/>
        <v>510.38</v>
      </c>
      <c r="M202" s="3"/>
      <c r="N202" s="8">
        <f t="shared" si="39"/>
        <v>3.7061941761673078</v>
      </c>
      <c r="O202" s="12"/>
      <c r="P202" s="7">
        <v>17655.98</v>
      </c>
      <c r="Q202" s="3"/>
      <c r="R202" s="8">
        <f t="shared" si="40"/>
        <v>2.3480845180946577E-3</v>
      </c>
      <c r="S202" s="3"/>
      <c r="T202" s="7">
        <v>11005.42</v>
      </c>
      <c r="U202" s="3"/>
      <c r="V202" s="8">
        <f t="shared" si="41"/>
        <v>2.1126072641400573E-3</v>
      </c>
      <c r="W202" s="3"/>
      <c r="X202" s="7">
        <f t="shared" si="42"/>
        <v>6650.5599999999995</v>
      </c>
      <c r="Y202" s="3"/>
      <c r="Z202" s="8">
        <f t="shared" si="43"/>
        <v>0.60429860923072443</v>
      </c>
    </row>
    <row r="203" spans="1:26" s="69" customFormat="1" ht="15" hidden="1" customHeight="1" outlineLevel="2" x14ac:dyDescent="0.25">
      <c r="A203" s="25"/>
      <c r="B203" s="12" t="str">
        <f>CONCATENATE("          ","6243"," - ","PAPER SUPPLIES")</f>
        <v xml:space="preserve">          6243 - PAPER SUPPLIES</v>
      </c>
      <c r="C203" s="12"/>
      <c r="D203" s="7">
        <v>2845.58</v>
      </c>
      <c r="E203" s="3"/>
      <c r="F203" s="8">
        <f t="shared" si="36"/>
        <v>3.3178872176260615E-3</v>
      </c>
      <c r="G203" s="3"/>
      <c r="H203" s="7"/>
      <c r="I203" s="3"/>
      <c r="J203" s="8">
        <f t="shared" si="37"/>
        <v>0</v>
      </c>
      <c r="K203" s="3"/>
      <c r="L203" s="7">
        <f t="shared" si="38"/>
        <v>2845.58</v>
      </c>
      <c r="M203" s="3"/>
      <c r="N203" s="8">
        <f t="shared" si="39"/>
        <v>0</v>
      </c>
      <c r="O203" s="12"/>
      <c r="P203" s="7">
        <v>10090.94</v>
      </c>
      <c r="Q203" s="3"/>
      <c r="R203" s="8">
        <f t="shared" si="40"/>
        <v>1.3420031052947562E-3</v>
      </c>
      <c r="S203" s="3"/>
      <c r="T203" s="7">
        <v>6682.58</v>
      </c>
      <c r="U203" s="3"/>
      <c r="V203" s="8">
        <f t="shared" si="41"/>
        <v>1.2827922106741099E-3</v>
      </c>
      <c r="W203" s="3"/>
      <c r="X203" s="7">
        <f t="shared" si="42"/>
        <v>3408.3600000000006</v>
      </c>
      <c r="Y203" s="3"/>
      <c r="Z203" s="8">
        <f t="shared" si="43"/>
        <v>0.5100365427724024</v>
      </c>
    </row>
    <row r="204" spans="1:26" s="69" customFormat="1" ht="15" hidden="1" customHeight="1" outlineLevel="2" x14ac:dyDescent="0.25">
      <c r="A204" s="25"/>
      <c r="B204" s="12" t="str">
        <f>CONCATENATE("          ","6245"," - ","PRINTING")</f>
        <v xml:space="preserve">          6245 - PRINTING</v>
      </c>
      <c r="C204" s="12"/>
      <c r="D204" s="7">
        <v>4762.72</v>
      </c>
      <c r="E204" s="3"/>
      <c r="F204" s="8">
        <f t="shared" si="36"/>
        <v>5.5532326657946702E-3</v>
      </c>
      <c r="G204" s="3"/>
      <c r="H204" s="7">
        <v>5963.79</v>
      </c>
      <c r="I204" s="3"/>
      <c r="J204" s="8">
        <f t="shared" si="37"/>
        <v>1.1768415940300531E-2</v>
      </c>
      <c r="K204" s="3"/>
      <c r="L204" s="7">
        <f t="shared" si="38"/>
        <v>-1201.0699999999997</v>
      </c>
      <c r="M204" s="3"/>
      <c r="N204" s="8">
        <f t="shared" si="39"/>
        <v>-0.20139374458188497</v>
      </c>
      <c r="O204" s="12"/>
      <c r="P204" s="7">
        <v>11703.4</v>
      </c>
      <c r="Q204" s="3"/>
      <c r="R204" s="8">
        <f t="shared" si="40"/>
        <v>1.556445597982611E-3</v>
      </c>
      <c r="S204" s="3"/>
      <c r="T204" s="7">
        <v>9084.3799999999992</v>
      </c>
      <c r="U204" s="3"/>
      <c r="V204" s="8">
        <f t="shared" si="41"/>
        <v>1.7438432316266577E-3</v>
      </c>
      <c r="W204" s="3"/>
      <c r="X204" s="7">
        <f t="shared" si="42"/>
        <v>2619.0200000000004</v>
      </c>
      <c r="Y204" s="3"/>
      <c r="Z204" s="8">
        <f t="shared" si="43"/>
        <v>0.28829925652603705</v>
      </c>
    </row>
    <row r="205" spans="1:26" s="69" customFormat="1" ht="15" hidden="1" customHeight="1" outlineLevel="2" x14ac:dyDescent="0.25">
      <c r="A205" s="25"/>
      <c r="B205" s="12" t="str">
        <f>CONCATENATE("          ","6247"," - ","STORE SUPPLIES")</f>
        <v xml:space="preserve">          6247 - STORE SUPPLIES</v>
      </c>
      <c r="C205" s="12"/>
      <c r="D205" s="7">
        <v>9399.31</v>
      </c>
      <c r="E205" s="3"/>
      <c r="F205" s="8">
        <f t="shared" si="36"/>
        <v>1.0959400369522141E-2</v>
      </c>
      <c r="G205" s="3"/>
      <c r="H205" s="7">
        <v>781.56</v>
      </c>
      <c r="I205" s="3"/>
      <c r="J205" s="8">
        <f t="shared" si="37"/>
        <v>1.5422614079807107E-3</v>
      </c>
      <c r="K205" s="3"/>
      <c r="L205" s="7">
        <f t="shared" si="38"/>
        <v>8617.75</v>
      </c>
      <c r="M205" s="3"/>
      <c r="N205" s="8">
        <f t="shared" si="39"/>
        <v>11.026344746404627</v>
      </c>
      <c r="O205" s="12"/>
      <c r="P205" s="7">
        <v>56109.8</v>
      </c>
      <c r="Q205" s="3"/>
      <c r="R205" s="8">
        <f t="shared" si="40"/>
        <v>7.4620923162230382E-3</v>
      </c>
      <c r="S205" s="3"/>
      <c r="T205" s="7">
        <v>47247.87</v>
      </c>
      <c r="U205" s="3"/>
      <c r="V205" s="8">
        <f t="shared" si="41"/>
        <v>9.0697304943514277E-3</v>
      </c>
      <c r="W205" s="3"/>
      <c r="X205" s="7">
        <f t="shared" si="42"/>
        <v>8861.93</v>
      </c>
      <c r="Y205" s="3"/>
      <c r="Z205" s="8">
        <f t="shared" si="43"/>
        <v>0.1875625292738064</v>
      </c>
    </row>
    <row r="206" spans="1:26" s="68" customFormat="1" ht="15" customHeight="1" outlineLevel="1" collapsed="1" x14ac:dyDescent="0.25">
      <c r="A206" s="26"/>
      <c r="B206" s="14" t="str">
        <f>CONCATENATE("     ","Telephone/Data Lines                              ")</f>
        <v xml:space="preserve">     Telephone/Data Lines                              </v>
      </c>
      <c r="C206" s="14"/>
      <c r="D206" s="2">
        <f>SUM(OSRRefD22_21x_0)</f>
        <v>1654.19</v>
      </c>
      <c r="E206" s="2"/>
      <c r="F206" s="6">
        <f t="shared" si="36"/>
        <v>1.9287512059140335E-3</v>
      </c>
      <c r="G206" s="2"/>
      <c r="H206" s="2">
        <f>SUM(OSRRefH22_21x_0)</f>
        <v>1851.35</v>
      </c>
      <c r="I206" s="2"/>
      <c r="J206" s="6">
        <f t="shared" si="37"/>
        <v>3.6532904161741759E-3</v>
      </c>
      <c r="K206" s="2"/>
      <c r="L206" s="2">
        <f t="shared" si="38"/>
        <v>-197.15999999999985</v>
      </c>
      <c r="M206" s="2"/>
      <c r="N206" s="6">
        <f t="shared" si="39"/>
        <v>-0.10649526021551833</v>
      </c>
      <c r="O206" s="14"/>
      <c r="P206" s="2">
        <f>SUM(OSRRefP22_21x_0)</f>
        <v>20152.05</v>
      </c>
      <c r="Q206" s="2"/>
      <c r="R206" s="6">
        <f t="shared" si="40"/>
        <v>2.6800390923001414E-3</v>
      </c>
      <c r="S206" s="2"/>
      <c r="T206" s="2">
        <f>SUM(OSRRefT22_21x_0)</f>
        <v>23682.78</v>
      </c>
      <c r="U206" s="2"/>
      <c r="V206" s="6">
        <f t="shared" si="41"/>
        <v>4.5461611699536102E-3</v>
      </c>
      <c r="W206" s="2"/>
      <c r="X206" s="2">
        <f t="shared" si="42"/>
        <v>-3530.7299999999996</v>
      </c>
      <c r="Y206" s="2"/>
      <c r="Z206" s="6">
        <f t="shared" si="43"/>
        <v>-0.14908427135665661</v>
      </c>
    </row>
    <row r="207" spans="1:26" s="69" customFormat="1" ht="15" hidden="1" customHeight="1" outlineLevel="2" x14ac:dyDescent="0.25">
      <c r="A207" s="25"/>
      <c r="B207" s="12" t="str">
        <f>CONCATENATE("          ","6303"," - ","DATA PHONE LINES")</f>
        <v xml:space="preserve">          6303 - DATA PHONE LINES</v>
      </c>
      <c r="C207" s="12"/>
      <c r="D207" s="7"/>
      <c r="E207" s="3"/>
      <c r="F207" s="8">
        <f t="shared" si="36"/>
        <v>0</v>
      </c>
      <c r="G207" s="3"/>
      <c r="H207" s="7"/>
      <c r="I207" s="3"/>
      <c r="J207" s="8">
        <f t="shared" si="37"/>
        <v>0</v>
      </c>
      <c r="K207" s="3"/>
      <c r="L207" s="7">
        <f t="shared" si="38"/>
        <v>0</v>
      </c>
      <c r="M207" s="3"/>
      <c r="N207" s="8">
        <f t="shared" si="39"/>
        <v>0</v>
      </c>
      <c r="O207" s="12"/>
      <c r="P207" s="7">
        <v>295</v>
      </c>
      <c r="Q207" s="3"/>
      <c r="R207" s="8">
        <f t="shared" si="40"/>
        <v>3.9232312952207924E-5</v>
      </c>
      <c r="S207" s="3"/>
      <c r="T207" s="7">
        <v>3540</v>
      </c>
      <c r="U207" s="3"/>
      <c r="V207" s="8">
        <f t="shared" si="41"/>
        <v>6.7954060045466707E-4</v>
      </c>
      <c r="W207" s="3"/>
      <c r="X207" s="7">
        <f t="shared" si="42"/>
        <v>-3245</v>
      </c>
      <c r="Y207" s="3"/>
      <c r="Z207" s="8">
        <f t="shared" si="43"/>
        <v>-0.91666666666666663</v>
      </c>
    </row>
    <row r="208" spans="1:26" s="69" customFormat="1" ht="15" hidden="1" customHeight="1" outlineLevel="2" x14ac:dyDescent="0.25">
      <c r="A208" s="25"/>
      <c r="B208" s="12" t="str">
        <f>CONCATENATE("          ","6309"," - ","TELEPHONE")</f>
        <v xml:space="preserve">          6309 - TELEPHONE</v>
      </c>
      <c r="C208" s="12"/>
      <c r="D208" s="7">
        <v>1654.19</v>
      </c>
      <c r="E208" s="3"/>
      <c r="F208" s="8">
        <f t="shared" si="36"/>
        <v>1.9287512059140335E-3</v>
      </c>
      <c r="G208" s="3"/>
      <c r="H208" s="7">
        <v>1851.35</v>
      </c>
      <c r="I208" s="3"/>
      <c r="J208" s="8">
        <f t="shared" si="37"/>
        <v>3.6532904161741759E-3</v>
      </c>
      <c r="K208" s="3"/>
      <c r="L208" s="7">
        <f t="shared" si="38"/>
        <v>-197.15999999999985</v>
      </c>
      <c r="M208" s="3"/>
      <c r="N208" s="8">
        <f t="shared" si="39"/>
        <v>-0.10649526021551833</v>
      </c>
      <c r="O208" s="12"/>
      <c r="P208" s="7">
        <v>19857.05</v>
      </c>
      <c r="Q208" s="3"/>
      <c r="R208" s="8">
        <f t="shared" si="40"/>
        <v>2.6408067793479333E-3</v>
      </c>
      <c r="S208" s="3"/>
      <c r="T208" s="7">
        <v>20142.78</v>
      </c>
      <c r="U208" s="3"/>
      <c r="V208" s="8">
        <f t="shared" si="41"/>
        <v>3.8666205694989431E-3</v>
      </c>
      <c r="W208" s="3"/>
      <c r="X208" s="7">
        <f t="shared" si="42"/>
        <v>-285.72999999999956</v>
      </c>
      <c r="Y208" s="3"/>
      <c r="Z208" s="8">
        <f t="shared" si="43"/>
        <v>-1.4185231631383532E-2</v>
      </c>
    </row>
    <row r="209" spans="1:26" s="68" customFormat="1" ht="15" customHeight="1" outlineLevel="1" collapsed="1" x14ac:dyDescent="0.25">
      <c r="A209" s="26"/>
      <c r="B209" s="14" t="str">
        <f>CONCATENATE("     ","Training                                          ")</f>
        <v xml:space="preserve">     Training                                          </v>
      </c>
      <c r="C209" s="14"/>
      <c r="D209" s="2">
        <f>SUM(OSRRefD22_22x_0)</f>
        <v>5700</v>
      </c>
      <c r="E209" s="2"/>
      <c r="F209" s="6">
        <f t="shared" si="36"/>
        <v>6.6460816917705886E-3</v>
      </c>
      <c r="G209" s="2"/>
      <c r="H209" s="2">
        <f>SUM(OSRRefH22_22x_0)</f>
        <v>0</v>
      </c>
      <c r="I209" s="2"/>
      <c r="J209" s="6">
        <f t="shared" si="37"/>
        <v>0</v>
      </c>
      <c r="K209" s="2"/>
      <c r="L209" s="2">
        <f t="shared" si="38"/>
        <v>5700</v>
      </c>
      <c r="M209" s="2"/>
      <c r="N209" s="6">
        <f t="shared" si="39"/>
        <v>0</v>
      </c>
      <c r="O209" s="14"/>
      <c r="P209" s="2">
        <f>SUM(OSRRefP22_22x_0)</f>
        <v>6919</v>
      </c>
      <c r="Q209" s="2"/>
      <c r="R209" s="6">
        <f t="shared" si="40"/>
        <v>9.2016397734348012E-4</v>
      </c>
      <c r="S209" s="2"/>
      <c r="T209" s="2">
        <f>SUM(OSRRefT22_22x_0)</f>
        <v>895.63</v>
      </c>
      <c r="U209" s="2"/>
      <c r="V209" s="6">
        <f t="shared" si="41"/>
        <v>1.7192569152124675E-4</v>
      </c>
      <c r="W209" s="2"/>
      <c r="X209" s="2">
        <f t="shared" si="42"/>
        <v>6023.37</v>
      </c>
      <c r="Y209" s="2"/>
      <c r="Z209" s="6">
        <f t="shared" si="43"/>
        <v>6.7252883445172671</v>
      </c>
    </row>
    <row r="210" spans="1:26" s="69" customFormat="1" ht="15" hidden="1" customHeight="1" outlineLevel="2" x14ac:dyDescent="0.25">
      <c r="A210" s="25"/>
      <c r="B210" s="12" t="str">
        <f>CONCATENATE("          ","6376"," - ","TRAINING")</f>
        <v xml:space="preserve">          6376 - TRAINING</v>
      </c>
      <c r="C210" s="12"/>
      <c r="D210" s="7">
        <v>5700</v>
      </c>
      <c r="E210" s="3"/>
      <c r="F210" s="8">
        <f t="shared" si="36"/>
        <v>6.6460816917705886E-3</v>
      </c>
      <c r="G210" s="3"/>
      <c r="H210" s="7"/>
      <c r="I210" s="3"/>
      <c r="J210" s="8">
        <f t="shared" si="37"/>
        <v>0</v>
      </c>
      <c r="K210" s="3"/>
      <c r="L210" s="7">
        <f t="shared" si="38"/>
        <v>5700</v>
      </c>
      <c r="M210" s="3"/>
      <c r="N210" s="8">
        <f t="shared" si="39"/>
        <v>0</v>
      </c>
      <c r="O210" s="12"/>
      <c r="P210" s="7">
        <v>6919</v>
      </c>
      <c r="Q210" s="3"/>
      <c r="R210" s="8">
        <f t="shared" si="40"/>
        <v>9.2016397734348012E-4</v>
      </c>
      <c r="S210" s="3"/>
      <c r="T210" s="7">
        <v>895.63</v>
      </c>
      <c r="U210" s="3"/>
      <c r="V210" s="8">
        <f t="shared" si="41"/>
        <v>1.7192569152124675E-4</v>
      </c>
      <c r="W210" s="3"/>
      <c r="X210" s="7">
        <f t="shared" si="42"/>
        <v>6023.37</v>
      </c>
      <c r="Y210" s="3"/>
      <c r="Z210" s="8">
        <f t="shared" si="43"/>
        <v>6.7252883445172671</v>
      </c>
    </row>
    <row r="211" spans="1:26" s="68" customFormat="1" ht="15" customHeight="1" outlineLevel="1" collapsed="1" x14ac:dyDescent="0.25">
      <c r="A211" s="26"/>
      <c r="B211" s="14" t="str">
        <f>CONCATENATE("     ","Travel                                            ")</f>
        <v xml:space="preserve">     Travel                                            </v>
      </c>
      <c r="C211" s="14"/>
      <c r="D211" s="2">
        <f>SUM(OSRRefD22_23x_0)</f>
        <v>320.27</v>
      </c>
      <c r="E211" s="2"/>
      <c r="F211" s="6">
        <f t="shared" si="36"/>
        <v>3.7342817253041517E-4</v>
      </c>
      <c r="G211" s="2"/>
      <c r="H211" s="2">
        <f>SUM(OSRRefH22_23x_0)</f>
        <v>0</v>
      </c>
      <c r="I211" s="2"/>
      <c r="J211" s="6">
        <f t="shared" si="37"/>
        <v>0</v>
      </c>
      <c r="K211" s="2"/>
      <c r="L211" s="2">
        <f t="shared" si="38"/>
        <v>320.27</v>
      </c>
      <c r="M211" s="2"/>
      <c r="N211" s="6">
        <f t="shared" si="39"/>
        <v>0</v>
      </c>
      <c r="O211" s="14"/>
      <c r="P211" s="2">
        <f>SUM(OSRRefP22_23x_0)</f>
        <v>1605.25</v>
      </c>
      <c r="Q211" s="2"/>
      <c r="R211" s="6">
        <f t="shared" si="40"/>
        <v>2.1348362836112465E-4</v>
      </c>
      <c r="S211" s="2"/>
      <c r="T211" s="2">
        <f>SUM(OSRRefT22_23x_0)</f>
        <v>972.4</v>
      </c>
      <c r="U211" s="2"/>
      <c r="V211" s="6">
        <f t="shared" si="41"/>
        <v>1.8666250844127634E-4</v>
      </c>
      <c r="W211" s="2"/>
      <c r="X211" s="2">
        <f t="shared" si="42"/>
        <v>632.85</v>
      </c>
      <c r="Y211" s="2"/>
      <c r="Z211" s="6">
        <f t="shared" si="43"/>
        <v>0.65081242287124641</v>
      </c>
    </row>
    <row r="212" spans="1:26" s="69" customFormat="1" ht="15" hidden="1" customHeight="1" outlineLevel="2" x14ac:dyDescent="0.25">
      <c r="A212" s="25"/>
      <c r="B212" s="12" t="str">
        <f>CONCATENATE("          ","6292"," - ","TRAVEL/CONFERENCE")</f>
        <v xml:space="preserve">          6292 - TRAVEL/CONFERENCE</v>
      </c>
      <c r="C212" s="12"/>
      <c r="D212" s="7"/>
      <c r="E212" s="3"/>
      <c r="F212" s="8">
        <f t="shared" si="36"/>
        <v>0</v>
      </c>
      <c r="G212" s="3"/>
      <c r="H212" s="7"/>
      <c r="I212" s="3"/>
      <c r="J212" s="8">
        <f t="shared" si="37"/>
        <v>0</v>
      </c>
      <c r="K212" s="3"/>
      <c r="L212" s="7">
        <f t="shared" si="38"/>
        <v>0</v>
      </c>
      <c r="M212" s="3"/>
      <c r="N212" s="8">
        <f t="shared" si="39"/>
        <v>0</v>
      </c>
      <c r="O212" s="12"/>
      <c r="P212" s="7">
        <v>495</v>
      </c>
      <c r="Q212" s="3"/>
      <c r="R212" s="8">
        <f t="shared" si="40"/>
        <v>6.583049122489126E-5</v>
      </c>
      <c r="S212" s="3"/>
      <c r="T212" s="7">
        <v>299.16000000000003</v>
      </c>
      <c r="U212" s="3"/>
      <c r="V212" s="8">
        <f t="shared" si="41"/>
        <v>5.7426939557067295E-5</v>
      </c>
      <c r="W212" s="3"/>
      <c r="X212" s="7">
        <f t="shared" si="42"/>
        <v>195.83999999999997</v>
      </c>
      <c r="Y212" s="3"/>
      <c r="Z212" s="8">
        <f t="shared" si="43"/>
        <v>0.65463297232250284</v>
      </c>
    </row>
    <row r="213" spans="1:26" s="69" customFormat="1" ht="15" hidden="1" customHeight="1" outlineLevel="2" x14ac:dyDescent="0.25">
      <c r="A213" s="25"/>
      <c r="B213" s="12" t="str">
        <f>CONCATENATE("          ","6294"," - ","TRAVEL OPERATIONAL")</f>
        <v xml:space="preserve">          6294 - TRAVEL OPERATIONAL</v>
      </c>
      <c r="C213" s="12"/>
      <c r="D213" s="7">
        <v>207.39</v>
      </c>
      <c r="E213" s="3"/>
      <c r="F213" s="8">
        <f t="shared" si="36"/>
        <v>2.4181243544847409E-4</v>
      </c>
      <c r="G213" s="3"/>
      <c r="H213" s="7"/>
      <c r="I213" s="3"/>
      <c r="J213" s="8">
        <f t="shared" si="37"/>
        <v>0</v>
      </c>
      <c r="K213" s="3"/>
      <c r="L213" s="7">
        <f t="shared" si="38"/>
        <v>207.39</v>
      </c>
      <c r="M213" s="3"/>
      <c r="N213" s="8">
        <f t="shared" si="39"/>
        <v>0</v>
      </c>
      <c r="O213" s="12"/>
      <c r="P213" s="7">
        <v>610.87</v>
      </c>
      <c r="Q213" s="3"/>
      <c r="R213" s="8">
        <f t="shared" si="40"/>
        <v>8.1240145807170362E-5</v>
      </c>
      <c r="S213" s="3"/>
      <c r="T213" s="7">
        <v>613.35</v>
      </c>
      <c r="U213" s="3"/>
      <c r="V213" s="8">
        <f t="shared" si="41"/>
        <v>1.1773904725674296E-4</v>
      </c>
      <c r="W213" s="3"/>
      <c r="X213" s="7">
        <f t="shared" si="42"/>
        <v>-2.4800000000000182</v>
      </c>
      <c r="Y213" s="3"/>
      <c r="Z213" s="8">
        <f t="shared" si="43"/>
        <v>-4.0433683867286511E-3</v>
      </c>
    </row>
    <row r="214" spans="1:26" s="69" customFormat="1" ht="15" hidden="1" customHeight="1" outlineLevel="2" x14ac:dyDescent="0.25">
      <c r="A214" s="25"/>
      <c r="B214" s="12" t="str">
        <f>CONCATENATE("          ","6298"," - ","VEHICLE MILEAGE")</f>
        <v xml:space="preserve">          6298 - VEHICLE MILEAGE</v>
      </c>
      <c r="C214" s="12"/>
      <c r="D214" s="7">
        <v>112.88</v>
      </c>
      <c r="E214" s="3"/>
      <c r="F214" s="8">
        <f t="shared" si="36"/>
        <v>1.3161573708194105E-4</v>
      </c>
      <c r="G214" s="3"/>
      <c r="H214" s="7"/>
      <c r="I214" s="3"/>
      <c r="J214" s="8">
        <f t="shared" si="37"/>
        <v>0</v>
      </c>
      <c r="K214" s="3"/>
      <c r="L214" s="7">
        <f t="shared" si="38"/>
        <v>112.88</v>
      </c>
      <c r="M214" s="3"/>
      <c r="N214" s="8">
        <f t="shared" si="39"/>
        <v>0</v>
      </c>
      <c r="O214" s="12"/>
      <c r="P214" s="7">
        <v>499.38</v>
      </c>
      <c r="Q214" s="3"/>
      <c r="R214" s="8">
        <f t="shared" si="40"/>
        <v>6.6412991329063028E-5</v>
      </c>
      <c r="S214" s="3"/>
      <c r="T214" s="7">
        <v>59.89</v>
      </c>
      <c r="U214" s="3"/>
      <c r="V214" s="8">
        <f t="shared" si="41"/>
        <v>1.1496521627466105E-5</v>
      </c>
      <c r="W214" s="3"/>
      <c r="X214" s="7">
        <f t="shared" si="42"/>
        <v>439.49</v>
      </c>
      <c r="Y214" s="3"/>
      <c r="Z214" s="8">
        <f t="shared" si="43"/>
        <v>7.3382868592419435</v>
      </c>
    </row>
    <row r="215" spans="1:26" s="68" customFormat="1" ht="15" customHeight="1" outlineLevel="1" collapsed="1" x14ac:dyDescent="0.25">
      <c r="A215" s="26"/>
      <c r="B215" s="14" t="str">
        <f>CONCATENATE("     ","Utilities                                         ")</f>
        <v xml:space="preserve">     Utilities                                         </v>
      </c>
      <c r="C215" s="14"/>
      <c r="D215" s="2">
        <f>SUM(OSRRefD22_24x_0)</f>
        <v>29715.67</v>
      </c>
      <c r="E215" s="2"/>
      <c r="F215" s="6">
        <f t="shared" si="36"/>
        <v>3.4647854446613426E-2</v>
      </c>
      <c r="G215" s="2"/>
      <c r="H215" s="2">
        <f>SUM(OSRRefH22_24x_0)</f>
        <v>6162.9</v>
      </c>
      <c r="I215" s="2"/>
      <c r="J215" s="6">
        <f t="shared" si="37"/>
        <v>1.2161322011418601E-2</v>
      </c>
      <c r="K215" s="2"/>
      <c r="L215" s="2">
        <f t="shared" si="38"/>
        <v>23552.769999999997</v>
      </c>
      <c r="M215" s="2"/>
      <c r="N215" s="6">
        <f t="shared" si="39"/>
        <v>3.8217024452773853</v>
      </c>
      <c r="O215" s="14"/>
      <c r="P215" s="2">
        <f>SUM(OSRRefP22_24x_0)</f>
        <v>85002.89</v>
      </c>
      <c r="Q215" s="2"/>
      <c r="R215" s="6">
        <f t="shared" si="40"/>
        <v>1.130461010956646E-2</v>
      </c>
      <c r="S215" s="2"/>
      <c r="T215" s="2">
        <f>SUM(OSRRefT22_24x_0)</f>
        <v>64842.45</v>
      </c>
      <c r="U215" s="2"/>
      <c r="V215" s="6">
        <f t="shared" si="41"/>
        <v>1.2447197007895967E-2</v>
      </c>
      <c r="W215" s="2"/>
      <c r="X215" s="2">
        <f t="shared" si="42"/>
        <v>20160.440000000002</v>
      </c>
      <c r="Y215" s="2"/>
      <c r="Z215" s="6">
        <f t="shared" si="43"/>
        <v>0.31091422362973642</v>
      </c>
    </row>
    <row r="216" spans="1:26" s="69" customFormat="1" ht="15" hidden="1" customHeight="1" outlineLevel="2" x14ac:dyDescent="0.25">
      <c r="A216" s="25"/>
      <c r="B216" s="12" t="str">
        <f>CONCATENATE("          ","6274"," - ","UTILITIES")</f>
        <v xml:space="preserve">          6274 - UTILITIES</v>
      </c>
      <c r="C216" s="12"/>
      <c r="D216" s="7">
        <v>29715.67</v>
      </c>
      <c r="E216" s="3"/>
      <c r="F216" s="8">
        <f t="shared" si="36"/>
        <v>3.4647854446613426E-2</v>
      </c>
      <c r="G216" s="3"/>
      <c r="H216" s="7">
        <v>6162.9</v>
      </c>
      <c r="I216" s="3"/>
      <c r="J216" s="8">
        <f t="shared" si="37"/>
        <v>1.2161322011418601E-2</v>
      </c>
      <c r="K216" s="3"/>
      <c r="L216" s="7">
        <f t="shared" si="38"/>
        <v>23552.769999999997</v>
      </c>
      <c r="M216" s="3"/>
      <c r="N216" s="8">
        <f t="shared" si="39"/>
        <v>3.8217024452773853</v>
      </c>
      <c r="O216" s="12"/>
      <c r="P216" s="7">
        <v>85002.89</v>
      </c>
      <c r="Q216" s="3"/>
      <c r="R216" s="8">
        <f t="shared" si="40"/>
        <v>1.130461010956646E-2</v>
      </c>
      <c r="S216" s="3"/>
      <c r="T216" s="7">
        <v>64842.45</v>
      </c>
      <c r="U216" s="3"/>
      <c r="V216" s="8">
        <f t="shared" si="41"/>
        <v>1.2447197007895967E-2</v>
      </c>
      <c r="W216" s="3"/>
      <c r="X216" s="7">
        <f t="shared" si="42"/>
        <v>20160.440000000002</v>
      </c>
      <c r="Y216" s="3"/>
      <c r="Z216" s="8">
        <f t="shared" si="43"/>
        <v>0.31091422362973642</v>
      </c>
    </row>
    <row r="217" spans="1:26" s="64" customFormat="1" ht="15" customHeight="1" x14ac:dyDescent="0.25">
      <c r="A217" s="36"/>
      <c r="B217" s="36"/>
      <c r="C217" s="36"/>
      <c r="D217" s="2"/>
      <c r="E217" s="2"/>
      <c r="F217" s="6"/>
      <c r="G217" s="2"/>
      <c r="H217" s="2"/>
      <c r="I217" s="2"/>
      <c r="J217" s="6"/>
      <c r="K217" s="2"/>
      <c r="L217" s="2"/>
      <c r="M217" s="2"/>
      <c r="N217" s="6"/>
      <c r="O217" s="36"/>
      <c r="P217" s="2"/>
      <c r="Q217" s="2"/>
      <c r="R217" s="6"/>
      <c r="S217" s="2"/>
      <c r="T217" s="2"/>
      <c r="U217" s="2"/>
      <c r="V217" s="6"/>
      <c r="W217" s="2"/>
      <c r="X217" s="2"/>
      <c r="Y217" s="2"/>
      <c r="Z217" s="6"/>
    </row>
    <row r="218" spans="1:26" s="62" customFormat="1" ht="15" customHeight="1" collapsed="1" x14ac:dyDescent="0.25">
      <c r="A218" s="11"/>
      <c r="B218" s="28" t="s">
        <v>290</v>
      </c>
      <c r="C218" s="11"/>
      <c r="D218" s="5">
        <f>SUM(OSRRefD25x_0)</f>
        <v>440339.5</v>
      </c>
      <c r="E218" s="5"/>
      <c r="F218" s="13">
        <f t="shared" ref="F218:F223" si="44">IF(D$12=0,0,D218/D$12)</f>
        <v>0.51342671738831847</v>
      </c>
      <c r="G218" s="5"/>
      <c r="H218" s="5">
        <f>SUM(OSRRefH25x_0)</f>
        <v>60098.659999999996</v>
      </c>
      <c r="I218" s="5"/>
      <c r="J218" s="13">
        <f t="shared" ref="J218:J223" si="45">IF(H$12=0,0,H218/H$12)</f>
        <v>0.11859338245221611</v>
      </c>
      <c r="K218" s="5"/>
      <c r="L218" s="5">
        <f t="shared" ref="L218:L223" si="46">+D218-H218</f>
        <v>380240.84</v>
      </c>
      <c r="M218" s="5"/>
      <c r="N218" s="13">
        <f t="shared" ref="N218:N223" si="47">IF(H218=0,0,L218/H218)</f>
        <v>6.326943728861842</v>
      </c>
      <c r="O218" s="11"/>
      <c r="P218" s="5">
        <f>SUM(OSRRefP25x_0)</f>
        <v>1406300.6099999999</v>
      </c>
      <c r="Q218" s="5"/>
      <c r="R218" s="13">
        <f t="shared" ref="R218:R223" si="48">IF(P$12=0,0,P218/P$12)</f>
        <v>0.18702517164881663</v>
      </c>
      <c r="S218" s="5"/>
      <c r="T218" s="5">
        <f>SUM(OSRRefT25x_0)</f>
        <v>1053091.8299999998</v>
      </c>
      <c r="U218" s="5"/>
      <c r="V218" s="13">
        <f t="shared" ref="V218:V223" si="49">IF(T$12=0,0,T218/T$12)</f>
        <v>0.2021521622859051</v>
      </c>
      <c r="W218" s="5"/>
      <c r="X218" s="5">
        <f t="shared" ref="X218:X223" si="50">+P218-T218</f>
        <v>353208.78</v>
      </c>
      <c r="Y218" s="5"/>
      <c r="Z218" s="13">
        <f t="shared" ref="Z218:Z223" si="51">IF(T218=0,0,X218/T218)</f>
        <v>0.33540169046796242</v>
      </c>
    </row>
    <row r="219" spans="1:26" s="69" customFormat="1" ht="15" hidden="1" customHeight="1" outlineLevel="1" x14ac:dyDescent="0.25">
      <c r="A219" s="42"/>
      <c r="B219" s="12" t="str">
        <f>CONCATENATE("          ","4098"," - ","TAXABLE SALES-GRAD RENTALS")</f>
        <v xml:space="preserve">          4098 - TAXABLE SALES-GRAD RENTALS</v>
      </c>
      <c r="C219" s="12"/>
      <c r="D219" s="3">
        <f>0</f>
        <v>0</v>
      </c>
      <c r="E219" s="3"/>
      <c r="F219" s="20">
        <f t="shared" si="44"/>
        <v>0</v>
      </c>
      <c r="G219" s="3"/>
      <c r="H219" s="3">
        <f>0</f>
        <v>0</v>
      </c>
      <c r="I219" s="3"/>
      <c r="J219" s="20">
        <f t="shared" si="45"/>
        <v>0</v>
      </c>
      <c r="K219" s="3"/>
      <c r="L219" s="3">
        <f t="shared" si="46"/>
        <v>0</v>
      </c>
      <c r="M219" s="3"/>
      <c r="N219" s="20">
        <f t="shared" si="47"/>
        <v>0</v>
      </c>
      <c r="O219" s="12"/>
      <c r="P219" s="3">
        <f>0</f>
        <v>0</v>
      </c>
      <c r="Q219" s="3"/>
      <c r="R219" s="20">
        <f t="shared" si="48"/>
        <v>0</v>
      </c>
      <c r="S219" s="3"/>
      <c r="T219" s="3">
        <f>--49.95</f>
        <v>49.95</v>
      </c>
      <c r="U219" s="3"/>
      <c r="V219" s="20">
        <f t="shared" si="49"/>
        <v>9.5884330487883115E-6</v>
      </c>
      <c r="W219" s="3"/>
      <c r="X219" s="3">
        <f t="shared" si="50"/>
        <v>-49.95</v>
      </c>
      <c r="Y219" s="3"/>
      <c r="Z219" s="20">
        <f t="shared" si="51"/>
        <v>-1</v>
      </c>
    </row>
    <row r="220" spans="1:26" s="69" customFormat="1" ht="15" hidden="1" customHeight="1" outlineLevel="1" x14ac:dyDescent="0.25">
      <c r="A220" s="42"/>
      <c r="B220" s="12" t="str">
        <f>CONCATENATE("          ","9150"," - ","MISC. INCOME")</f>
        <v xml:space="preserve">          9150 - MISC. INCOME</v>
      </c>
      <c r="C220" s="12"/>
      <c r="D220" s="3">
        <f>--53704.78</f>
        <v>53704.78</v>
      </c>
      <c r="E220" s="3"/>
      <c r="F220" s="20">
        <f t="shared" si="44"/>
        <v>6.2618658792731097E-2</v>
      </c>
      <c r="G220" s="3"/>
      <c r="H220" s="3">
        <f>--56800.59</f>
        <v>56800.59</v>
      </c>
      <c r="I220" s="3"/>
      <c r="J220" s="20">
        <f t="shared" si="45"/>
        <v>0.11208526268940974</v>
      </c>
      <c r="K220" s="3"/>
      <c r="L220" s="3">
        <f t="shared" si="46"/>
        <v>-3095.8099999999977</v>
      </c>
      <c r="M220" s="3"/>
      <c r="N220" s="20">
        <f t="shared" si="47"/>
        <v>-5.4503131041420481E-2</v>
      </c>
      <c r="O220" s="12"/>
      <c r="P220" s="3">
        <f>--435196.06</f>
        <v>435196.06</v>
      </c>
      <c r="Q220" s="3"/>
      <c r="R220" s="20">
        <f t="shared" si="48"/>
        <v>5.7877111937246976E-2</v>
      </c>
      <c r="S220" s="3"/>
      <c r="T220" s="3">
        <f>--403420.29</f>
        <v>403420.29</v>
      </c>
      <c r="U220" s="3"/>
      <c r="V220" s="20">
        <f t="shared" si="49"/>
        <v>7.7440809633388674E-2</v>
      </c>
      <c r="W220" s="3"/>
      <c r="X220" s="3">
        <f t="shared" si="50"/>
        <v>31775.770000000019</v>
      </c>
      <c r="Y220" s="3"/>
      <c r="Z220" s="20">
        <f t="shared" si="51"/>
        <v>7.8765919284823335E-2</v>
      </c>
    </row>
    <row r="221" spans="1:26" s="69" customFormat="1" ht="15" hidden="1" customHeight="1" outlineLevel="1" x14ac:dyDescent="0.25">
      <c r="A221" s="42"/>
      <c r="B221" s="12" t="str">
        <f>CONCATENATE("          ","9151"," - ","MISC. INCOME")</f>
        <v xml:space="preserve">          9151 - MISC. INCOME</v>
      </c>
      <c r="C221" s="12"/>
      <c r="D221" s="3">
        <f>--626.04</f>
        <v>626.04</v>
      </c>
      <c r="E221" s="3"/>
      <c r="F221" s="20">
        <f t="shared" si="44"/>
        <v>7.2994964602036126E-4</v>
      </c>
      <c r="G221" s="3"/>
      <c r="H221" s="3">
        <f>0</f>
        <v>0</v>
      </c>
      <c r="I221" s="3"/>
      <c r="J221" s="20">
        <f t="shared" si="45"/>
        <v>0</v>
      </c>
      <c r="K221" s="3"/>
      <c r="L221" s="3">
        <f t="shared" si="46"/>
        <v>626.04</v>
      </c>
      <c r="M221" s="3"/>
      <c r="N221" s="20">
        <f t="shared" si="47"/>
        <v>0</v>
      </c>
      <c r="O221" s="12"/>
      <c r="P221" s="3">
        <f>--324387.74</f>
        <v>324387.74</v>
      </c>
      <c r="Q221" s="3"/>
      <c r="R221" s="20">
        <f t="shared" si="48"/>
        <v>4.314061468996426E-2</v>
      </c>
      <c r="S221" s="3"/>
      <c r="T221" s="3">
        <f>--295628.46</f>
        <v>295628.46000000002</v>
      </c>
      <c r="U221" s="3"/>
      <c r="V221" s="20">
        <f t="shared" si="49"/>
        <v>5.6749022943471339E-2</v>
      </c>
      <c r="W221" s="3"/>
      <c r="X221" s="3">
        <f t="shared" si="50"/>
        <v>28759.27999999997</v>
      </c>
      <c r="Y221" s="3"/>
      <c r="Z221" s="20">
        <f t="shared" si="51"/>
        <v>9.7281838155906797E-2</v>
      </c>
    </row>
    <row r="222" spans="1:26" s="69" customFormat="1" ht="15" hidden="1" customHeight="1" outlineLevel="1" x14ac:dyDescent="0.25">
      <c r="A222" s="42"/>
      <c r="B222" s="12" t="str">
        <f>CONCATENATE("          ","9152"," - ","MISC. INCOME")</f>
        <v xml:space="preserve">          9152 - MISC. INCOME</v>
      </c>
      <c r="C222" s="12"/>
      <c r="D222" s="3">
        <f>--1358.68</f>
        <v>1358.68</v>
      </c>
      <c r="E222" s="3"/>
      <c r="F222" s="20">
        <f t="shared" si="44"/>
        <v>1.5841926794692744E-3</v>
      </c>
      <c r="G222" s="3"/>
      <c r="H222" s="3">
        <f>--1436.07</f>
        <v>1436.07</v>
      </c>
      <c r="I222" s="3"/>
      <c r="J222" s="20">
        <f t="shared" si="45"/>
        <v>2.8338135781755197E-3</v>
      </c>
      <c r="K222" s="3"/>
      <c r="L222" s="3">
        <f t="shared" si="46"/>
        <v>-77.389999999999873</v>
      </c>
      <c r="M222" s="3"/>
      <c r="N222" s="20">
        <f t="shared" si="47"/>
        <v>-5.389013070393496E-2</v>
      </c>
      <c r="O222" s="12"/>
      <c r="P222" s="3">
        <f>--5247.11</f>
        <v>5247.11</v>
      </c>
      <c r="Q222" s="3"/>
      <c r="R222" s="20">
        <f t="shared" si="48"/>
        <v>6.978178359818973E-4</v>
      </c>
      <c r="S222" s="3"/>
      <c r="T222" s="3">
        <f>--5652.57</f>
        <v>5652.57</v>
      </c>
      <c r="U222" s="3"/>
      <c r="V222" s="20">
        <f t="shared" si="49"/>
        <v>1.0850708508226095E-3</v>
      </c>
      <c r="W222" s="3"/>
      <c r="X222" s="3">
        <f t="shared" si="50"/>
        <v>-405.46000000000004</v>
      </c>
      <c r="Y222" s="3"/>
      <c r="Z222" s="20">
        <f t="shared" si="51"/>
        <v>-7.1730204137233161E-2</v>
      </c>
    </row>
    <row r="223" spans="1:26" s="69" customFormat="1" ht="15" hidden="1" customHeight="1" outlineLevel="1" x14ac:dyDescent="0.25">
      <c r="A223" s="42"/>
      <c r="B223" s="12" t="str">
        <f>CONCATENATE("          ","9163"," - ","MISC. INCOME")</f>
        <v xml:space="preserve">          9163 - MISC. INCOME</v>
      </c>
      <c r="C223" s="12"/>
      <c r="D223" s="3">
        <f>--384650</f>
        <v>384650</v>
      </c>
      <c r="E223" s="3"/>
      <c r="F223" s="20">
        <f t="shared" si="44"/>
        <v>0.44849391627009771</v>
      </c>
      <c r="G223" s="3"/>
      <c r="H223" s="3">
        <f>--1862</f>
        <v>1862</v>
      </c>
      <c r="I223" s="3"/>
      <c r="J223" s="20">
        <f t="shared" si="45"/>
        <v>3.6743061846308453E-3</v>
      </c>
      <c r="K223" s="3"/>
      <c r="L223" s="3">
        <f t="shared" si="46"/>
        <v>382788</v>
      </c>
      <c r="M223" s="3"/>
      <c r="N223" s="20">
        <f t="shared" si="47"/>
        <v>205.57894736842104</v>
      </c>
      <c r="O223" s="12"/>
      <c r="P223" s="3">
        <f>--641469.7</f>
        <v>641469.69999999995</v>
      </c>
      <c r="Q223" s="3"/>
      <c r="R223" s="20">
        <f t="shared" si="48"/>
        <v>8.5309627185623488E-2</v>
      </c>
      <c r="S223" s="3"/>
      <c r="T223" s="3">
        <f>--348340.56</f>
        <v>348340.56</v>
      </c>
      <c r="U223" s="3"/>
      <c r="V223" s="20">
        <f t="shared" si="49"/>
        <v>6.686767042517372E-2</v>
      </c>
      <c r="W223" s="3"/>
      <c r="X223" s="3">
        <f t="shared" si="50"/>
        <v>293129.13999999996</v>
      </c>
      <c r="Y223" s="3"/>
      <c r="Z223" s="20">
        <f t="shared" si="51"/>
        <v>0.84150160406241514</v>
      </c>
    </row>
    <row r="224" spans="1:26" ht="15" customHeight="1" x14ac:dyDescent="0.25">
      <c r="A224" s="10"/>
      <c r="B224" s="11"/>
      <c r="C224" s="11"/>
      <c r="D224" s="4"/>
      <c r="E224" s="4"/>
      <c r="F224" s="9"/>
      <c r="G224" s="4"/>
      <c r="H224" s="4"/>
      <c r="I224" s="4"/>
      <c r="J224" s="9"/>
      <c r="K224" s="4"/>
      <c r="L224" s="4"/>
      <c r="M224" s="4"/>
      <c r="N224" s="9"/>
      <c r="O224" s="11"/>
      <c r="P224" s="4"/>
      <c r="Q224" s="4"/>
      <c r="R224" s="9"/>
      <c r="S224" s="4"/>
      <c r="T224" s="4"/>
      <c r="U224" s="4"/>
      <c r="V224" s="9"/>
      <c r="W224" s="4"/>
      <c r="X224" s="4"/>
      <c r="Y224" s="4"/>
      <c r="Z224" s="9"/>
    </row>
    <row r="225" spans="1:26" s="62" customFormat="1" ht="15" customHeight="1" x14ac:dyDescent="0.25">
      <c r="A225" s="11"/>
      <c r="B225" s="27" t="s">
        <v>291</v>
      </c>
      <c r="C225" s="27"/>
      <c r="D225" s="22">
        <f>+D126-D128+D218</f>
        <v>598943.67999999993</v>
      </c>
      <c r="E225" s="15"/>
      <c r="F225" s="23">
        <f>IF(D$12=0,0,D225/D$12)</f>
        <v>0.69835589930696518</v>
      </c>
      <c r="G225" s="15"/>
      <c r="H225" s="22">
        <f>+H126-H128+H218</f>
        <v>87503.740000000253</v>
      </c>
      <c r="I225" s="15"/>
      <c r="J225" s="23">
        <f>IF(H$12=0,0,H225/H$12)</f>
        <v>0.17267214450071453</v>
      </c>
      <c r="K225" s="16"/>
      <c r="L225" s="22">
        <f>+D225-H225</f>
        <v>511439.93999999971</v>
      </c>
      <c r="M225" s="16"/>
      <c r="N225" s="23">
        <f>IF(H225=0,0,L225/H225)</f>
        <v>5.8447780632004784</v>
      </c>
      <c r="O225" s="28"/>
      <c r="P225" s="22">
        <f>+P126-P128+P218</f>
        <v>1314124.0400000005</v>
      </c>
      <c r="Q225" s="15"/>
      <c r="R225" s="23">
        <f>IF(P$12=0,0,P225/P$12)</f>
        <v>0.17476652744169432</v>
      </c>
      <c r="S225" s="15"/>
      <c r="T225" s="22">
        <f>+T126-T128+T218</f>
        <v>200646.92999999854</v>
      </c>
      <c r="U225" s="15"/>
      <c r="V225" s="23">
        <f>IF(T$12=0,0,T225/T$12)</f>
        <v>3.851630940440242E-2</v>
      </c>
      <c r="W225" s="16"/>
      <c r="X225" s="22">
        <f>+P225-T225</f>
        <v>1113477.110000002</v>
      </c>
      <c r="Y225" s="16"/>
      <c r="Z225" s="23">
        <f>IF(T225=0,0,X225/T225)</f>
        <v>5.5494350698513557</v>
      </c>
    </row>
    <row r="226" spans="1:26" ht="15" customHeight="1" x14ac:dyDescent="0.25">
      <c r="A226" s="10"/>
      <c r="B226" s="11"/>
      <c r="C226" s="10"/>
      <c r="D226" s="4"/>
      <c r="E226" s="4"/>
      <c r="F226" s="9"/>
      <c r="G226" s="4"/>
      <c r="H226" s="4"/>
      <c r="I226" s="4"/>
      <c r="J226" s="9"/>
      <c r="K226" s="4"/>
      <c r="L226" s="4"/>
      <c r="M226" s="4"/>
      <c r="N226" s="9"/>
      <c r="P226" s="4"/>
      <c r="Q226" s="4"/>
      <c r="R226" s="9"/>
      <c r="S226" s="4"/>
      <c r="T226" s="4"/>
      <c r="U226" s="4"/>
      <c r="V226" s="9"/>
      <c r="W226" s="4"/>
      <c r="X226" s="4"/>
      <c r="Y226" s="4"/>
      <c r="Z226" s="9"/>
    </row>
    <row r="227" spans="1:26" s="62" customFormat="1" ht="15" customHeight="1" x14ac:dyDescent="0.25">
      <c r="A227" s="48"/>
      <c r="B227" s="11" t="s">
        <v>292</v>
      </c>
      <c r="C227" s="11"/>
      <c r="D227" s="5">
        <v>90702.2</v>
      </c>
      <c r="E227" s="5"/>
      <c r="F227" s="13">
        <f>IF(D$12=0,0,D227/D$12)</f>
        <v>0.10575688260058146</v>
      </c>
      <c r="G227" s="5"/>
      <c r="H227" s="5">
        <v>129388.52</v>
      </c>
      <c r="I227" s="5"/>
      <c r="J227" s="13">
        <f>IF(H$12=0,0,H227/H$12)</f>
        <v>0.25532386641043603</v>
      </c>
      <c r="K227" s="5"/>
      <c r="L227" s="5">
        <f>+D227-H227</f>
        <v>-38686.320000000007</v>
      </c>
      <c r="M227" s="5"/>
      <c r="N227" s="13">
        <f>IF(H227=0,0,L227/H227)</f>
        <v>-0.29899345011443063</v>
      </c>
      <c r="O227" s="11"/>
      <c r="P227" s="5">
        <v>845361.31</v>
      </c>
      <c r="Q227" s="5"/>
      <c r="R227" s="13">
        <f>IF(P$12=0,0,P227/P$12)</f>
        <v>0.11242535414104564</v>
      </c>
      <c r="S227" s="5"/>
      <c r="T227" s="5">
        <v>1113199.77</v>
      </c>
      <c r="U227" s="5"/>
      <c r="V227" s="13">
        <f>IF(T$12=0,0,T227/T$12)</f>
        <v>0.21369051981124218</v>
      </c>
      <c r="W227" s="5"/>
      <c r="X227" s="5">
        <f>+P227-T227</f>
        <v>-267838.45999999996</v>
      </c>
      <c r="Y227" s="5"/>
      <c r="Z227" s="13">
        <f>IF(T227=0,0,X227/T227)</f>
        <v>-0.24060233142160994</v>
      </c>
    </row>
    <row r="228" spans="1:26" ht="15" customHeight="1" x14ac:dyDescent="0.25">
      <c r="A228" s="10"/>
      <c r="B228" s="11"/>
      <c r="C228" s="11"/>
      <c r="D228" s="4"/>
      <c r="E228" s="4"/>
      <c r="F228" s="9"/>
      <c r="G228" s="4"/>
      <c r="H228" s="4"/>
      <c r="I228" s="4"/>
      <c r="J228" s="9"/>
      <c r="K228" s="4"/>
      <c r="L228" s="4"/>
      <c r="M228" s="4"/>
      <c r="N228" s="9"/>
      <c r="O228" s="11"/>
      <c r="P228" s="4"/>
      <c r="Q228" s="4"/>
      <c r="R228" s="9"/>
      <c r="S228" s="4"/>
      <c r="T228" s="4"/>
      <c r="U228" s="4"/>
      <c r="V228" s="9"/>
      <c r="W228" s="4"/>
      <c r="X228" s="4"/>
      <c r="Y228" s="4"/>
      <c r="Z228" s="9"/>
    </row>
    <row r="229" spans="1:26" s="62" customFormat="1" ht="15" customHeight="1" x14ac:dyDescent="0.25">
      <c r="A229" s="11"/>
      <c r="B229" s="27" t="s">
        <v>293</v>
      </c>
      <c r="C229" s="27"/>
      <c r="D229" s="35">
        <f>+D225-D227</f>
        <v>508241.47999999992</v>
      </c>
      <c r="E229" s="15"/>
      <c r="F229" s="30">
        <f>IF(D$12=0,0,D229/D$12)</f>
        <v>0.59259901670638371</v>
      </c>
      <c r="G229" s="15"/>
      <c r="H229" s="35">
        <f>+H225-H227</f>
        <v>-41884.779999999751</v>
      </c>
      <c r="I229" s="15"/>
      <c r="J229" s="30">
        <f>IF(H$12=0,0,H229/H$12)</f>
        <v>-8.2651721909721504E-2</v>
      </c>
      <c r="K229" s="16"/>
      <c r="L229" s="35">
        <f>D229-H229</f>
        <v>550126.25999999966</v>
      </c>
      <c r="M229" s="16"/>
      <c r="N229" s="30">
        <f>IF(H229=0,0,L229/H229)</f>
        <v>-13.134275982827244</v>
      </c>
      <c r="O229" s="28"/>
      <c r="P229" s="35">
        <f>+P225-P227</f>
        <v>468762.73000000045</v>
      </c>
      <c r="Q229" s="15"/>
      <c r="R229" s="30">
        <f>IF(P$12=0,0,P229/P$12)</f>
        <v>6.2341173300648693E-2</v>
      </c>
      <c r="S229" s="15"/>
      <c r="T229" s="35">
        <f>+T225-T227</f>
        <v>-912552.84000000148</v>
      </c>
      <c r="U229" s="15"/>
      <c r="V229" s="30">
        <f>IF(T$12=0,0,T229/T$12)</f>
        <v>-0.17517421040683975</v>
      </c>
      <c r="W229" s="16"/>
      <c r="X229" s="35">
        <f>P229-T229</f>
        <v>1381315.5700000019</v>
      </c>
      <c r="Y229" s="16"/>
      <c r="Z229" s="30">
        <f>IF(T229=0,0,X229/T229)</f>
        <v>-1.5136828350673914</v>
      </c>
    </row>
    <row r="230" spans="1:26" ht="15" customHeight="1" x14ac:dyDescent="0.25">
      <c r="A230" s="10"/>
      <c r="B230" s="10"/>
      <c r="C230" s="10"/>
      <c r="D230" s="4"/>
      <c r="E230" s="4"/>
      <c r="F230" s="9"/>
      <c r="G230" s="4"/>
      <c r="H230" s="4"/>
      <c r="I230" s="4"/>
      <c r="J230" s="9"/>
      <c r="K230" s="4"/>
      <c r="L230" s="4"/>
      <c r="M230" s="4"/>
      <c r="N230" s="9"/>
      <c r="P230" s="4"/>
      <c r="Q230" s="4"/>
      <c r="R230" s="9"/>
      <c r="S230" s="4"/>
      <c r="T230" s="4"/>
      <c r="U230" s="4"/>
      <c r="V230" s="9"/>
      <c r="W230" s="4"/>
      <c r="X230" s="4"/>
      <c r="Y230" s="4"/>
      <c r="Z230" s="9"/>
    </row>
    <row r="231" spans="1:26" ht="15" customHeight="1" x14ac:dyDescent="0.25">
      <c r="A231" s="10"/>
      <c r="B231" s="10"/>
      <c r="C231" s="10"/>
      <c r="D231" s="4"/>
      <c r="E231" s="4"/>
      <c r="F231" s="9"/>
      <c r="G231" s="4"/>
      <c r="H231" s="4"/>
      <c r="I231" s="4"/>
      <c r="J231" s="9"/>
      <c r="K231" s="4"/>
      <c r="L231" s="4"/>
      <c r="M231" s="4"/>
      <c r="N231" s="9"/>
      <c r="P231" s="4"/>
      <c r="Q231" s="4"/>
      <c r="R231" s="9"/>
      <c r="S231" s="4"/>
      <c r="T231" s="4"/>
      <c r="U231" s="4"/>
      <c r="V231" s="9"/>
      <c r="W231" s="4"/>
      <c r="X231" s="4"/>
      <c r="Y231" s="4"/>
      <c r="Z231" s="9"/>
    </row>
    <row r="232" spans="1:26" s="62" customFormat="1" ht="15" customHeight="1" x14ac:dyDescent="0.25">
      <c r="A232" s="11"/>
      <c r="B232" s="27" t="s">
        <v>296</v>
      </c>
      <c r="C232" s="27"/>
      <c r="D232" s="32">
        <f>SUM(D229:D231)</f>
        <v>508241.47999999992</v>
      </c>
      <c r="E232" s="15"/>
      <c r="F232" s="34">
        <f>IF(D$12=0,0,D232/D$12)</f>
        <v>0.59259901670638371</v>
      </c>
      <c r="G232" s="15"/>
      <c r="H232" s="32">
        <f>SUM(H229:H231)</f>
        <v>-41884.779999999751</v>
      </c>
      <c r="I232" s="15"/>
      <c r="J232" s="34">
        <f>IF(H$12=0,0,H232/H$12)</f>
        <v>-8.2651721909721504E-2</v>
      </c>
      <c r="K232" s="16"/>
      <c r="L232" s="32">
        <f>+D232-H232</f>
        <v>550126.25999999966</v>
      </c>
      <c r="M232" s="16"/>
      <c r="N232" s="34">
        <f>IF(H232=0,0,L232/H232)</f>
        <v>-13.134275982827244</v>
      </c>
      <c r="O232" s="28"/>
      <c r="P232" s="32">
        <f>SUM(P229:P231)</f>
        <v>468762.73000000045</v>
      </c>
      <c r="Q232" s="15"/>
      <c r="R232" s="34">
        <f>IF(P$12=0,0,P232/P$12)</f>
        <v>6.2341173300648693E-2</v>
      </c>
      <c r="S232" s="15"/>
      <c r="T232" s="32">
        <f>SUM(T229:T231)</f>
        <v>-912552.84000000148</v>
      </c>
      <c r="U232" s="15"/>
      <c r="V232" s="34">
        <f>IF(T$12=0,0,T232/T$12)</f>
        <v>-0.17517421040683975</v>
      </c>
      <c r="W232" s="16"/>
      <c r="X232" s="32">
        <f>+P232-T232</f>
        <v>1381315.5700000019</v>
      </c>
      <c r="Y232" s="16"/>
      <c r="Z232" s="34">
        <f>IF(T232=0,0,X232/T232)</f>
        <v>-1.5136828350673914</v>
      </c>
    </row>
    <row r="233" spans="1:26" ht="15" customHeight="1" x14ac:dyDescent="0.25">
      <c r="A233" s="10"/>
      <c r="C233" s="10"/>
      <c r="D233" s="18"/>
      <c r="E233" s="18"/>
      <c r="G233" s="18"/>
      <c r="H233" s="18"/>
      <c r="I233" s="18"/>
      <c r="J233" s="41"/>
      <c r="K233" s="18"/>
      <c r="L233" s="18"/>
      <c r="M233" s="18"/>
      <c r="P233" s="18"/>
      <c r="Q233" s="18"/>
      <c r="R233" s="41"/>
      <c r="S233" s="18"/>
      <c r="T233" s="18"/>
      <c r="U233" s="18"/>
      <c r="V233" s="41"/>
      <c r="W233" s="18"/>
      <c r="X233" s="18"/>
    </row>
    <row r="234" spans="1:26" ht="15" customHeight="1" x14ac:dyDescent="0.25">
      <c r="A234" s="10"/>
      <c r="B234" s="50">
        <v>44727.879620023145</v>
      </c>
      <c r="D234" s="18"/>
      <c r="E234" s="18"/>
      <c r="G234" s="18"/>
      <c r="H234" s="18"/>
      <c r="I234" s="18"/>
      <c r="J234" s="41"/>
      <c r="K234" s="18"/>
      <c r="L234" s="18"/>
      <c r="M234" s="18"/>
      <c r="P234" s="18"/>
      <c r="Q234" s="18"/>
      <c r="R234" s="41"/>
      <c r="S234" s="18"/>
      <c r="T234" s="18"/>
      <c r="U234" s="18"/>
      <c r="V234" s="41"/>
      <c r="W234" s="18"/>
      <c r="X234" s="18"/>
    </row>
    <row r="235" spans="1:26" ht="15" customHeight="1" x14ac:dyDescent="0.25">
      <c r="A235" s="10"/>
      <c r="B235" s="53" t="s">
        <v>297</v>
      </c>
      <c r="D235" s="18"/>
      <c r="E235" s="18"/>
      <c r="G235" s="18"/>
      <c r="H235" s="18"/>
      <c r="I235" s="18"/>
      <c r="J235" s="41"/>
      <c r="K235" s="18"/>
      <c r="L235" s="18"/>
      <c r="M235" s="18"/>
      <c r="P235" s="18"/>
      <c r="Q235" s="18"/>
      <c r="R235" s="41"/>
      <c r="S235" s="18"/>
      <c r="T235" s="18"/>
      <c r="U235" s="18"/>
      <c r="V235" s="41"/>
      <c r="W235" s="18"/>
      <c r="X235" s="18"/>
    </row>
    <row r="236" spans="1:26" ht="15" customHeight="1" x14ac:dyDescent="0.25">
      <c r="A236" s="10"/>
      <c r="B236" s="55"/>
      <c r="D236" s="18"/>
      <c r="E236" s="18"/>
      <c r="G236" s="18"/>
      <c r="H236" s="18"/>
      <c r="I236" s="18"/>
      <c r="J236" s="41"/>
      <c r="K236" s="18"/>
      <c r="L236" s="18"/>
      <c r="M236" s="18"/>
      <c r="P236" s="18"/>
      <c r="Q236" s="18"/>
      <c r="R236" s="41"/>
      <c r="S236" s="18"/>
      <c r="T236" s="18"/>
      <c r="U236" s="18"/>
      <c r="V236" s="41"/>
      <c r="W236" s="18"/>
      <c r="X236" s="18"/>
    </row>
    <row r="237" spans="1:26" ht="15" customHeight="1" x14ac:dyDescent="0.25">
      <c r="D237" s="18"/>
      <c r="E237" s="18"/>
      <c r="G237" s="18"/>
      <c r="H237" s="18"/>
      <c r="I237" s="18"/>
      <c r="J237" s="41"/>
      <c r="K237" s="18"/>
      <c r="L237" s="18"/>
      <c r="M237" s="18"/>
      <c r="P237" s="18"/>
      <c r="Q237" s="18"/>
      <c r="R237" s="41"/>
      <c r="S237" s="18"/>
      <c r="T237" s="18"/>
      <c r="U237" s="18"/>
      <c r="V237" s="41"/>
      <c r="W237" s="18"/>
      <c r="X23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1FE24-2897-A6F3-5DE5-874D86654BE3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278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6C395-1BC3-7946-9117-67F740EDB165}">
  <sheetPr>
    <tabColor theme="5" tint="0.39997558519241921"/>
    <outlinePr summaryBelow="0" summaryRight="0"/>
  </sheetPr>
  <dimension ref="A2:Z263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302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1271534.79</v>
      </c>
      <c r="E12" s="5"/>
      <c r="F12" s="13"/>
      <c r="G12" s="5"/>
      <c r="H12" s="5">
        <f>SUM(OSRRefH13x_0)</f>
        <v>656542.93999999971</v>
      </c>
      <c r="I12" s="5"/>
      <c r="J12" s="13"/>
      <c r="K12" s="5"/>
      <c r="L12" s="5">
        <f t="shared" ref="L12:L43" si="0">+D12-H12</f>
        <v>614991.85000000033</v>
      </c>
      <c r="M12" s="5"/>
      <c r="N12" s="13">
        <f t="shared" ref="N12:N43" si="1">IF(H12=0,0,L12/H12)</f>
        <v>0.93671230399644634</v>
      </c>
      <c r="O12" s="11"/>
      <c r="P12" s="5">
        <f>SUM(OSRRefP13x_0)</f>
        <v>10003716.029999999</v>
      </c>
      <c r="Q12" s="5"/>
      <c r="R12" s="13"/>
      <c r="S12" s="5"/>
      <c r="T12" s="5">
        <f>SUM(OSRRefT13x_0)</f>
        <v>7781966.2599999988</v>
      </c>
      <c r="U12" s="5"/>
      <c r="V12" s="13"/>
      <c r="W12" s="5"/>
      <c r="X12" s="5">
        <f t="shared" ref="X12:X43" si="2">+P12-T12</f>
        <v>2221749.7700000005</v>
      </c>
      <c r="Y12" s="5"/>
      <c r="Z12" s="13">
        <f t="shared" ref="Z12:Z43" si="3">IF(T12=0,0,X12/T12)</f>
        <v>0.28549979475238701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--1251492.52</f>
        <v>1251492.52</v>
      </c>
      <c r="E13" s="3"/>
      <c r="F13" s="20"/>
      <c r="G13" s="3"/>
      <c r="H13" s="3">
        <f>-11409.64</f>
        <v>-11409.64</v>
      </c>
      <c r="I13" s="3"/>
      <c r="J13" s="20"/>
      <c r="K13" s="3"/>
      <c r="L13" s="3">
        <f t="shared" si="0"/>
        <v>1262902.1599999999</v>
      </c>
      <c r="M13" s="3"/>
      <c r="N13" s="20">
        <f t="shared" si="1"/>
        <v>-110.68729250002629</v>
      </c>
      <c r="O13" s="12"/>
      <c r="P13" s="3">
        <f>--8920929.52</f>
        <v>8920929.5199999996</v>
      </c>
      <c r="Q13" s="3"/>
      <c r="R13" s="20"/>
      <c r="S13" s="3"/>
      <c r="T13" s="3">
        <f>-147412.94</f>
        <v>-147412.94</v>
      </c>
      <c r="U13" s="3"/>
      <c r="V13" s="20"/>
      <c r="W13" s="3"/>
      <c r="X13" s="3">
        <f t="shared" si="2"/>
        <v>9068342.459999999</v>
      </c>
      <c r="Y13" s="3"/>
      <c r="Z13" s="20">
        <f t="shared" si="3"/>
        <v>-61.516597253945271</v>
      </c>
    </row>
    <row r="14" spans="1:26" s="69" customFormat="1" ht="15" hidden="1" customHeight="1" outlineLevel="1" x14ac:dyDescent="0.25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--35278.2</f>
        <v>35278.199999999997</v>
      </c>
      <c r="I14" s="3"/>
      <c r="J14" s="20"/>
      <c r="K14" s="3"/>
      <c r="L14" s="3">
        <f t="shared" si="0"/>
        <v>-35278.199999999997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--1299088.56</f>
        <v>1299088.56</v>
      </c>
      <c r="U14" s="3"/>
      <c r="V14" s="20"/>
      <c r="W14" s="3"/>
      <c r="X14" s="3">
        <f t="shared" si="2"/>
        <v>-1299088.56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--11501.84</f>
        <v>11501.84</v>
      </c>
      <c r="I15" s="3"/>
      <c r="J15" s="20"/>
      <c r="K15" s="3"/>
      <c r="L15" s="3">
        <f t="shared" si="0"/>
        <v>-11501.84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--590270.47</f>
        <v>590270.47</v>
      </c>
      <c r="U15" s="3"/>
      <c r="V15" s="20"/>
      <c r="W15" s="3"/>
      <c r="X15" s="3">
        <f t="shared" si="2"/>
        <v>-590270.47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--494.96</f>
        <v>494.96</v>
      </c>
      <c r="I16" s="3"/>
      <c r="J16" s="20"/>
      <c r="K16" s="3"/>
      <c r="L16" s="3">
        <f t="shared" si="0"/>
        <v>-494.96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--18492.84</f>
        <v>18492.84</v>
      </c>
      <c r="U16" s="3"/>
      <c r="V16" s="20"/>
      <c r="W16" s="3"/>
      <c r="X16" s="3">
        <f t="shared" si="2"/>
        <v>-18492.84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--61.96</f>
        <v>61.96</v>
      </c>
      <c r="I18" s="3"/>
      <c r="J18" s="20"/>
      <c r="K18" s="3"/>
      <c r="L18" s="3">
        <f t="shared" si="0"/>
        <v>-61.96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--1325.79</f>
        <v>1325.79</v>
      </c>
      <c r="U18" s="3"/>
      <c r="V18" s="20"/>
      <c r="W18" s="3"/>
      <c r="X18" s="3">
        <f t="shared" si="2"/>
        <v>-1325.79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--31.17</f>
        <v>31.17</v>
      </c>
      <c r="I19" s="3"/>
      <c r="J19" s="20"/>
      <c r="K19" s="3"/>
      <c r="L19" s="3">
        <f t="shared" si="0"/>
        <v>-31.17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--515.72</f>
        <v>515.72</v>
      </c>
      <c r="U19" s="3"/>
      <c r="V19" s="20"/>
      <c r="W19" s="3"/>
      <c r="X19" s="3">
        <f t="shared" si="2"/>
        <v>-515.72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--35.38</f>
        <v>35.380000000000003</v>
      </c>
      <c r="I20" s="3"/>
      <c r="J20" s="20"/>
      <c r="K20" s="3"/>
      <c r="L20" s="3">
        <f t="shared" si="0"/>
        <v>-35.380000000000003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--508.48</f>
        <v>508.48</v>
      </c>
      <c r="U20" s="3"/>
      <c r="V20" s="20"/>
      <c r="W20" s="3"/>
      <c r="X20" s="3">
        <f t="shared" si="2"/>
        <v>-508.48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--36.37</f>
        <v>36.369999999999997</v>
      </c>
      <c r="I21" s="3"/>
      <c r="J21" s="20"/>
      <c r="K21" s="3"/>
      <c r="L21" s="3">
        <f t="shared" si="0"/>
        <v>-36.369999999999997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--522.54</f>
        <v>522.54</v>
      </c>
      <c r="U21" s="3"/>
      <c r="V21" s="20"/>
      <c r="W21" s="3"/>
      <c r="X21" s="3">
        <f t="shared" si="2"/>
        <v>-522.54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--6033.32</f>
        <v>6033.32</v>
      </c>
      <c r="I22" s="3"/>
      <c r="J22" s="20"/>
      <c r="K22" s="3"/>
      <c r="L22" s="3">
        <f t="shared" si="0"/>
        <v>-6033.32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--70104.29</f>
        <v>70104.289999999994</v>
      </c>
      <c r="U22" s="3"/>
      <c r="V22" s="20"/>
      <c r="W22" s="3"/>
      <c r="X22" s="3">
        <f t="shared" si="2"/>
        <v>-70104.289999999994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--1495.15</f>
        <v>1495.15</v>
      </c>
      <c r="I23" s="3"/>
      <c r="J23" s="20"/>
      <c r="K23" s="3"/>
      <c r="L23" s="3">
        <f t="shared" si="0"/>
        <v>-1495.15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--48395.32</f>
        <v>48395.32</v>
      </c>
      <c r="U23" s="3"/>
      <c r="V23" s="20"/>
      <c r="W23" s="3"/>
      <c r="X23" s="3">
        <f t="shared" si="2"/>
        <v>-48395.32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--490.12</f>
        <v>490.12</v>
      </c>
      <c r="I24" s="3"/>
      <c r="J24" s="20"/>
      <c r="K24" s="3"/>
      <c r="L24" s="3">
        <f t="shared" si="0"/>
        <v>-490.12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--4700.71</f>
        <v>4700.71</v>
      </c>
      <c r="U24" s="3"/>
      <c r="V24" s="20"/>
      <c r="W24" s="3"/>
      <c r="X24" s="3">
        <f t="shared" si="2"/>
        <v>-4700.71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","4034"," - ","TAXABLE SALES-SODA")</f>
        <v xml:space="preserve">          4034 - TAXABLE SALES-SODA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--6.78</f>
        <v>6.78</v>
      </c>
      <c r="U25" s="3"/>
      <c r="V25" s="20"/>
      <c r="W25" s="3"/>
      <c r="X25" s="3">
        <f t="shared" si="2"/>
        <v>-6.78</v>
      </c>
      <c r="Y25" s="3"/>
      <c r="Z25" s="20">
        <f t="shared" si="3"/>
        <v>-1</v>
      </c>
    </row>
    <row r="26" spans="1:26" s="69" customFormat="1" ht="15" hidden="1" customHeight="1" outlineLevel="1" x14ac:dyDescent="0.25">
      <c r="A26" s="42"/>
      <c r="B26" s="12" t="str">
        <f>CONCATENATE("          ","4040"," - ","TAXABLE SALES-LOGO CLOTHING")</f>
        <v xml:space="preserve">          4040 - TAXABLE SALES-LOGO CLOTHING</v>
      </c>
      <c r="C26" s="12"/>
      <c r="D26" s="3">
        <f>0</f>
        <v>0</v>
      </c>
      <c r="E26" s="3"/>
      <c r="F26" s="20"/>
      <c r="G26" s="3"/>
      <c r="H26" s="3">
        <f>--187399.42</f>
        <v>187399.42</v>
      </c>
      <c r="I26" s="3"/>
      <c r="J26" s="20"/>
      <c r="K26" s="3"/>
      <c r="L26" s="3">
        <f t="shared" si="0"/>
        <v>-187399.42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--1100580.15</f>
        <v>1100580.1499999999</v>
      </c>
      <c r="U26" s="3"/>
      <c r="V26" s="20"/>
      <c r="W26" s="3"/>
      <c r="X26" s="3">
        <f t="shared" si="2"/>
        <v>-1100580.1499999999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","4041"," - ","TAXABLE SALES-LOGO GIFTS")</f>
        <v xml:space="preserve">          4041 - TAXABLE SALES-LOGO GIFTS</v>
      </c>
      <c r="C27" s="12"/>
      <c r="D27" s="3">
        <f>0</f>
        <v>0</v>
      </c>
      <c r="E27" s="3"/>
      <c r="F27" s="20"/>
      <c r="G27" s="3"/>
      <c r="H27" s="3">
        <f>--191315.61</f>
        <v>191315.61</v>
      </c>
      <c r="I27" s="3"/>
      <c r="J27" s="20"/>
      <c r="K27" s="3"/>
      <c r="L27" s="3">
        <f t="shared" si="0"/>
        <v>-191315.61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--631772.59</f>
        <v>631772.59</v>
      </c>
      <c r="U27" s="3"/>
      <c r="V27" s="20"/>
      <c r="W27" s="3"/>
      <c r="X27" s="3">
        <f t="shared" si="2"/>
        <v>-631772.59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","4042"," - ","TAXABLE SALES-EVERYDAY GIFTS")</f>
        <v xml:space="preserve">          4042 - TAXABLE SALES-EVERYDAY GIFTS</v>
      </c>
      <c r="C28" s="12"/>
      <c r="D28" s="3">
        <f>0</f>
        <v>0</v>
      </c>
      <c r="E28" s="3"/>
      <c r="F28" s="20"/>
      <c r="G28" s="3"/>
      <c r="H28" s="3">
        <f>--8228.03</f>
        <v>8228.0300000000007</v>
      </c>
      <c r="I28" s="3"/>
      <c r="J28" s="20"/>
      <c r="K28" s="3"/>
      <c r="L28" s="3">
        <f t="shared" si="0"/>
        <v>-8228.0300000000007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--108906.55</f>
        <v>108906.55</v>
      </c>
      <c r="U28" s="3"/>
      <c r="V28" s="20"/>
      <c r="W28" s="3"/>
      <c r="X28" s="3">
        <f t="shared" si="2"/>
        <v>-108906.55</v>
      </c>
      <c r="Y28" s="3"/>
      <c r="Z28" s="20">
        <f t="shared" si="3"/>
        <v>-1</v>
      </c>
    </row>
    <row r="29" spans="1:26" s="69" customFormat="1" ht="15" hidden="1" customHeight="1" outlineLevel="1" x14ac:dyDescent="0.25">
      <c r="A29" s="42"/>
      <c r="B29" s="12" t="str">
        <f>CONCATENATE("          ","4043"," - ","TAXABLE SALES-CARDS")</f>
        <v xml:space="preserve">          4043 - TAXABLE SALES-CARDS</v>
      </c>
      <c r="C29" s="12"/>
      <c r="D29" s="3">
        <f>0</f>
        <v>0</v>
      </c>
      <c r="E29" s="3"/>
      <c r="F29" s="20"/>
      <c r="G29" s="3"/>
      <c r="H29" s="3">
        <f>--7218.29</f>
        <v>7218.29</v>
      </c>
      <c r="I29" s="3"/>
      <c r="J29" s="20"/>
      <c r="K29" s="3"/>
      <c r="L29" s="3">
        <f t="shared" si="0"/>
        <v>-7218.29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--144077.67</f>
        <v>144077.67000000001</v>
      </c>
      <c r="U29" s="3"/>
      <c r="V29" s="20"/>
      <c r="W29" s="3"/>
      <c r="X29" s="3">
        <f t="shared" si="2"/>
        <v>-144077.67000000001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","4044"," - ","TAXABLE SALES-ACCESSORIES")</f>
        <v xml:space="preserve">          4044 - TAXABLE SALES-ACCESSORIES</v>
      </c>
      <c r="C30" s="12"/>
      <c r="D30" s="3">
        <f>0</f>
        <v>0</v>
      </c>
      <c r="E30" s="3"/>
      <c r="F30" s="20"/>
      <c r="G30" s="3"/>
      <c r="H30" s="3">
        <f>--5024.1</f>
        <v>5024.1000000000004</v>
      </c>
      <c r="I30" s="3"/>
      <c r="J30" s="20"/>
      <c r="K30" s="3"/>
      <c r="L30" s="3">
        <f t="shared" si="0"/>
        <v>-5024.1000000000004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--41116.33</f>
        <v>41116.33</v>
      </c>
      <c r="U30" s="3"/>
      <c r="V30" s="20"/>
      <c r="W30" s="3"/>
      <c r="X30" s="3">
        <f t="shared" si="2"/>
        <v>-41116.33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","4045"," - ","TAXABLE SALES-SPECIAL ORDERS")</f>
        <v xml:space="preserve">          4045 - TAXABLE SALES-SPECIAL ORDERS</v>
      </c>
      <c r="C31" s="12"/>
      <c r="D31" s="3">
        <f>0</f>
        <v>0</v>
      </c>
      <c r="E31" s="3"/>
      <c r="F31" s="20"/>
      <c r="G31" s="3"/>
      <c r="H31" s="3">
        <f>--26335.59</f>
        <v>26335.59</v>
      </c>
      <c r="I31" s="3"/>
      <c r="J31" s="20"/>
      <c r="K31" s="3"/>
      <c r="L31" s="3">
        <f t="shared" si="0"/>
        <v>-26335.59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--233577.93</f>
        <v>233577.93</v>
      </c>
      <c r="U31" s="3"/>
      <c r="V31" s="20"/>
      <c r="W31" s="3"/>
      <c r="X31" s="3">
        <f t="shared" si="2"/>
        <v>-233577.93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","4081"," - ","TAXABLE SALES-ELECTRONICS")</f>
        <v xml:space="preserve">          4081 - TAXABLE SALES-ELECTRONICS</v>
      </c>
      <c r="C32" s="12"/>
      <c r="D32" s="3">
        <f>0</f>
        <v>0</v>
      </c>
      <c r="E32" s="3"/>
      <c r="F32" s="20"/>
      <c r="G32" s="3"/>
      <c r="H32" s="3">
        <f>--1857.91</f>
        <v>1857.91</v>
      </c>
      <c r="I32" s="3"/>
      <c r="J32" s="20"/>
      <c r="K32" s="3"/>
      <c r="L32" s="3">
        <f t="shared" si="0"/>
        <v>-1857.91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--64025.93</f>
        <v>64025.93</v>
      </c>
      <c r="U32" s="3"/>
      <c r="V32" s="20"/>
      <c r="W32" s="3"/>
      <c r="X32" s="3">
        <f t="shared" si="2"/>
        <v>-64025.93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","4082"," - ","TAXABLE SALES-COMPUTER HARDWAR")</f>
        <v xml:space="preserve">          4082 - TAXABLE SALES-COMPUTER HARDWAR</v>
      </c>
      <c r="C33" s="12"/>
      <c r="D33" s="3">
        <f>0</f>
        <v>0</v>
      </c>
      <c r="E33" s="3"/>
      <c r="F33" s="20"/>
      <c r="G33" s="3"/>
      <c r="H33" s="3">
        <f>--117610.99</f>
        <v>117610.99</v>
      </c>
      <c r="I33" s="3"/>
      <c r="J33" s="20"/>
      <c r="K33" s="3"/>
      <c r="L33" s="3">
        <f t="shared" si="0"/>
        <v>-117610.99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--2129658.62</f>
        <v>2129658.62</v>
      </c>
      <c r="U33" s="3"/>
      <c r="V33" s="20"/>
      <c r="W33" s="3"/>
      <c r="X33" s="3">
        <f t="shared" si="2"/>
        <v>-2129658.62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","4083"," - ","TAXABLE SALES-COMPUTER EQUIPME")</f>
        <v xml:space="preserve">          4083 - TAXABLE SALES-COMPUTER EQUIPME</v>
      </c>
      <c r="C34" s="12"/>
      <c r="D34" s="3">
        <f>0</f>
        <v>0</v>
      </c>
      <c r="E34" s="3"/>
      <c r="F34" s="20"/>
      <c r="G34" s="3"/>
      <c r="H34" s="3">
        <f>--10204.05</f>
        <v>10204.049999999999</v>
      </c>
      <c r="I34" s="3"/>
      <c r="J34" s="20"/>
      <c r="K34" s="3"/>
      <c r="L34" s="3">
        <f t="shared" si="0"/>
        <v>-10204.049999999999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--137146.98</f>
        <v>137146.98000000001</v>
      </c>
      <c r="U34" s="3"/>
      <c r="V34" s="20"/>
      <c r="W34" s="3"/>
      <c r="X34" s="3">
        <f t="shared" si="2"/>
        <v>-137146.98000000001</v>
      </c>
      <c r="Y34" s="3"/>
      <c r="Z34" s="20">
        <f t="shared" si="3"/>
        <v>-1</v>
      </c>
    </row>
    <row r="35" spans="1:26" s="69" customFormat="1" ht="15" hidden="1" customHeight="1" outlineLevel="1" x14ac:dyDescent="0.25">
      <c r="A35" s="42"/>
      <c r="B35" s="12" t="str">
        <f>CONCATENATE("          ","4085"," - ","TAXABLE SALES-SOFTWARE")</f>
        <v xml:space="preserve">          4085 - TAXABLE SALES-SOFTWARE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--4870.79</f>
        <v>4870.79</v>
      </c>
      <c r="U35" s="3"/>
      <c r="V35" s="20"/>
      <c r="W35" s="3"/>
      <c r="X35" s="3">
        <f t="shared" si="2"/>
        <v>-4870.79</v>
      </c>
      <c r="Y35" s="3"/>
      <c r="Z35" s="20">
        <f t="shared" si="3"/>
        <v>-1</v>
      </c>
    </row>
    <row r="36" spans="1:26" s="69" customFormat="1" ht="15" hidden="1" customHeight="1" outlineLevel="1" x14ac:dyDescent="0.25">
      <c r="A36" s="42"/>
      <c r="B36" s="12" t="str">
        <f>CONCATENATE("          ","4086"," - ","TAXABLE SALES-COMPUTER SUPPLIE")</f>
        <v xml:space="preserve">          4086 - TAXABLE SALES-COMPUTER SUPPLIE</v>
      </c>
      <c r="C36" s="12"/>
      <c r="D36" s="3">
        <f>0</f>
        <v>0</v>
      </c>
      <c r="E36" s="3"/>
      <c r="F36" s="20"/>
      <c r="G36" s="3"/>
      <c r="H36" s="3">
        <f>--1662.79</f>
        <v>1662.79</v>
      </c>
      <c r="I36" s="3"/>
      <c r="J36" s="20"/>
      <c r="K36" s="3"/>
      <c r="L36" s="3">
        <f t="shared" si="0"/>
        <v>-1662.79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--66932.42</f>
        <v>66932.42</v>
      </c>
      <c r="U36" s="3"/>
      <c r="V36" s="20"/>
      <c r="W36" s="3"/>
      <c r="X36" s="3">
        <f t="shared" si="2"/>
        <v>-66932.42</v>
      </c>
      <c r="Y36" s="3"/>
      <c r="Z36" s="20">
        <f t="shared" si="3"/>
        <v>-1</v>
      </c>
    </row>
    <row r="37" spans="1:26" s="69" customFormat="1" ht="15" hidden="1" customHeight="1" outlineLevel="1" x14ac:dyDescent="0.25">
      <c r="A37" s="42"/>
      <c r="B37" s="12" t="str">
        <f>CONCATENATE("          ","4095"," - ","TAXABLE SALES-CUSTOMER SERVICE")</f>
        <v xml:space="preserve">          4095 - TAXABLE SALES-CUSTOMER SERVICE</v>
      </c>
      <c r="C37" s="12"/>
      <c r="D37" s="3">
        <f>0</f>
        <v>0</v>
      </c>
      <c r="E37" s="3"/>
      <c r="F37" s="20"/>
      <c r="G37" s="3"/>
      <c r="H37" s="3">
        <f>--10891.24</f>
        <v>10891.24</v>
      </c>
      <c r="I37" s="3"/>
      <c r="J37" s="20"/>
      <c r="K37" s="3"/>
      <c r="L37" s="3">
        <f t="shared" si="0"/>
        <v>-10891.24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--13925.83</f>
        <v>13925.83</v>
      </c>
      <c r="U37" s="3"/>
      <c r="V37" s="20"/>
      <c r="W37" s="3"/>
      <c r="X37" s="3">
        <f t="shared" si="2"/>
        <v>-13925.83</v>
      </c>
      <c r="Y37" s="3"/>
      <c r="Z37" s="20">
        <f t="shared" si="3"/>
        <v>-1</v>
      </c>
    </row>
    <row r="38" spans="1:26" s="69" customFormat="1" ht="15" hidden="1" customHeight="1" outlineLevel="1" x14ac:dyDescent="0.25">
      <c r="A38" s="42"/>
      <c r="B38" s="12" t="str">
        <f>CONCATENATE("          ","4100"," - ","NON-TAXABLE SALES")</f>
        <v xml:space="preserve">          4100 - NON-TAXABLE SALES</v>
      </c>
      <c r="C38" s="12"/>
      <c r="D38" s="3">
        <f>--117354.41</f>
        <v>117354.41</v>
      </c>
      <c r="E38" s="3"/>
      <c r="F38" s="20"/>
      <c r="G38" s="3"/>
      <c r="H38" s="3">
        <f>--3546.21</f>
        <v>3546.21</v>
      </c>
      <c r="I38" s="3"/>
      <c r="J38" s="20"/>
      <c r="K38" s="3"/>
      <c r="L38" s="3">
        <f t="shared" si="0"/>
        <v>113808.2</v>
      </c>
      <c r="M38" s="3"/>
      <c r="N38" s="20">
        <f t="shared" si="1"/>
        <v>32.092910459335457</v>
      </c>
      <c r="O38" s="12"/>
      <c r="P38" s="3">
        <f>--2003204.78</f>
        <v>2003204.78</v>
      </c>
      <c r="Q38" s="3"/>
      <c r="R38" s="20"/>
      <c r="S38" s="3"/>
      <c r="T38" s="3">
        <f>--277384.98</f>
        <v>277384.98</v>
      </c>
      <c r="U38" s="3"/>
      <c r="V38" s="20"/>
      <c r="W38" s="3"/>
      <c r="X38" s="3">
        <f t="shared" si="2"/>
        <v>1725819.8</v>
      </c>
      <c r="Y38" s="3"/>
      <c r="Z38" s="20">
        <f t="shared" si="3"/>
        <v>6.2217492814499193</v>
      </c>
    </row>
    <row r="39" spans="1:26" s="69" customFormat="1" ht="15" hidden="1" customHeight="1" outlineLevel="1" x14ac:dyDescent="0.25">
      <c r="A39" s="42"/>
      <c r="B39" s="12" t="str">
        <f>CONCATENATE("          ","4101"," - ","NON-TAXABLE SALES-NEW TEXT")</f>
        <v xml:space="preserve">          4101 - NON-TAXABLE SALES-NEW TEXT</v>
      </c>
      <c r="C39" s="12"/>
      <c r="D39" s="3">
        <f>0</f>
        <v>0</v>
      </c>
      <c r="E39" s="3"/>
      <c r="F39" s="20"/>
      <c r="G39" s="3"/>
      <c r="H39" s="3">
        <f>--6450.33</f>
        <v>6450.33</v>
      </c>
      <c r="I39" s="3"/>
      <c r="J39" s="20"/>
      <c r="K39" s="3"/>
      <c r="L39" s="3">
        <f t="shared" si="0"/>
        <v>-6450.33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--119247.07</f>
        <v>119247.07</v>
      </c>
      <c r="U39" s="3"/>
      <c r="V39" s="20"/>
      <c r="W39" s="3"/>
      <c r="X39" s="3">
        <f t="shared" si="2"/>
        <v>-119247.07</v>
      </c>
      <c r="Y39" s="3"/>
      <c r="Z39" s="20">
        <f t="shared" si="3"/>
        <v>-1</v>
      </c>
    </row>
    <row r="40" spans="1:26" s="69" customFormat="1" ht="15" hidden="1" customHeight="1" outlineLevel="1" x14ac:dyDescent="0.25">
      <c r="A40" s="42"/>
      <c r="B40" s="12" t="str">
        <f>CONCATENATE("          ","4102"," - ","NON-TAXABLE SALES-USED TEXT")</f>
        <v xml:space="preserve">          4102 - NON-TAXABLE SALES-USED TEXT</v>
      </c>
      <c r="C40" s="12"/>
      <c r="D40" s="3">
        <f>0</f>
        <v>0</v>
      </c>
      <c r="E40" s="3"/>
      <c r="F40" s="20"/>
      <c r="G40" s="3"/>
      <c r="H40" s="3">
        <f>--2343.31</f>
        <v>2343.31</v>
      </c>
      <c r="I40" s="3"/>
      <c r="J40" s="20"/>
      <c r="K40" s="3"/>
      <c r="L40" s="3">
        <f t="shared" si="0"/>
        <v>-2343.31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--51046.73</f>
        <v>51046.73</v>
      </c>
      <c r="U40" s="3"/>
      <c r="V40" s="20"/>
      <c r="W40" s="3"/>
      <c r="X40" s="3">
        <f t="shared" si="2"/>
        <v>-51046.73</v>
      </c>
      <c r="Y40" s="3"/>
      <c r="Z40" s="20">
        <f t="shared" si="3"/>
        <v>-1</v>
      </c>
    </row>
    <row r="41" spans="1:26" s="69" customFormat="1" ht="15" hidden="1" customHeight="1" outlineLevel="1" x14ac:dyDescent="0.25">
      <c r="A41" s="42"/>
      <c r="B41" s="12" t="str">
        <f>CONCATENATE("          ","4103"," - ","NON-TAXABLE SALES-RENTAL TEXT")</f>
        <v xml:space="preserve">          4103 - NON-TAXABLE SALES-RENTAL TEXT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--1138.95</f>
        <v>1138.95</v>
      </c>
      <c r="U41" s="3"/>
      <c r="V41" s="20"/>
      <c r="W41" s="3"/>
      <c r="X41" s="3">
        <f t="shared" si="2"/>
        <v>-1138.95</v>
      </c>
      <c r="Y41" s="3"/>
      <c r="Z41" s="20">
        <f t="shared" si="3"/>
        <v>-1</v>
      </c>
    </row>
    <row r="42" spans="1:26" s="69" customFormat="1" ht="15" hidden="1" customHeight="1" outlineLevel="1" x14ac:dyDescent="0.25">
      <c r="A42" s="42"/>
      <c r="B42" s="12" t="str">
        <f>CONCATENATE("          ","4104"," - ","NON-TAXABLE SALES-DIGITAL TEXT")</f>
        <v xml:space="preserve">          4104 - NON-TAXABLE SALES-DIGITAL TEXT</v>
      </c>
      <c r="C42" s="12"/>
      <c r="D42" s="3">
        <f>0</f>
        <v>0</v>
      </c>
      <c r="E42" s="3"/>
      <c r="F42" s="20"/>
      <c r="G42" s="3"/>
      <c r="H42" s="3">
        <f>--10484.56</f>
        <v>10484.56</v>
      </c>
      <c r="I42" s="3"/>
      <c r="J42" s="20"/>
      <c r="K42" s="3"/>
      <c r="L42" s="3">
        <f t="shared" si="0"/>
        <v>-10484.56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--490887.73</f>
        <v>490887.73</v>
      </c>
      <c r="U42" s="3"/>
      <c r="V42" s="20"/>
      <c r="W42" s="3"/>
      <c r="X42" s="3">
        <f t="shared" si="2"/>
        <v>-490887.73</v>
      </c>
      <c r="Y42" s="3"/>
      <c r="Z42" s="20">
        <f t="shared" si="3"/>
        <v>-1</v>
      </c>
    </row>
    <row r="43" spans="1:26" s="69" customFormat="1" ht="15" hidden="1" customHeight="1" outlineLevel="1" x14ac:dyDescent="0.25">
      <c r="A43" s="42"/>
      <c r="B43" s="12" t="str">
        <f>CONCATENATE("          ","4113"," - ","NON-TAXABLE SALES-TRADE BOOKS")</f>
        <v xml:space="preserve">          4113 - NON-TAXABLE SALES-TRADE BOOKS</v>
      </c>
      <c r="C43" s="12"/>
      <c r="D43" s="3">
        <f>0</f>
        <v>0</v>
      </c>
      <c r="E43" s="3"/>
      <c r="F43" s="20"/>
      <c r="G43" s="3"/>
      <c r="H43" s="3">
        <f>0</f>
        <v>0</v>
      </c>
      <c r="I43" s="3"/>
      <c r="J43" s="20"/>
      <c r="K43" s="3"/>
      <c r="L43" s="3">
        <f t="shared" si="0"/>
        <v>0</v>
      </c>
      <c r="M43" s="3"/>
      <c r="N43" s="20">
        <f t="shared" si="1"/>
        <v>0</v>
      </c>
      <c r="O43" s="12"/>
      <c r="P43" s="3">
        <f>0</f>
        <v>0</v>
      </c>
      <c r="Q43" s="3"/>
      <c r="R43" s="20"/>
      <c r="S43" s="3"/>
      <c r="T43" s="3">
        <f>--12127.25</f>
        <v>12127.25</v>
      </c>
      <c r="U43" s="3"/>
      <c r="V43" s="20"/>
      <c r="W43" s="3"/>
      <c r="X43" s="3">
        <f t="shared" si="2"/>
        <v>-12127.25</v>
      </c>
      <c r="Y43" s="3"/>
      <c r="Z43" s="20">
        <f t="shared" si="3"/>
        <v>-1</v>
      </c>
    </row>
    <row r="44" spans="1:26" s="69" customFormat="1" ht="15" hidden="1" customHeight="1" outlineLevel="1" x14ac:dyDescent="0.25">
      <c r="A44" s="42"/>
      <c r="B44" s="12" t="str">
        <f>CONCATENATE("          ","4118"," - ","NON-TAXABLE SALES-STUDY GUIDES")</f>
        <v xml:space="preserve">          4118 - NON-TAXABLE SALES-STUDY GUIDES</v>
      </c>
      <c r="C44" s="12"/>
      <c r="D44" s="3">
        <f>0</f>
        <v>0</v>
      </c>
      <c r="E44" s="3"/>
      <c r="F44" s="20"/>
      <c r="G44" s="3"/>
      <c r="H44" s="3">
        <f>0</f>
        <v>0</v>
      </c>
      <c r="I44" s="3"/>
      <c r="J44" s="20"/>
      <c r="K44" s="3"/>
      <c r="L44" s="3">
        <f t="shared" ref="L44:L75" si="4">+D44-H44</f>
        <v>0</v>
      </c>
      <c r="M44" s="3"/>
      <c r="N44" s="20">
        <f t="shared" ref="N44:N75" si="5">IF(H44=0,0,L44/H44)</f>
        <v>0</v>
      </c>
      <c r="O44" s="12"/>
      <c r="P44" s="3">
        <f>0</f>
        <v>0</v>
      </c>
      <c r="Q44" s="3"/>
      <c r="R44" s="20"/>
      <c r="S44" s="3"/>
      <c r="T44" s="3">
        <f>--771.73</f>
        <v>771.73</v>
      </c>
      <c r="U44" s="3"/>
      <c r="V44" s="20"/>
      <c r="W44" s="3"/>
      <c r="X44" s="3">
        <f t="shared" ref="X44:X75" si="6">+P44-T44</f>
        <v>-771.73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25">
      <c r="A45" s="42"/>
      <c r="B45" s="12" t="str">
        <f>CONCATENATE("          ","4126"," - ","NON-TAXABLE SALES-WRITING INST")</f>
        <v xml:space="preserve">          4126 - NON-TAXABLE SALES-WRITING INST</v>
      </c>
      <c r="C45" s="12"/>
      <c r="D45" s="3">
        <f>0</f>
        <v>0</v>
      </c>
      <c r="E45" s="3"/>
      <c r="F45" s="20"/>
      <c r="G45" s="3"/>
      <c r="H45" s="3">
        <f>0</f>
        <v>0</v>
      </c>
      <c r="I45" s="3"/>
      <c r="J45" s="20"/>
      <c r="K45" s="3"/>
      <c r="L45" s="3">
        <f t="shared" si="4"/>
        <v>0</v>
      </c>
      <c r="M45" s="3"/>
      <c r="N45" s="20">
        <f t="shared" si="5"/>
        <v>0</v>
      </c>
      <c r="O45" s="12"/>
      <c r="P45" s="3">
        <f>0</f>
        <v>0</v>
      </c>
      <c r="Q45" s="3"/>
      <c r="R45" s="20"/>
      <c r="S45" s="3"/>
      <c r="T45" s="3">
        <f>--52.68</f>
        <v>52.68</v>
      </c>
      <c r="U45" s="3"/>
      <c r="V45" s="20"/>
      <c r="W45" s="3"/>
      <c r="X45" s="3">
        <f t="shared" si="6"/>
        <v>-52.68</v>
      </c>
      <c r="Y45" s="3"/>
      <c r="Z45" s="20">
        <f t="shared" si="7"/>
        <v>-1</v>
      </c>
    </row>
    <row r="46" spans="1:26" s="69" customFormat="1" ht="15" hidden="1" customHeight="1" outlineLevel="1" x14ac:dyDescent="0.25">
      <c r="A46" s="42"/>
      <c r="B46" s="12" t="str">
        <f>CONCATENATE("          ","4127"," - ","NON-TAXABLE SALES-SCHOOL SUPPL")</f>
        <v xml:space="preserve">          4127 - NON-TAXABLE SALES-SCHOOL SUPPL</v>
      </c>
      <c r="C46" s="12"/>
      <c r="D46" s="3">
        <f>0</f>
        <v>0</v>
      </c>
      <c r="E46" s="3"/>
      <c r="F46" s="20"/>
      <c r="G46" s="3"/>
      <c r="H46" s="3">
        <f>--548.05</f>
        <v>548.04999999999995</v>
      </c>
      <c r="I46" s="3"/>
      <c r="J46" s="20"/>
      <c r="K46" s="3"/>
      <c r="L46" s="3">
        <f t="shared" si="4"/>
        <v>-548.04999999999995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--7648.73</f>
        <v>7648.73</v>
      </c>
      <c r="U46" s="3"/>
      <c r="V46" s="20"/>
      <c r="W46" s="3"/>
      <c r="X46" s="3">
        <f t="shared" si="6"/>
        <v>-7648.73</v>
      </c>
      <c r="Y46" s="3"/>
      <c r="Z46" s="20">
        <f t="shared" si="7"/>
        <v>-1</v>
      </c>
    </row>
    <row r="47" spans="1:26" s="69" customFormat="1" ht="15" hidden="1" customHeight="1" outlineLevel="1" x14ac:dyDescent="0.25">
      <c r="A47" s="42"/>
      <c r="B47" s="12" t="str">
        <f>CONCATENATE("          ","4128"," - ","NON-TAXABLE SALES-ART/TECH")</f>
        <v xml:space="preserve">          4128 - NON-TAXABLE SALES-ART/TECH</v>
      </c>
      <c r="C47" s="12"/>
      <c r="D47" s="3">
        <f>0</f>
        <v>0</v>
      </c>
      <c r="E47" s="3"/>
      <c r="F47" s="20"/>
      <c r="G47" s="3"/>
      <c r="H47" s="3">
        <f>--45.96</f>
        <v>45.96</v>
      </c>
      <c r="I47" s="3"/>
      <c r="J47" s="20"/>
      <c r="K47" s="3"/>
      <c r="L47" s="3">
        <f t="shared" si="4"/>
        <v>-45.96</v>
      </c>
      <c r="M47" s="3"/>
      <c r="N47" s="20">
        <f t="shared" si="5"/>
        <v>-1</v>
      </c>
      <c r="O47" s="12"/>
      <c r="P47" s="3">
        <f>0</f>
        <v>0</v>
      </c>
      <c r="Q47" s="3"/>
      <c r="R47" s="20"/>
      <c r="S47" s="3"/>
      <c r="T47" s="3">
        <f>--115.91</f>
        <v>115.91</v>
      </c>
      <c r="U47" s="3"/>
      <c r="V47" s="20"/>
      <c r="W47" s="3"/>
      <c r="X47" s="3">
        <f t="shared" si="6"/>
        <v>-115.91</v>
      </c>
      <c r="Y47" s="3"/>
      <c r="Z47" s="20">
        <f t="shared" si="7"/>
        <v>-1</v>
      </c>
    </row>
    <row r="48" spans="1:26" s="69" customFormat="1" ht="15" hidden="1" customHeight="1" outlineLevel="1" x14ac:dyDescent="0.25">
      <c r="A48" s="42"/>
      <c r="B48" s="12" t="str">
        <f>CONCATENATE("          ","4131"," - ","NON-TAXABLE SALES-FOOD")</f>
        <v xml:space="preserve">          4131 - NON-TAXABLE SALES-FOOD</v>
      </c>
      <c r="C48" s="12"/>
      <c r="D48" s="3">
        <f>0</f>
        <v>0</v>
      </c>
      <c r="E48" s="3"/>
      <c r="F48" s="20"/>
      <c r="G48" s="3"/>
      <c r="H48" s="3">
        <f>--775.78</f>
        <v>775.78</v>
      </c>
      <c r="I48" s="3"/>
      <c r="J48" s="20"/>
      <c r="K48" s="3"/>
      <c r="L48" s="3">
        <f t="shared" si="4"/>
        <v>-775.78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--12156.14</f>
        <v>12156.14</v>
      </c>
      <c r="U48" s="3"/>
      <c r="V48" s="20"/>
      <c r="W48" s="3"/>
      <c r="X48" s="3">
        <f t="shared" si="6"/>
        <v>-12156.14</v>
      </c>
      <c r="Y48" s="3"/>
      <c r="Z48" s="20">
        <f t="shared" si="7"/>
        <v>-1</v>
      </c>
    </row>
    <row r="49" spans="1:26" s="69" customFormat="1" ht="15" hidden="1" customHeight="1" outlineLevel="1" x14ac:dyDescent="0.25">
      <c r="A49" s="42"/>
      <c r="B49" s="12" t="str">
        <f>CONCATENATE("          ","4132"," - ","NON-TAXABLE SALES-JUICE")</f>
        <v xml:space="preserve">          4132 - NON-TAXABLE SALES-JUICE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--22.49</f>
        <v>22.49</v>
      </c>
      <c r="U49" s="3"/>
      <c r="V49" s="20"/>
      <c r="W49" s="3"/>
      <c r="X49" s="3">
        <f t="shared" si="6"/>
        <v>-22.49</v>
      </c>
      <c r="Y49" s="3"/>
      <c r="Z49" s="20">
        <f t="shared" si="7"/>
        <v>-1</v>
      </c>
    </row>
    <row r="50" spans="1:26" s="69" customFormat="1" ht="15" hidden="1" customHeight="1" outlineLevel="1" x14ac:dyDescent="0.25">
      <c r="A50" s="42"/>
      <c r="B50" s="12" t="str">
        <f>CONCATENATE("          ","4133"," - ","NON-TAXABLE SALES-CANDY")</f>
        <v xml:space="preserve">          4133 - NON-TAXABLE SALES-CANDY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--80.71</f>
        <v>80.709999999999994</v>
      </c>
      <c r="U50" s="3"/>
      <c r="V50" s="20"/>
      <c r="W50" s="3"/>
      <c r="X50" s="3">
        <f t="shared" si="6"/>
        <v>-80.709999999999994</v>
      </c>
      <c r="Y50" s="3"/>
      <c r="Z50" s="20">
        <f t="shared" si="7"/>
        <v>-1</v>
      </c>
    </row>
    <row r="51" spans="1:26" s="69" customFormat="1" ht="15" hidden="1" customHeight="1" outlineLevel="1" x14ac:dyDescent="0.25">
      <c r="A51" s="42"/>
      <c r="B51" s="12" t="str">
        <f>CONCATENATE("          ","4134"," - ","NON-TAXABLE SALES-SODA")</f>
        <v xml:space="preserve">          4134 - NON-TAXABLE SALES-SODA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--45.53</f>
        <v>45.53</v>
      </c>
      <c r="U51" s="3"/>
      <c r="V51" s="20"/>
      <c r="W51" s="3"/>
      <c r="X51" s="3">
        <f t="shared" si="6"/>
        <v>-45.53</v>
      </c>
      <c r="Y51" s="3"/>
      <c r="Z51" s="20">
        <f t="shared" si="7"/>
        <v>-1</v>
      </c>
    </row>
    <row r="52" spans="1:26" s="69" customFormat="1" ht="15" hidden="1" customHeight="1" outlineLevel="1" x14ac:dyDescent="0.25">
      <c r="A52" s="42"/>
      <c r="B52" s="12" t="str">
        <f>CONCATENATE("          ","4137"," - ","NON-TAXABLE SALES-WATER")</f>
        <v xml:space="preserve">          4137 - NON-TAXABLE SALES-WATER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4"/>
        <v>0</v>
      </c>
      <c r="M52" s="3"/>
      <c r="N52" s="20">
        <f t="shared" si="5"/>
        <v>0</v>
      </c>
      <c r="O52" s="12"/>
      <c r="P52" s="3">
        <f>0</f>
        <v>0</v>
      </c>
      <c r="Q52" s="3"/>
      <c r="R52" s="20"/>
      <c r="S52" s="3"/>
      <c r="T52" s="3">
        <f>--68.25</f>
        <v>68.25</v>
      </c>
      <c r="U52" s="3"/>
      <c r="V52" s="20"/>
      <c r="W52" s="3"/>
      <c r="X52" s="3">
        <f t="shared" si="6"/>
        <v>-68.25</v>
      </c>
      <c r="Y52" s="3"/>
      <c r="Z52" s="20">
        <f t="shared" si="7"/>
        <v>-1</v>
      </c>
    </row>
    <row r="53" spans="1:26" s="69" customFormat="1" ht="15" hidden="1" customHeight="1" outlineLevel="1" x14ac:dyDescent="0.25">
      <c r="A53" s="42"/>
      <c r="B53" s="12" t="str">
        <f>CONCATENATE("          ","4140"," - ","NON-TAXABLE SALES-LOGO CLOTHIN")</f>
        <v xml:space="preserve">          4140 - NON-TAXABLE SALES-LOGO CLOTHIN</v>
      </c>
      <c r="C53" s="12"/>
      <c r="D53" s="3">
        <f>0</f>
        <v>0</v>
      </c>
      <c r="E53" s="3"/>
      <c r="F53" s="20"/>
      <c r="G53" s="3"/>
      <c r="H53" s="3">
        <f>--16733.37</f>
        <v>16733.37</v>
      </c>
      <c r="I53" s="3"/>
      <c r="J53" s="20"/>
      <c r="K53" s="3"/>
      <c r="L53" s="3">
        <f t="shared" si="4"/>
        <v>-16733.37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--171525.76</f>
        <v>171525.76000000001</v>
      </c>
      <c r="U53" s="3"/>
      <c r="V53" s="20"/>
      <c r="W53" s="3"/>
      <c r="X53" s="3">
        <f t="shared" si="6"/>
        <v>-171525.76000000001</v>
      </c>
      <c r="Y53" s="3"/>
      <c r="Z53" s="20">
        <f t="shared" si="7"/>
        <v>-1</v>
      </c>
    </row>
    <row r="54" spans="1:26" s="69" customFormat="1" ht="15" hidden="1" customHeight="1" outlineLevel="1" x14ac:dyDescent="0.25">
      <c r="A54" s="42"/>
      <c r="B54" s="12" t="str">
        <f>CONCATENATE("          ","4141"," - ","NON-TAXABLE SALES-LOGO GIFTS")</f>
        <v xml:space="preserve">          4141 - NON-TAXABLE SALES-LOGO GIFTS</v>
      </c>
      <c r="C54" s="12"/>
      <c r="D54" s="3">
        <f>0</f>
        <v>0</v>
      </c>
      <c r="E54" s="3"/>
      <c r="F54" s="20"/>
      <c r="G54" s="3"/>
      <c r="H54" s="3">
        <f>--2359.22</f>
        <v>2359.2199999999998</v>
      </c>
      <c r="I54" s="3"/>
      <c r="J54" s="20"/>
      <c r="K54" s="3"/>
      <c r="L54" s="3">
        <f t="shared" si="4"/>
        <v>-2359.2199999999998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--39156.03</f>
        <v>39156.03</v>
      </c>
      <c r="U54" s="3"/>
      <c r="V54" s="20"/>
      <c r="W54" s="3"/>
      <c r="X54" s="3">
        <f t="shared" si="6"/>
        <v>-39156.03</v>
      </c>
      <c r="Y54" s="3"/>
      <c r="Z54" s="20">
        <f t="shared" si="7"/>
        <v>-1</v>
      </c>
    </row>
    <row r="55" spans="1:26" s="69" customFormat="1" ht="15" hidden="1" customHeight="1" outlineLevel="1" x14ac:dyDescent="0.25">
      <c r="A55" s="42"/>
      <c r="B55" s="12" t="str">
        <f>CONCATENATE("          ","4142"," - ","NON-TAXABLE SALES-EVERYDAY GIF")</f>
        <v xml:space="preserve">          4142 - NON-TAXABLE SALES-EVERYDAY GIF</v>
      </c>
      <c r="C55" s="12"/>
      <c r="D55" s="3">
        <f>0</f>
        <v>0</v>
      </c>
      <c r="E55" s="3"/>
      <c r="F55" s="20"/>
      <c r="G55" s="3"/>
      <c r="H55" s="3">
        <f>--16.35</f>
        <v>16.350000000000001</v>
      </c>
      <c r="I55" s="3"/>
      <c r="J55" s="20"/>
      <c r="K55" s="3"/>
      <c r="L55" s="3">
        <f t="shared" si="4"/>
        <v>-16.350000000000001</v>
      </c>
      <c r="M55" s="3"/>
      <c r="N55" s="20">
        <f t="shared" si="5"/>
        <v>-1</v>
      </c>
      <c r="O55" s="12"/>
      <c r="P55" s="3">
        <f>0</f>
        <v>0</v>
      </c>
      <c r="Q55" s="3"/>
      <c r="R55" s="20"/>
      <c r="S55" s="3"/>
      <c r="T55" s="3">
        <f>--2604.45</f>
        <v>2604.4499999999998</v>
      </c>
      <c r="U55" s="3"/>
      <c r="V55" s="20"/>
      <c r="W55" s="3"/>
      <c r="X55" s="3">
        <f t="shared" si="6"/>
        <v>-2604.4499999999998</v>
      </c>
      <c r="Y55" s="3"/>
      <c r="Z55" s="20">
        <f t="shared" si="7"/>
        <v>-1</v>
      </c>
    </row>
    <row r="56" spans="1:26" s="69" customFormat="1" ht="15" hidden="1" customHeight="1" outlineLevel="1" x14ac:dyDescent="0.25">
      <c r="A56" s="42"/>
      <c r="B56" s="12" t="str">
        <f>CONCATENATE("          ","4143"," - ","NON-TAXABLE SALES-CARDS")</f>
        <v xml:space="preserve">          4143 - NON-TAXABLE SALES-CARDS</v>
      </c>
      <c r="C56" s="12"/>
      <c r="D56" s="3">
        <f>0</f>
        <v>0</v>
      </c>
      <c r="E56" s="3"/>
      <c r="F56" s="20"/>
      <c r="G56" s="3"/>
      <c r="H56" s="3">
        <f>--120.71</f>
        <v>120.71</v>
      </c>
      <c r="I56" s="3"/>
      <c r="J56" s="20"/>
      <c r="K56" s="3"/>
      <c r="L56" s="3">
        <f t="shared" si="4"/>
        <v>-120.71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--2552.16</f>
        <v>2552.16</v>
      </c>
      <c r="U56" s="3"/>
      <c r="V56" s="20"/>
      <c r="W56" s="3"/>
      <c r="X56" s="3">
        <f t="shared" si="6"/>
        <v>-2552.16</v>
      </c>
      <c r="Y56" s="3"/>
      <c r="Z56" s="20">
        <f t="shared" si="7"/>
        <v>-1</v>
      </c>
    </row>
    <row r="57" spans="1:26" s="69" customFormat="1" ht="15" hidden="1" customHeight="1" outlineLevel="1" x14ac:dyDescent="0.25">
      <c r="A57" s="42"/>
      <c r="B57" s="12" t="str">
        <f>CONCATENATE("          ","4144"," - ","NON-TAXABLE SALES-ACCESSORIES")</f>
        <v xml:space="preserve">          4144 - NON-TAXABLE SALES-ACCESSORIES</v>
      </c>
      <c r="C57" s="12"/>
      <c r="D57" s="3">
        <f>0</f>
        <v>0</v>
      </c>
      <c r="E57" s="3"/>
      <c r="F57" s="20"/>
      <c r="G57" s="3"/>
      <c r="H57" s="3">
        <f>--164.7</f>
        <v>164.7</v>
      </c>
      <c r="I57" s="3"/>
      <c r="J57" s="20"/>
      <c r="K57" s="3"/>
      <c r="L57" s="3">
        <f t="shared" si="4"/>
        <v>-164.7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--873.8</f>
        <v>873.8</v>
      </c>
      <c r="U57" s="3"/>
      <c r="V57" s="20"/>
      <c r="W57" s="3"/>
      <c r="X57" s="3">
        <f t="shared" si="6"/>
        <v>-873.8</v>
      </c>
      <c r="Y57" s="3"/>
      <c r="Z57" s="20">
        <f t="shared" si="7"/>
        <v>-1</v>
      </c>
    </row>
    <row r="58" spans="1:26" s="69" customFormat="1" ht="15" hidden="1" customHeight="1" outlineLevel="1" x14ac:dyDescent="0.25">
      <c r="A58" s="42"/>
      <c r="B58" s="12" t="str">
        <f>CONCATENATE("          ","4145"," - ","NON-TAXABLE SALES-SPECIAL ORDE")</f>
        <v xml:space="preserve">          4145 - NON-TAXABLE SALES-SPECIAL ORDE</v>
      </c>
      <c r="C58" s="12"/>
      <c r="D58" s="3">
        <f>0</f>
        <v>0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0</v>
      </c>
      <c r="M58" s="3"/>
      <c r="N58" s="20">
        <f t="shared" si="5"/>
        <v>0</v>
      </c>
      <c r="O58" s="12"/>
      <c r="P58" s="3">
        <f>0</f>
        <v>0</v>
      </c>
      <c r="Q58" s="3"/>
      <c r="R58" s="20"/>
      <c r="S58" s="3"/>
      <c r="T58" s="3">
        <f>--74066.89</f>
        <v>74066.89</v>
      </c>
      <c r="U58" s="3"/>
      <c r="V58" s="20"/>
      <c r="W58" s="3"/>
      <c r="X58" s="3">
        <f t="shared" si="6"/>
        <v>-74066.89</v>
      </c>
      <c r="Y58" s="3"/>
      <c r="Z58" s="20">
        <f t="shared" si="7"/>
        <v>-1</v>
      </c>
    </row>
    <row r="59" spans="1:26" s="69" customFormat="1" ht="15" hidden="1" customHeight="1" outlineLevel="1" x14ac:dyDescent="0.25">
      <c r="A59" s="42"/>
      <c r="B59" s="12" t="str">
        <f>CONCATENATE("          ","4146"," - ","NON-TAXABLE SALES-COIN OP MACH")</f>
        <v xml:space="preserve">          4146 - NON-TAXABLE SALES-COIN OP MACH</v>
      </c>
      <c r="C59" s="12"/>
      <c r="D59" s="3">
        <f>0</f>
        <v>0</v>
      </c>
      <c r="E59" s="3"/>
      <c r="F59" s="20"/>
      <c r="G59" s="3"/>
      <c r="H59" s="3">
        <f>--56.6</f>
        <v>56.6</v>
      </c>
      <c r="I59" s="3"/>
      <c r="J59" s="20"/>
      <c r="K59" s="3"/>
      <c r="L59" s="3">
        <f t="shared" si="4"/>
        <v>-56.6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--385.9</f>
        <v>385.9</v>
      </c>
      <c r="U59" s="3"/>
      <c r="V59" s="20"/>
      <c r="W59" s="3"/>
      <c r="X59" s="3">
        <f t="shared" si="6"/>
        <v>-385.9</v>
      </c>
      <c r="Y59" s="3"/>
      <c r="Z59" s="20">
        <f t="shared" si="7"/>
        <v>-1</v>
      </c>
    </row>
    <row r="60" spans="1:26" s="69" customFormat="1" ht="15" hidden="1" customHeight="1" outlineLevel="1" x14ac:dyDescent="0.25">
      <c r="A60" s="42"/>
      <c r="B60" s="12" t="str">
        <f>CONCATENATE("          ","4147"," - ","NON-TAXABLE SALES-MISC")</f>
        <v xml:space="preserve">          4147 - NON-TAXABLE SALES-MISC</v>
      </c>
      <c r="C60" s="12"/>
      <c r="D60" s="3">
        <f>0</f>
        <v>0</v>
      </c>
      <c r="E60" s="3"/>
      <c r="F60" s="20"/>
      <c r="G60" s="3"/>
      <c r="H60" s="3">
        <f>--13.5</f>
        <v>13.5</v>
      </c>
      <c r="I60" s="3"/>
      <c r="J60" s="20"/>
      <c r="K60" s="3"/>
      <c r="L60" s="3">
        <f t="shared" si="4"/>
        <v>-13.5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--168</f>
        <v>168</v>
      </c>
      <c r="U60" s="3"/>
      <c r="V60" s="20"/>
      <c r="W60" s="3"/>
      <c r="X60" s="3">
        <f t="shared" si="6"/>
        <v>-168</v>
      </c>
      <c r="Y60" s="3"/>
      <c r="Z60" s="20">
        <f t="shared" si="7"/>
        <v>-1</v>
      </c>
    </row>
    <row r="61" spans="1:26" s="69" customFormat="1" ht="15" hidden="1" customHeight="1" outlineLevel="1" x14ac:dyDescent="0.25">
      <c r="A61" s="42"/>
      <c r="B61" s="12" t="str">
        <f>CONCATENATE("          ","4181"," - ","NON-TAXABLE SALES-ELECTRONICS")</f>
        <v xml:space="preserve">          4181 - NON-TAXABLE SALES-ELECTRONICS</v>
      </c>
      <c r="C61" s="12"/>
      <c r="D61" s="3">
        <f>0</f>
        <v>0</v>
      </c>
      <c r="E61" s="3"/>
      <c r="F61" s="20"/>
      <c r="G61" s="3"/>
      <c r="H61" s="3">
        <f>--1779.96</f>
        <v>1779.96</v>
      </c>
      <c r="I61" s="3"/>
      <c r="J61" s="20"/>
      <c r="K61" s="3"/>
      <c r="L61" s="3">
        <f t="shared" si="4"/>
        <v>-1779.96</v>
      </c>
      <c r="M61" s="3"/>
      <c r="N61" s="20">
        <f t="shared" si="5"/>
        <v>-1</v>
      </c>
      <c r="O61" s="12"/>
      <c r="P61" s="3">
        <f>0</f>
        <v>0</v>
      </c>
      <c r="Q61" s="3"/>
      <c r="R61" s="20"/>
      <c r="S61" s="3"/>
      <c r="T61" s="3">
        <f>--14288.58</f>
        <v>14288.58</v>
      </c>
      <c r="U61" s="3"/>
      <c r="V61" s="20"/>
      <c r="W61" s="3"/>
      <c r="X61" s="3">
        <f t="shared" si="6"/>
        <v>-14288.58</v>
      </c>
      <c r="Y61" s="3"/>
      <c r="Z61" s="20">
        <f t="shared" si="7"/>
        <v>-1</v>
      </c>
    </row>
    <row r="62" spans="1:26" s="69" customFormat="1" ht="15" hidden="1" customHeight="1" outlineLevel="1" x14ac:dyDescent="0.25">
      <c r="A62" s="42"/>
      <c r="B62" s="12" t="str">
        <f>CONCATENATE("          ","4182"," - ","NON-TAXABLE SALES-COMPUTER HAR")</f>
        <v xml:space="preserve">          4182 - NON-TAXABLE SALES-COMPUTER HAR</v>
      </c>
      <c r="C62" s="12"/>
      <c r="D62" s="3">
        <f>0</f>
        <v>0</v>
      </c>
      <c r="E62" s="3"/>
      <c r="F62" s="20"/>
      <c r="G62" s="3"/>
      <c r="H62" s="3">
        <f>--33038.75</f>
        <v>33038.75</v>
      </c>
      <c r="I62" s="3"/>
      <c r="J62" s="20"/>
      <c r="K62" s="3"/>
      <c r="L62" s="3">
        <f t="shared" si="4"/>
        <v>-33038.75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--347529.22</f>
        <v>347529.22</v>
      </c>
      <c r="U62" s="3"/>
      <c r="V62" s="20"/>
      <c r="W62" s="3"/>
      <c r="X62" s="3">
        <f t="shared" si="6"/>
        <v>-347529.22</v>
      </c>
      <c r="Y62" s="3"/>
      <c r="Z62" s="20">
        <f t="shared" si="7"/>
        <v>-1</v>
      </c>
    </row>
    <row r="63" spans="1:26" s="69" customFormat="1" ht="15" hidden="1" customHeight="1" outlineLevel="1" x14ac:dyDescent="0.25">
      <c r="A63" s="42"/>
      <c r="B63" s="12" t="str">
        <f>CONCATENATE("          ","4183"," - ","NON-TAXABLE SALES-COMPUTER EQU")</f>
        <v xml:space="preserve">          4183 - NON-TAXABLE SALES-COMPUTER EQU</v>
      </c>
      <c r="C63" s="12"/>
      <c r="D63" s="3">
        <f>0</f>
        <v>0</v>
      </c>
      <c r="E63" s="3"/>
      <c r="F63" s="20"/>
      <c r="G63" s="3"/>
      <c r="H63" s="3">
        <f>--2959.73</f>
        <v>2959.73</v>
      </c>
      <c r="I63" s="3"/>
      <c r="J63" s="20"/>
      <c r="K63" s="3"/>
      <c r="L63" s="3">
        <f t="shared" si="4"/>
        <v>-2959.73</v>
      </c>
      <c r="M63" s="3"/>
      <c r="N63" s="20">
        <f t="shared" si="5"/>
        <v>-1</v>
      </c>
      <c r="O63" s="12"/>
      <c r="P63" s="3">
        <f>0</f>
        <v>0</v>
      </c>
      <c r="Q63" s="3"/>
      <c r="R63" s="20"/>
      <c r="S63" s="3"/>
      <c r="T63" s="3">
        <f>--22445.75</f>
        <v>22445.75</v>
      </c>
      <c r="U63" s="3"/>
      <c r="V63" s="20"/>
      <c r="W63" s="3"/>
      <c r="X63" s="3">
        <f t="shared" si="6"/>
        <v>-22445.75</v>
      </c>
      <c r="Y63" s="3"/>
      <c r="Z63" s="20">
        <f t="shared" si="7"/>
        <v>-1</v>
      </c>
    </row>
    <row r="64" spans="1:26" s="69" customFormat="1" ht="15" hidden="1" customHeight="1" outlineLevel="1" x14ac:dyDescent="0.25">
      <c r="A64" s="42"/>
      <c r="B64" s="12" t="str">
        <f>CONCATENATE("          ","4185"," - ","NON-TAXABLE SALES-SOFTWARE")</f>
        <v xml:space="preserve">          4185 - NON-TAXABLE SALES-SOFTWARE</v>
      </c>
      <c r="C64" s="12"/>
      <c r="D64" s="3">
        <f>0</f>
        <v>0</v>
      </c>
      <c r="E64" s="3"/>
      <c r="F64" s="20"/>
      <c r="G64" s="3"/>
      <c r="H64" s="3">
        <f>--5925.22</f>
        <v>5925.22</v>
      </c>
      <c r="I64" s="3"/>
      <c r="J64" s="20"/>
      <c r="K64" s="3"/>
      <c r="L64" s="3">
        <f t="shared" si="4"/>
        <v>-5925.22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--55957.61</f>
        <v>55957.61</v>
      </c>
      <c r="U64" s="3"/>
      <c r="V64" s="20"/>
      <c r="W64" s="3"/>
      <c r="X64" s="3">
        <f t="shared" si="6"/>
        <v>-55957.61</v>
      </c>
      <c r="Y64" s="3"/>
      <c r="Z64" s="20">
        <f t="shared" si="7"/>
        <v>-1</v>
      </c>
    </row>
    <row r="65" spans="1:26" s="69" customFormat="1" ht="15" hidden="1" customHeight="1" outlineLevel="1" x14ac:dyDescent="0.25">
      <c r="A65" s="42"/>
      <c r="B65" s="12" t="str">
        <f>CONCATENATE("          ","4186"," - ","NON-TAXABLE SALES-COMPUTER SUP")</f>
        <v xml:space="preserve">          4186 - NON-TAXABLE SALES-COMPUTER SUP</v>
      </c>
      <c r="C65" s="12"/>
      <c r="D65" s="3">
        <f>0</f>
        <v>0</v>
      </c>
      <c r="E65" s="3"/>
      <c r="F65" s="20"/>
      <c r="G65" s="3"/>
      <c r="H65" s="3">
        <f>--133.97</f>
        <v>133.97</v>
      </c>
      <c r="I65" s="3"/>
      <c r="J65" s="20"/>
      <c r="K65" s="3"/>
      <c r="L65" s="3">
        <f t="shared" si="4"/>
        <v>-133.97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--3479.14</f>
        <v>3479.14</v>
      </c>
      <c r="U65" s="3"/>
      <c r="V65" s="20"/>
      <c r="W65" s="3"/>
      <c r="X65" s="3">
        <f t="shared" si="6"/>
        <v>-3479.14</v>
      </c>
      <c r="Y65" s="3"/>
      <c r="Z65" s="20">
        <f t="shared" si="7"/>
        <v>-1</v>
      </c>
    </row>
    <row r="66" spans="1:26" s="69" customFormat="1" ht="15" hidden="1" customHeight="1" outlineLevel="1" x14ac:dyDescent="0.25">
      <c r="A66" s="42"/>
      <c r="B66" s="12" t="str">
        <f>CONCATENATE("          ","4200"," - ","TAXABLE RETURNS")</f>
        <v xml:space="preserve">          4200 - TAXABLE RETURNS</v>
      </c>
      <c r="C66" s="12"/>
      <c r="D66" s="3">
        <f>-75304.99</f>
        <v>-75304.990000000005</v>
      </c>
      <c r="E66" s="3"/>
      <c r="F66" s="20"/>
      <c r="G66" s="3"/>
      <c r="H66" s="3">
        <f>0</f>
        <v>0</v>
      </c>
      <c r="I66" s="3"/>
      <c r="J66" s="20"/>
      <c r="K66" s="3"/>
      <c r="L66" s="3">
        <f t="shared" si="4"/>
        <v>-75304.990000000005</v>
      </c>
      <c r="M66" s="3"/>
      <c r="N66" s="20">
        <f t="shared" si="5"/>
        <v>0</v>
      </c>
      <c r="O66" s="12"/>
      <c r="P66" s="3">
        <f>-748175.6</f>
        <v>-748175.6</v>
      </c>
      <c r="Q66" s="3"/>
      <c r="R66" s="20"/>
      <c r="S66" s="3"/>
      <c r="T66" s="3">
        <f>0</f>
        <v>0</v>
      </c>
      <c r="U66" s="3"/>
      <c r="V66" s="20"/>
      <c r="W66" s="3"/>
      <c r="X66" s="3">
        <f t="shared" si="6"/>
        <v>-748175.6</v>
      </c>
      <c r="Y66" s="3"/>
      <c r="Z66" s="20">
        <f t="shared" si="7"/>
        <v>0</v>
      </c>
    </row>
    <row r="67" spans="1:26" s="69" customFormat="1" ht="15" hidden="1" customHeight="1" outlineLevel="1" x14ac:dyDescent="0.25">
      <c r="A67" s="42"/>
      <c r="B67" s="12" t="str">
        <f>CONCATENATE("          ","4201"," - ","SALES RETURN TAXABLE-NEW TEXT")</f>
        <v xml:space="preserve">          4201 - SALES RETURN TAXABLE-NEW TEXT</v>
      </c>
      <c r="C67" s="12"/>
      <c r="D67" s="3">
        <f>0</f>
        <v>0</v>
      </c>
      <c r="E67" s="3"/>
      <c r="F67" s="20"/>
      <c r="G67" s="3"/>
      <c r="H67" s="3">
        <f>-658.4</f>
        <v>-658.4</v>
      </c>
      <c r="I67" s="3"/>
      <c r="J67" s="20"/>
      <c r="K67" s="3"/>
      <c r="L67" s="3">
        <f t="shared" si="4"/>
        <v>658.4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-52296.42</f>
        <v>-52296.42</v>
      </c>
      <c r="U67" s="3"/>
      <c r="V67" s="20"/>
      <c r="W67" s="3"/>
      <c r="X67" s="3">
        <f t="shared" si="6"/>
        <v>52296.42</v>
      </c>
      <c r="Y67" s="3"/>
      <c r="Z67" s="20">
        <f t="shared" si="7"/>
        <v>-1</v>
      </c>
    </row>
    <row r="68" spans="1:26" s="69" customFormat="1" ht="15" hidden="1" customHeight="1" outlineLevel="1" x14ac:dyDescent="0.25">
      <c r="A68" s="42"/>
      <c r="B68" s="12" t="str">
        <f>CONCATENATE("          ","4202"," - ","SALES RETURN TAXABLE-USED TEXT")</f>
        <v xml:space="preserve">          4202 - SALES RETURN TAXABLE-USED TEXT</v>
      </c>
      <c r="C68" s="12"/>
      <c r="D68" s="3">
        <f>0</f>
        <v>0</v>
      </c>
      <c r="E68" s="3"/>
      <c r="F68" s="20"/>
      <c r="G68" s="3"/>
      <c r="H68" s="3">
        <f>-359.4</f>
        <v>-359.4</v>
      </c>
      <c r="I68" s="3"/>
      <c r="J68" s="20"/>
      <c r="K68" s="3"/>
      <c r="L68" s="3">
        <f t="shared" si="4"/>
        <v>359.4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-20455.66</f>
        <v>-20455.66</v>
      </c>
      <c r="U68" s="3"/>
      <c r="V68" s="20"/>
      <c r="W68" s="3"/>
      <c r="X68" s="3">
        <f t="shared" si="6"/>
        <v>20455.66</v>
      </c>
      <c r="Y68" s="3"/>
      <c r="Z68" s="20">
        <f t="shared" si="7"/>
        <v>-1</v>
      </c>
    </row>
    <row r="69" spans="1:26" s="69" customFormat="1" ht="15" hidden="1" customHeight="1" outlineLevel="1" x14ac:dyDescent="0.25">
      <c r="A69" s="42"/>
      <c r="B69" s="12" t="str">
        <f>CONCATENATE("          ","4204"," - ","SALES RETURN TAXABLE-DIGITAL T")</f>
        <v xml:space="preserve">          4204 - SALES RETURN TAXABLE-DIGITAL T</v>
      </c>
      <c r="C69" s="12"/>
      <c r="D69" s="3">
        <f>0</f>
        <v>0</v>
      </c>
      <c r="E69" s="3"/>
      <c r="F69" s="20"/>
      <c r="G69" s="3"/>
      <c r="H69" s="3">
        <f>0</f>
        <v>0</v>
      </c>
      <c r="I69" s="3"/>
      <c r="J69" s="20"/>
      <c r="K69" s="3"/>
      <c r="L69" s="3">
        <f t="shared" si="4"/>
        <v>0</v>
      </c>
      <c r="M69" s="3"/>
      <c r="N69" s="20">
        <f t="shared" si="5"/>
        <v>0</v>
      </c>
      <c r="O69" s="12"/>
      <c r="P69" s="3">
        <f>0</f>
        <v>0</v>
      </c>
      <c r="Q69" s="3"/>
      <c r="R69" s="20"/>
      <c r="S69" s="3"/>
      <c r="T69" s="3">
        <f>-1763.1</f>
        <v>-1763.1</v>
      </c>
      <c r="U69" s="3"/>
      <c r="V69" s="20"/>
      <c r="W69" s="3"/>
      <c r="X69" s="3">
        <f t="shared" si="6"/>
        <v>1763.1</v>
      </c>
      <c r="Y69" s="3"/>
      <c r="Z69" s="20">
        <f t="shared" si="7"/>
        <v>-1</v>
      </c>
    </row>
    <row r="70" spans="1:26" s="69" customFormat="1" ht="15" hidden="1" customHeight="1" outlineLevel="1" x14ac:dyDescent="0.25">
      <c r="A70" s="42"/>
      <c r="B70" s="12" t="str">
        <f>CONCATENATE("          ","4213"," - ","NON-TAXABLE SALES-TRADE BOOKS")</f>
        <v xml:space="preserve">          4213 - NON-TAXABLE SALES-TRADE BOOKS</v>
      </c>
      <c r="C70" s="12"/>
      <c r="D70" s="3">
        <f>0</f>
        <v>0</v>
      </c>
      <c r="E70" s="3"/>
      <c r="F70" s="20"/>
      <c r="G70" s="3"/>
      <c r="H70" s="3">
        <f>-8.99</f>
        <v>-8.99</v>
      </c>
      <c r="I70" s="3"/>
      <c r="J70" s="20"/>
      <c r="K70" s="3"/>
      <c r="L70" s="3">
        <f t="shared" si="4"/>
        <v>8.99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-78.92</f>
        <v>-78.92</v>
      </c>
      <c r="U70" s="3"/>
      <c r="V70" s="20"/>
      <c r="W70" s="3"/>
      <c r="X70" s="3">
        <f t="shared" si="6"/>
        <v>78.92</v>
      </c>
      <c r="Y70" s="3"/>
      <c r="Z70" s="20">
        <f t="shared" si="7"/>
        <v>-1</v>
      </c>
    </row>
    <row r="71" spans="1:26" s="69" customFormat="1" ht="15" hidden="1" customHeight="1" outlineLevel="1" x14ac:dyDescent="0.25">
      <c r="A71" s="42"/>
      <c r="B71" s="12" t="str">
        <f>CONCATENATE("          ","4218"," - ","SALES RETURN TAXABLE-STUDY GUI")</f>
        <v xml:space="preserve">          4218 - SALES RETURN TAXABLE-STUDY GUI</v>
      </c>
      <c r="C71" s="12"/>
      <c r="D71" s="3">
        <f>0</f>
        <v>0</v>
      </c>
      <c r="E71" s="3"/>
      <c r="F71" s="20"/>
      <c r="G71" s="3"/>
      <c r="H71" s="3">
        <f>0</f>
        <v>0</v>
      </c>
      <c r="I71" s="3"/>
      <c r="J71" s="20"/>
      <c r="K71" s="3"/>
      <c r="L71" s="3">
        <f t="shared" si="4"/>
        <v>0</v>
      </c>
      <c r="M71" s="3"/>
      <c r="N71" s="20">
        <f t="shared" si="5"/>
        <v>0</v>
      </c>
      <c r="O71" s="12"/>
      <c r="P71" s="3">
        <f>0</f>
        <v>0</v>
      </c>
      <c r="Q71" s="3"/>
      <c r="R71" s="20"/>
      <c r="S71" s="3"/>
      <c r="T71" s="3">
        <f>-5.21</f>
        <v>-5.21</v>
      </c>
      <c r="U71" s="3"/>
      <c r="V71" s="20"/>
      <c r="W71" s="3"/>
      <c r="X71" s="3">
        <f t="shared" si="6"/>
        <v>5.21</v>
      </c>
      <c r="Y71" s="3"/>
      <c r="Z71" s="20">
        <f t="shared" si="7"/>
        <v>-1</v>
      </c>
    </row>
    <row r="72" spans="1:26" s="69" customFormat="1" ht="15" hidden="1" customHeight="1" outlineLevel="1" x14ac:dyDescent="0.25">
      <c r="A72" s="42"/>
      <c r="B72" s="12" t="str">
        <f>CONCATENATE("          ","4226"," - ","SALES RETURN TAXABLE-WRITING I")</f>
        <v xml:space="preserve">          4226 - SALES RETURN TAXABLE-WRITING I</v>
      </c>
      <c r="C72" s="12"/>
      <c r="D72" s="3">
        <f>0</f>
        <v>0</v>
      </c>
      <c r="E72" s="3"/>
      <c r="F72" s="20"/>
      <c r="G72" s="3"/>
      <c r="H72" s="3">
        <f>-0.79</f>
        <v>-0.79</v>
      </c>
      <c r="I72" s="3"/>
      <c r="J72" s="20"/>
      <c r="K72" s="3"/>
      <c r="L72" s="3">
        <f t="shared" si="4"/>
        <v>0.79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-35.02</f>
        <v>-35.020000000000003</v>
      </c>
      <c r="U72" s="3"/>
      <c r="V72" s="20"/>
      <c r="W72" s="3"/>
      <c r="X72" s="3">
        <f t="shared" si="6"/>
        <v>35.020000000000003</v>
      </c>
      <c r="Y72" s="3"/>
      <c r="Z72" s="20">
        <f t="shared" si="7"/>
        <v>-1</v>
      </c>
    </row>
    <row r="73" spans="1:26" s="69" customFormat="1" ht="15" hidden="1" customHeight="1" outlineLevel="1" x14ac:dyDescent="0.25">
      <c r="A73" s="42"/>
      <c r="B73" s="12" t="str">
        <f>CONCATENATE("          ","4227"," - ","SALES RETURN TAXABLE-SCHOOL SU")</f>
        <v xml:space="preserve">          4227 - SALES RETURN TAXABLE-SCHOOL SU</v>
      </c>
      <c r="C73" s="12"/>
      <c r="D73" s="3">
        <f>0</f>
        <v>0</v>
      </c>
      <c r="E73" s="3"/>
      <c r="F73" s="20"/>
      <c r="G73" s="3"/>
      <c r="H73" s="3">
        <f>-137.82</f>
        <v>-137.82</v>
      </c>
      <c r="I73" s="3"/>
      <c r="J73" s="20"/>
      <c r="K73" s="3"/>
      <c r="L73" s="3">
        <f t="shared" si="4"/>
        <v>137.82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-1484.48</f>
        <v>-1484.48</v>
      </c>
      <c r="U73" s="3"/>
      <c r="V73" s="20"/>
      <c r="W73" s="3"/>
      <c r="X73" s="3">
        <f t="shared" si="6"/>
        <v>1484.48</v>
      </c>
      <c r="Y73" s="3"/>
      <c r="Z73" s="20">
        <f t="shared" si="7"/>
        <v>-1</v>
      </c>
    </row>
    <row r="74" spans="1:26" s="69" customFormat="1" ht="15" hidden="1" customHeight="1" outlineLevel="1" x14ac:dyDescent="0.25">
      <c r="A74" s="42"/>
      <c r="B74" s="12" t="str">
        <f>CONCATENATE("          ","4228"," - ","SALES RETURN TAXABLE-ART/TECH")</f>
        <v xml:space="preserve">          4228 - SALES RETURN TAXABLE-ART/TECH</v>
      </c>
      <c r="C74" s="12"/>
      <c r="D74" s="3">
        <f>0</f>
        <v>0</v>
      </c>
      <c r="E74" s="3"/>
      <c r="F74" s="20"/>
      <c r="G74" s="3"/>
      <c r="H74" s="3">
        <f>0</f>
        <v>0</v>
      </c>
      <c r="I74" s="3"/>
      <c r="J74" s="20"/>
      <c r="K74" s="3"/>
      <c r="L74" s="3">
        <f t="shared" si="4"/>
        <v>0</v>
      </c>
      <c r="M74" s="3"/>
      <c r="N74" s="20">
        <f t="shared" si="5"/>
        <v>0</v>
      </c>
      <c r="O74" s="12"/>
      <c r="P74" s="3">
        <f>0</f>
        <v>0</v>
      </c>
      <c r="Q74" s="3"/>
      <c r="R74" s="20"/>
      <c r="S74" s="3"/>
      <c r="T74" s="3">
        <f>-12973.73</f>
        <v>-12973.73</v>
      </c>
      <c r="U74" s="3"/>
      <c r="V74" s="20"/>
      <c r="W74" s="3"/>
      <c r="X74" s="3">
        <f t="shared" si="6"/>
        <v>12973.73</v>
      </c>
      <c r="Y74" s="3"/>
      <c r="Z74" s="20">
        <f t="shared" si="7"/>
        <v>-1</v>
      </c>
    </row>
    <row r="75" spans="1:26" s="69" customFormat="1" ht="15" hidden="1" customHeight="1" outlineLevel="1" x14ac:dyDescent="0.25">
      <c r="A75" s="42"/>
      <c r="B75" s="12" t="str">
        <f>CONCATENATE("          ","4240"," - ","SALES RETURN TAXABLE-LOGO CLOT")</f>
        <v xml:space="preserve">          4240 - SALES RETURN TAXABLE-LOGO CLOT</v>
      </c>
      <c r="C75" s="12"/>
      <c r="D75" s="3">
        <f>0</f>
        <v>0</v>
      </c>
      <c r="E75" s="3"/>
      <c r="F75" s="20"/>
      <c r="G75" s="3"/>
      <c r="H75" s="3">
        <f>-6427.17</f>
        <v>-6427.17</v>
      </c>
      <c r="I75" s="3"/>
      <c r="J75" s="20"/>
      <c r="K75" s="3"/>
      <c r="L75" s="3">
        <f t="shared" si="4"/>
        <v>6427.17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-47093.44</f>
        <v>-47093.440000000002</v>
      </c>
      <c r="U75" s="3"/>
      <c r="V75" s="20"/>
      <c r="W75" s="3"/>
      <c r="X75" s="3">
        <f t="shared" si="6"/>
        <v>47093.440000000002</v>
      </c>
      <c r="Y75" s="3"/>
      <c r="Z75" s="20">
        <f t="shared" si="7"/>
        <v>-1</v>
      </c>
    </row>
    <row r="76" spans="1:26" s="69" customFormat="1" ht="15" hidden="1" customHeight="1" outlineLevel="1" x14ac:dyDescent="0.25">
      <c r="A76" s="42"/>
      <c r="B76" s="12" t="str">
        <f>CONCATENATE("          ","4241"," - ","SALES RETURN TAXABLE-LOGO GIFT")</f>
        <v xml:space="preserve">          4241 - SALES RETURN TAXABLE-LOGO GIFT</v>
      </c>
      <c r="C76" s="12"/>
      <c r="D76" s="3">
        <f>0</f>
        <v>0</v>
      </c>
      <c r="E76" s="3"/>
      <c r="F76" s="20"/>
      <c r="G76" s="3"/>
      <c r="H76" s="3">
        <f>-4505.29</f>
        <v>-4505.29</v>
      </c>
      <c r="I76" s="3"/>
      <c r="J76" s="20"/>
      <c r="K76" s="3"/>
      <c r="L76" s="3">
        <f t="shared" ref="L76:L96" si="8">+D76-H76</f>
        <v>4505.29</v>
      </c>
      <c r="M76" s="3"/>
      <c r="N76" s="20">
        <f t="shared" ref="N76:N96" si="9">IF(H76=0,0,L76/H76)</f>
        <v>-1</v>
      </c>
      <c r="O76" s="12"/>
      <c r="P76" s="3">
        <f>0</f>
        <v>0</v>
      </c>
      <c r="Q76" s="3"/>
      <c r="R76" s="20"/>
      <c r="S76" s="3"/>
      <c r="T76" s="3">
        <f>-16680.54</f>
        <v>-16680.54</v>
      </c>
      <c r="U76" s="3"/>
      <c r="V76" s="20"/>
      <c r="W76" s="3"/>
      <c r="X76" s="3">
        <f t="shared" ref="X76:X96" si="10">+P76-T76</f>
        <v>16680.54</v>
      </c>
      <c r="Y76" s="3"/>
      <c r="Z76" s="20">
        <f t="shared" ref="Z76:Z96" si="11">IF(T76=0,0,X76/T76)</f>
        <v>-1</v>
      </c>
    </row>
    <row r="77" spans="1:26" s="69" customFormat="1" ht="15" hidden="1" customHeight="1" outlineLevel="1" x14ac:dyDescent="0.25">
      <c r="A77" s="42"/>
      <c r="B77" s="12" t="str">
        <f>CONCATENATE("          ","4242"," - ","SALES RETURN TAXABLE-EVERYDAY")</f>
        <v xml:space="preserve">          4242 - SALES RETURN TAXABLE-EVERYDAY</v>
      </c>
      <c r="C77" s="12"/>
      <c r="D77" s="3">
        <f>0</f>
        <v>0</v>
      </c>
      <c r="E77" s="3"/>
      <c r="F77" s="20"/>
      <c r="G77" s="3"/>
      <c r="H77" s="3">
        <f>-107</f>
        <v>-107</v>
      </c>
      <c r="I77" s="3"/>
      <c r="J77" s="20"/>
      <c r="K77" s="3"/>
      <c r="L77" s="3">
        <f t="shared" si="8"/>
        <v>107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-2743.09</f>
        <v>-2743.09</v>
      </c>
      <c r="U77" s="3"/>
      <c r="V77" s="20"/>
      <c r="W77" s="3"/>
      <c r="X77" s="3">
        <f t="shared" si="10"/>
        <v>2743.09</v>
      </c>
      <c r="Y77" s="3"/>
      <c r="Z77" s="20">
        <f t="shared" si="11"/>
        <v>-1</v>
      </c>
    </row>
    <row r="78" spans="1:26" s="69" customFormat="1" ht="15" hidden="1" customHeight="1" outlineLevel="1" x14ac:dyDescent="0.25">
      <c r="A78" s="42"/>
      <c r="B78" s="12" t="str">
        <f>CONCATENATE("          ","4243"," - ","SALES RETURN TAXABLE-CARDS")</f>
        <v xml:space="preserve">          4243 - SALES RETURN TAXABLE-CARDS</v>
      </c>
      <c r="C78" s="12"/>
      <c r="D78" s="3">
        <f>0</f>
        <v>0</v>
      </c>
      <c r="E78" s="3"/>
      <c r="F78" s="20"/>
      <c r="G78" s="3"/>
      <c r="H78" s="3">
        <f>-76.9</f>
        <v>-76.900000000000006</v>
      </c>
      <c r="I78" s="3"/>
      <c r="J78" s="20"/>
      <c r="K78" s="3"/>
      <c r="L78" s="3">
        <f t="shared" si="8"/>
        <v>76.900000000000006</v>
      </c>
      <c r="M78" s="3"/>
      <c r="N78" s="20">
        <f t="shared" si="9"/>
        <v>-1</v>
      </c>
      <c r="O78" s="12"/>
      <c r="P78" s="3">
        <f>0</f>
        <v>0</v>
      </c>
      <c r="Q78" s="3"/>
      <c r="R78" s="20"/>
      <c r="S78" s="3"/>
      <c r="T78" s="3">
        <f>-6218.99</f>
        <v>-6218.99</v>
      </c>
      <c r="U78" s="3"/>
      <c r="V78" s="20"/>
      <c r="W78" s="3"/>
      <c r="X78" s="3">
        <f t="shared" si="10"/>
        <v>6218.99</v>
      </c>
      <c r="Y78" s="3"/>
      <c r="Z78" s="20">
        <f t="shared" si="11"/>
        <v>-1</v>
      </c>
    </row>
    <row r="79" spans="1:26" s="69" customFormat="1" ht="15" hidden="1" customHeight="1" outlineLevel="1" x14ac:dyDescent="0.25">
      <c r="A79" s="42"/>
      <c r="B79" s="12" t="str">
        <f>CONCATENATE("          ","4244"," - ","SALES RETURN TAXABLE-ACCESSORI")</f>
        <v xml:space="preserve">          4244 - SALES RETURN TAXABLE-ACCESSORI</v>
      </c>
      <c r="C79" s="12"/>
      <c r="D79" s="3">
        <f>0</f>
        <v>0</v>
      </c>
      <c r="E79" s="3"/>
      <c r="F79" s="20"/>
      <c r="G79" s="3"/>
      <c r="H79" s="3">
        <f>-24.41</f>
        <v>-24.41</v>
      </c>
      <c r="I79" s="3"/>
      <c r="J79" s="20"/>
      <c r="K79" s="3"/>
      <c r="L79" s="3">
        <f t="shared" si="8"/>
        <v>24.41</v>
      </c>
      <c r="M79" s="3"/>
      <c r="N79" s="20">
        <f t="shared" si="9"/>
        <v>-1</v>
      </c>
      <c r="O79" s="12"/>
      <c r="P79" s="3">
        <f>0</f>
        <v>0</v>
      </c>
      <c r="Q79" s="3"/>
      <c r="R79" s="20"/>
      <c r="S79" s="3"/>
      <c r="T79" s="3">
        <f>-1267.91</f>
        <v>-1267.9100000000001</v>
      </c>
      <c r="U79" s="3"/>
      <c r="V79" s="20"/>
      <c r="W79" s="3"/>
      <c r="X79" s="3">
        <f t="shared" si="10"/>
        <v>1267.9100000000001</v>
      </c>
      <c r="Y79" s="3"/>
      <c r="Z79" s="20">
        <f t="shared" si="11"/>
        <v>-1</v>
      </c>
    </row>
    <row r="80" spans="1:26" s="69" customFormat="1" ht="15" hidden="1" customHeight="1" outlineLevel="1" x14ac:dyDescent="0.25">
      <c r="A80" s="42"/>
      <c r="B80" s="12" t="str">
        <f>CONCATENATE("          ","4245"," - ","SALES RETURN TAXABLE-SPECIAL O")</f>
        <v xml:space="preserve">          4245 - SALES RETURN TAXABLE-SPECIAL O</v>
      </c>
      <c r="C80" s="12"/>
      <c r="D80" s="3">
        <f>0</f>
        <v>0</v>
      </c>
      <c r="E80" s="3"/>
      <c r="F80" s="20"/>
      <c r="G80" s="3"/>
      <c r="H80" s="3">
        <f>-36</f>
        <v>-36</v>
      </c>
      <c r="I80" s="3"/>
      <c r="J80" s="20"/>
      <c r="K80" s="3"/>
      <c r="L80" s="3">
        <f t="shared" si="8"/>
        <v>36</v>
      </c>
      <c r="M80" s="3"/>
      <c r="N80" s="20">
        <f t="shared" si="9"/>
        <v>-1</v>
      </c>
      <c r="O80" s="12"/>
      <c r="P80" s="3">
        <f>0</f>
        <v>0</v>
      </c>
      <c r="Q80" s="3"/>
      <c r="R80" s="20"/>
      <c r="S80" s="3"/>
      <c r="T80" s="3">
        <f>-15460.73</f>
        <v>-15460.73</v>
      </c>
      <c r="U80" s="3"/>
      <c r="V80" s="20"/>
      <c r="W80" s="3"/>
      <c r="X80" s="3">
        <f t="shared" si="10"/>
        <v>15460.73</v>
      </c>
      <c r="Y80" s="3"/>
      <c r="Z80" s="20">
        <f t="shared" si="11"/>
        <v>-1</v>
      </c>
    </row>
    <row r="81" spans="1:26" s="69" customFormat="1" ht="15" hidden="1" customHeight="1" outlineLevel="1" x14ac:dyDescent="0.25">
      <c r="A81" s="42"/>
      <c r="B81" s="12" t="str">
        <f>CONCATENATE("          ","4281"," - ","SALES RETURN TAXABLE-ELECTRONI")</f>
        <v xml:space="preserve">          4281 - SALES RETURN TAXABLE-ELECTRONI</v>
      </c>
      <c r="C81" s="12"/>
      <c r="D81" s="3">
        <f>0</f>
        <v>0</v>
      </c>
      <c r="E81" s="3"/>
      <c r="F81" s="20"/>
      <c r="G81" s="3"/>
      <c r="H81" s="3">
        <f>-79.99</f>
        <v>-79.989999999999995</v>
      </c>
      <c r="I81" s="3"/>
      <c r="J81" s="20"/>
      <c r="K81" s="3"/>
      <c r="L81" s="3">
        <f t="shared" si="8"/>
        <v>79.989999999999995</v>
      </c>
      <c r="M81" s="3"/>
      <c r="N81" s="20">
        <f t="shared" si="9"/>
        <v>-1</v>
      </c>
      <c r="O81" s="12"/>
      <c r="P81" s="3">
        <f>0</f>
        <v>0</v>
      </c>
      <c r="Q81" s="3"/>
      <c r="R81" s="20"/>
      <c r="S81" s="3"/>
      <c r="T81" s="3">
        <f>-14842.13</f>
        <v>-14842.13</v>
      </c>
      <c r="U81" s="3"/>
      <c r="V81" s="20"/>
      <c r="W81" s="3"/>
      <c r="X81" s="3">
        <f t="shared" si="10"/>
        <v>14842.13</v>
      </c>
      <c r="Y81" s="3"/>
      <c r="Z81" s="20">
        <f t="shared" si="11"/>
        <v>-1</v>
      </c>
    </row>
    <row r="82" spans="1:26" s="69" customFormat="1" ht="15" hidden="1" customHeight="1" outlineLevel="1" x14ac:dyDescent="0.25">
      <c r="A82" s="42"/>
      <c r="B82" s="12" t="str">
        <f>CONCATENATE("          ","4282"," - ","SALES RETURN TAXABLE-COMPUTER")</f>
        <v xml:space="preserve">          4282 - SALES RETURN TAXABLE-COMPUTER</v>
      </c>
      <c r="C82" s="12"/>
      <c r="D82" s="3">
        <f>0</f>
        <v>0</v>
      </c>
      <c r="E82" s="3"/>
      <c r="F82" s="20"/>
      <c r="G82" s="3"/>
      <c r="H82" s="3">
        <f>-25075.01</f>
        <v>-25075.01</v>
      </c>
      <c r="I82" s="3"/>
      <c r="J82" s="20"/>
      <c r="K82" s="3"/>
      <c r="L82" s="3">
        <f t="shared" si="8"/>
        <v>25075.01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-240220.17</f>
        <v>-240220.17</v>
      </c>
      <c r="U82" s="3"/>
      <c r="V82" s="20"/>
      <c r="W82" s="3"/>
      <c r="X82" s="3">
        <f t="shared" si="10"/>
        <v>240220.17</v>
      </c>
      <c r="Y82" s="3"/>
      <c r="Z82" s="20">
        <f t="shared" si="11"/>
        <v>-1</v>
      </c>
    </row>
    <row r="83" spans="1:26" s="69" customFormat="1" ht="15" hidden="1" customHeight="1" outlineLevel="1" x14ac:dyDescent="0.25">
      <c r="A83" s="42"/>
      <c r="B83" s="12" t="str">
        <f>CONCATENATE("          ","4283"," - ","SALES RETURN TAXABLE-COMPUTER")</f>
        <v xml:space="preserve">          4283 - SALES RETURN TAXABLE-COMPUTER</v>
      </c>
      <c r="C83" s="12"/>
      <c r="D83" s="3">
        <f>0</f>
        <v>0</v>
      </c>
      <c r="E83" s="3"/>
      <c r="F83" s="20"/>
      <c r="G83" s="3"/>
      <c r="H83" s="3">
        <f>-181.97</f>
        <v>-181.97</v>
      </c>
      <c r="I83" s="3"/>
      <c r="J83" s="20"/>
      <c r="K83" s="3"/>
      <c r="L83" s="3">
        <f t="shared" si="8"/>
        <v>181.97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-4129.17</f>
        <v>-4129.17</v>
      </c>
      <c r="U83" s="3"/>
      <c r="V83" s="20"/>
      <c r="W83" s="3"/>
      <c r="X83" s="3">
        <f t="shared" si="10"/>
        <v>4129.17</v>
      </c>
      <c r="Y83" s="3"/>
      <c r="Z83" s="20">
        <f t="shared" si="11"/>
        <v>-1</v>
      </c>
    </row>
    <row r="84" spans="1:26" s="69" customFormat="1" ht="15" hidden="1" customHeight="1" outlineLevel="1" x14ac:dyDescent="0.25">
      <c r="A84" s="42"/>
      <c r="B84" s="12" t="str">
        <f>CONCATENATE("          ","4285"," - ","SALES RETURN TAXABLE-SOFTWARE")</f>
        <v xml:space="preserve">          4285 - SALES RETURN TAXABLE-SOFTWARE</v>
      </c>
      <c r="C84" s="12"/>
      <c r="D84" s="3">
        <f>0</f>
        <v>0</v>
      </c>
      <c r="E84" s="3"/>
      <c r="F84" s="20"/>
      <c r="G84" s="3"/>
      <c r="H84" s="3">
        <f>0</f>
        <v>0</v>
      </c>
      <c r="I84" s="3"/>
      <c r="J84" s="20"/>
      <c r="K84" s="3"/>
      <c r="L84" s="3">
        <f t="shared" si="8"/>
        <v>0</v>
      </c>
      <c r="M84" s="3"/>
      <c r="N84" s="20">
        <f t="shared" si="9"/>
        <v>0</v>
      </c>
      <c r="O84" s="12"/>
      <c r="P84" s="3">
        <f>0</f>
        <v>0</v>
      </c>
      <c r="Q84" s="3"/>
      <c r="R84" s="20"/>
      <c r="S84" s="3"/>
      <c r="T84" s="3">
        <f>-1091.79</f>
        <v>-1091.79</v>
      </c>
      <c r="U84" s="3"/>
      <c r="V84" s="20"/>
      <c r="W84" s="3"/>
      <c r="X84" s="3">
        <f t="shared" si="10"/>
        <v>1091.79</v>
      </c>
      <c r="Y84" s="3"/>
      <c r="Z84" s="20">
        <f t="shared" si="11"/>
        <v>-1</v>
      </c>
    </row>
    <row r="85" spans="1:26" s="69" customFormat="1" ht="15" hidden="1" customHeight="1" outlineLevel="1" x14ac:dyDescent="0.25">
      <c r="A85" s="42"/>
      <c r="B85" s="12" t="str">
        <f>CONCATENATE("          ","4286"," - ","SALES RETURN TAXABLE-COMPUTER")</f>
        <v xml:space="preserve">          4286 - SALES RETURN TAXABLE-COMPUTER</v>
      </c>
      <c r="C85" s="12"/>
      <c r="D85" s="3">
        <f>0</f>
        <v>0</v>
      </c>
      <c r="E85" s="3"/>
      <c r="F85" s="20"/>
      <c r="G85" s="3"/>
      <c r="H85" s="3">
        <f>0</f>
        <v>0</v>
      </c>
      <c r="I85" s="3"/>
      <c r="J85" s="20"/>
      <c r="K85" s="3"/>
      <c r="L85" s="3">
        <f t="shared" si="8"/>
        <v>0</v>
      </c>
      <c r="M85" s="3"/>
      <c r="N85" s="20">
        <f t="shared" si="9"/>
        <v>0</v>
      </c>
      <c r="O85" s="12"/>
      <c r="P85" s="3">
        <f>0</f>
        <v>0</v>
      </c>
      <c r="Q85" s="3"/>
      <c r="R85" s="20"/>
      <c r="S85" s="3"/>
      <c r="T85" s="3">
        <f>-4802.29</f>
        <v>-4802.29</v>
      </c>
      <c r="U85" s="3"/>
      <c r="V85" s="20"/>
      <c r="W85" s="3"/>
      <c r="X85" s="3">
        <f t="shared" si="10"/>
        <v>4802.29</v>
      </c>
      <c r="Y85" s="3"/>
      <c r="Z85" s="20">
        <f t="shared" si="11"/>
        <v>-1</v>
      </c>
    </row>
    <row r="86" spans="1:26" s="69" customFormat="1" ht="15" hidden="1" customHeight="1" outlineLevel="1" x14ac:dyDescent="0.25">
      <c r="A86" s="42"/>
      <c r="B86" s="12" t="str">
        <f>CONCATENATE("          ","4300"," - ","NON-TAX RETURNS")</f>
        <v xml:space="preserve">          4300 - NON-TAX RETURNS</v>
      </c>
      <c r="C86" s="12"/>
      <c r="D86" s="3">
        <f>-554.21</f>
        <v>-554.21</v>
      </c>
      <c r="E86" s="3"/>
      <c r="F86" s="20"/>
      <c r="G86" s="3"/>
      <c r="H86" s="3">
        <f>0</f>
        <v>0</v>
      </c>
      <c r="I86" s="3"/>
      <c r="J86" s="20"/>
      <c r="K86" s="3"/>
      <c r="L86" s="3">
        <f t="shared" si="8"/>
        <v>-554.21</v>
      </c>
      <c r="M86" s="3"/>
      <c r="N86" s="20">
        <f t="shared" si="9"/>
        <v>0</v>
      </c>
      <c r="O86" s="12"/>
      <c r="P86" s="3">
        <f>-42885.58</f>
        <v>-42885.58</v>
      </c>
      <c r="Q86" s="3"/>
      <c r="R86" s="20"/>
      <c r="S86" s="3"/>
      <c r="T86" s="3">
        <f>0</f>
        <v>0</v>
      </c>
      <c r="U86" s="3"/>
      <c r="V86" s="20"/>
      <c r="W86" s="3"/>
      <c r="X86" s="3">
        <f t="shared" si="10"/>
        <v>-42885.58</v>
      </c>
      <c r="Y86" s="3"/>
      <c r="Z86" s="20">
        <f t="shared" si="11"/>
        <v>0</v>
      </c>
    </row>
    <row r="87" spans="1:26" s="69" customFormat="1" ht="15" hidden="1" customHeight="1" outlineLevel="1" x14ac:dyDescent="0.25">
      <c r="A87" s="42"/>
      <c r="B87" s="12" t="str">
        <f>CONCATENATE("          ","4301"," - ","SALES RETURN NON TAXABLE-NEW T")</f>
        <v xml:space="preserve">          4301 - SALES RETURN NON TAXABLE-NEW T</v>
      </c>
      <c r="C87" s="12"/>
      <c r="D87" s="3">
        <f>0</f>
        <v>0</v>
      </c>
      <c r="E87" s="3"/>
      <c r="F87" s="20"/>
      <c r="G87" s="3"/>
      <c r="H87" s="3">
        <f>-1333.16</f>
        <v>-1333.16</v>
      </c>
      <c r="I87" s="3"/>
      <c r="J87" s="20"/>
      <c r="K87" s="3"/>
      <c r="L87" s="3">
        <f t="shared" si="8"/>
        <v>1333.16</v>
      </c>
      <c r="M87" s="3"/>
      <c r="N87" s="20">
        <f t="shared" si="9"/>
        <v>-1</v>
      </c>
      <c r="O87" s="12"/>
      <c r="P87" s="3">
        <f>0</f>
        <v>0</v>
      </c>
      <c r="Q87" s="3"/>
      <c r="R87" s="20"/>
      <c r="S87" s="3"/>
      <c r="T87" s="3">
        <f>-4796.36</f>
        <v>-4796.3599999999997</v>
      </c>
      <c r="U87" s="3"/>
      <c r="V87" s="20"/>
      <c r="W87" s="3"/>
      <c r="X87" s="3">
        <f t="shared" si="10"/>
        <v>4796.3599999999997</v>
      </c>
      <c r="Y87" s="3"/>
      <c r="Z87" s="20">
        <f t="shared" si="11"/>
        <v>-1</v>
      </c>
    </row>
    <row r="88" spans="1:26" s="69" customFormat="1" ht="15" hidden="1" customHeight="1" outlineLevel="1" x14ac:dyDescent="0.25">
      <c r="A88" s="42"/>
      <c r="B88" s="12" t="str">
        <f>CONCATENATE("          ","4302"," - ","SALES RETURN NON TAXABLE-TEXT")</f>
        <v xml:space="preserve">          4302 - SALES RETURN NON TAXABLE-TEXT</v>
      </c>
      <c r="C88" s="12"/>
      <c r="D88" s="3">
        <f>0</f>
        <v>0</v>
      </c>
      <c r="E88" s="3"/>
      <c r="F88" s="20"/>
      <c r="G88" s="3"/>
      <c r="H88" s="3">
        <f>-134.22</f>
        <v>-134.22</v>
      </c>
      <c r="I88" s="3"/>
      <c r="J88" s="20"/>
      <c r="K88" s="3"/>
      <c r="L88" s="3">
        <f t="shared" si="8"/>
        <v>134.22</v>
      </c>
      <c r="M88" s="3"/>
      <c r="N88" s="20">
        <f t="shared" si="9"/>
        <v>-1</v>
      </c>
      <c r="O88" s="12"/>
      <c r="P88" s="3">
        <f>0</f>
        <v>0</v>
      </c>
      <c r="Q88" s="3"/>
      <c r="R88" s="20"/>
      <c r="S88" s="3"/>
      <c r="T88" s="3">
        <f>-2577.54</f>
        <v>-2577.54</v>
      </c>
      <c r="U88" s="3"/>
      <c r="V88" s="20"/>
      <c r="W88" s="3"/>
      <c r="X88" s="3">
        <f t="shared" si="10"/>
        <v>2577.54</v>
      </c>
      <c r="Y88" s="3"/>
      <c r="Z88" s="20">
        <f t="shared" si="11"/>
        <v>-1</v>
      </c>
    </row>
    <row r="89" spans="1:26" s="69" customFormat="1" ht="15" hidden="1" customHeight="1" outlineLevel="1" x14ac:dyDescent="0.25">
      <c r="A89" s="42"/>
      <c r="B89" s="12" t="str">
        <f>CONCATENATE("          ","4304"," - ","SALES RETURN NON TAXABLE-DIGIT")</f>
        <v xml:space="preserve">          4304 - SALES RETURN NON TAXABLE-DIGIT</v>
      </c>
      <c r="C89" s="12"/>
      <c r="D89" s="3">
        <f>0</f>
        <v>0</v>
      </c>
      <c r="E89" s="3"/>
      <c r="F89" s="20"/>
      <c r="G89" s="3"/>
      <c r="H89" s="3">
        <f>-3338.22</f>
        <v>-3338.22</v>
      </c>
      <c r="I89" s="3"/>
      <c r="J89" s="20"/>
      <c r="K89" s="3"/>
      <c r="L89" s="3">
        <f t="shared" si="8"/>
        <v>3338.22</v>
      </c>
      <c r="M89" s="3"/>
      <c r="N89" s="20">
        <f t="shared" si="9"/>
        <v>-1</v>
      </c>
      <c r="O89" s="12"/>
      <c r="P89" s="3">
        <f>0</f>
        <v>0</v>
      </c>
      <c r="Q89" s="3"/>
      <c r="R89" s="20"/>
      <c r="S89" s="3"/>
      <c r="T89" s="3">
        <f>-30881.98</f>
        <v>-30881.98</v>
      </c>
      <c r="U89" s="3"/>
      <c r="V89" s="20"/>
      <c r="W89" s="3"/>
      <c r="X89" s="3">
        <f t="shared" si="10"/>
        <v>30881.98</v>
      </c>
      <c r="Y89" s="3"/>
      <c r="Z89" s="20">
        <f t="shared" si="11"/>
        <v>-1</v>
      </c>
    </row>
    <row r="90" spans="1:26" s="69" customFormat="1" ht="15" hidden="1" customHeight="1" outlineLevel="1" x14ac:dyDescent="0.25">
      <c r="A90" s="42"/>
      <c r="B90" s="12" t="str">
        <f>CONCATENATE("          ","4327"," - ","SALES RETURN NON TAXABLE-SCHOO")</f>
        <v xml:space="preserve">          4327 - SALES RETURN NON TAXABLE-SCHOO</v>
      </c>
      <c r="C90" s="12"/>
      <c r="D90" s="3">
        <f>0</f>
        <v>0</v>
      </c>
      <c r="E90" s="3"/>
      <c r="F90" s="20"/>
      <c r="G90" s="3"/>
      <c r="H90" s="3">
        <f>-17.41</f>
        <v>-17.41</v>
      </c>
      <c r="I90" s="3"/>
      <c r="J90" s="20"/>
      <c r="K90" s="3"/>
      <c r="L90" s="3">
        <f t="shared" si="8"/>
        <v>17.41</v>
      </c>
      <c r="M90" s="3"/>
      <c r="N90" s="20">
        <f t="shared" si="9"/>
        <v>-1</v>
      </c>
      <c r="O90" s="12"/>
      <c r="P90" s="3">
        <f>0</f>
        <v>0</v>
      </c>
      <c r="Q90" s="3"/>
      <c r="R90" s="20"/>
      <c r="S90" s="3"/>
      <c r="T90" s="3">
        <f>-17.41</f>
        <v>-17.41</v>
      </c>
      <c r="U90" s="3"/>
      <c r="V90" s="20"/>
      <c r="W90" s="3"/>
      <c r="X90" s="3">
        <f t="shared" si="10"/>
        <v>17.41</v>
      </c>
      <c r="Y90" s="3"/>
      <c r="Z90" s="20">
        <f t="shared" si="11"/>
        <v>-1</v>
      </c>
    </row>
    <row r="91" spans="1:26" s="69" customFormat="1" ht="15" hidden="1" customHeight="1" outlineLevel="1" x14ac:dyDescent="0.25">
      <c r="A91" s="42"/>
      <c r="B91" s="12" t="str">
        <f>CONCATENATE("          ","4340"," - ","SALES RETURN NON TAXABLE-LOGO")</f>
        <v xml:space="preserve">          4340 - SALES RETURN NON TAXABLE-LOGO</v>
      </c>
      <c r="C91" s="12"/>
      <c r="D91" s="3">
        <f>0</f>
        <v>0</v>
      </c>
      <c r="E91" s="3"/>
      <c r="F91" s="20"/>
      <c r="G91" s="3"/>
      <c r="H91" s="3">
        <f>-143.74</f>
        <v>-143.74</v>
      </c>
      <c r="I91" s="3"/>
      <c r="J91" s="20"/>
      <c r="K91" s="3"/>
      <c r="L91" s="3">
        <f t="shared" si="8"/>
        <v>143.74</v>
      </c>
      <c r="M91" s="3"/>
      <c r="N91" s="20">
        <f t="shared" si="9"/>
        <v>-1</v>
      </c>
      <c r="O91" s="12"/>
      <c r="P91" s="3">
        <f>0</f>
        <v>0</v>
      </c>
      <c r="Q91" s="3"/>
      <c r="R91" s="20"/>
      <c r="S91" s="3"/>
      <c r="T91" s="3">
        <f>-3451.26</f>
        <v>-3451.26</v>
      </c>
      <c r="U91" s="3"/>
      <c r="V91" s="20"/>
      <c r="W91" s="3"/>
      <c r="X91" s="3">
        <f t="shared" si="10"/>
        <v>3451.26</v>
      </c>
      <c r="Y91" s="3"/>
      <c r="Z91" s="20">
        <f t="shared" si="11"/>
        <v>-1</v>
      </c>
    </row>
    <row r="92" spans="1:26" s="69" customFormat="1" ht="15" hidden="1" customHeight="1" outlineLevel="1" x14ac:dyDescent="0.25">
      <c r="A92" s="42"/>
      <c r="B92" s="12" t="str">
        <f>CONCATENATE("          ","4341"," - ","SALES RETURN NON TAXABLE-LOGO")</f>
        <v xml:space="preserve">          4341 - SALES RETURN NON TAXABLE-LOGO</v>
      </c>
      <c r="C92" s="12"/>
      <c r="D92" s="3">
        <f>0</f>
        <v>0</v>
      </c>
      <c r="E92" s="3"/>
      <c r="F92" s="20"/>
      <c r="G92" s="3"/>
      <c r="H92" s="3">
        <f>-104.3</f>
        <v>-104.3</v>
      </c>
      <c r="I92" s="3"/>
      <c r="J92" s="20"/>
      <c r="K92" s="3"/>
      <c r="L92" s="3">
        <f t="shared" si="8"/>
        <v>104.3</v>
      </c>
      <c r="M92" s="3"/>
      <c r="N92" s="20">
        <f t="shared" si="9"/>
        <v>-1</v>
      </c>
      <c r="O92" s="12"/>
      <c r="P92" s="3">
        <f>0</f>
        <v>0</v>
      </c>
      <c r="Q92" s="3"/>
      <c r="R92" s="20"/>
      <c r="S92" s="3"/>
      <c r="T92" s="3">
        <f>-506.74</f>
        <v>-506.74</v>
      </c>
      <c r="U92" s="3"/>
      <c r="V92" s="20"/>
      <c r="W92" s="3"/>
      <c r="X92" s="3">
        <f t="shared" si="10"/>
        <v>506.74</v>
      </c>
      <c r="Y92" s="3"/>
      <c r="Z92" s="20">
        <f t="shared" si="11"/>
        <v>-1</v>
      </c>
    </row>
    <row r="93" spans="1:26" s="69" customFormat="1" ht="15" hidden="1" customHeight="1" outlineLevel="1" x14ac:dyDescent="0.25">
      <c r="A93" s="42"/>
      <c r="B93" s="12" t="str">
        <f>CONCATENATE("          ","4342"," - ","SALES RETURN NON TAXABLE-EVERY")</f>
        <v xml:space="preserve">          4342 - SALES RETURN NON TAXABLE-EVERY</v>
      </c>
      <c r="C93" s="12"/>
      <c r="D93" s="3">
        <f>0</f>
        <v>0</v>
      </c>
      <c r="E93" s="3"/>
      <c r="F93" s="20"/>
      <c r="G93" s="3"/>
      <c r="H93" s="3">
        <f>0</f>
        <v>0</v>
      </c>
      <c r="I93" s="3"/>
      <c r="J93" s="20"/>
      <c r="K93" s="3"/>
      <c r="L93" s="3">
        <f t="shared" si="8"/>
        <v>0</v>
      </c>
      <c r="M93" s="3"/>
      <c r="N93" s="20">
        <f t="shared" si="9"/>
        <v>0</v>
      </c>
      <c r="O93" s="12"/>
      <c r="P93" s="3">
        <f>0</f>
        <v>0</v>
      </c>
      <c r="Q93" s="3"/>
      <c r="R93" s="20"/>
      <c r="S93" s="3"/>
      <c r="T93" s="3">
        <f>-118.7</f>
        <v>-118.7</v>
      </c>
      <c r="U93" s="3"/>
      <c r="V93" s="20"/>
      <c r="W93" s="3"/>
      <c r="X93" s="3">
        <f t="shared" si="10"/>
        <v>118.7</v>
      </c>
      <c r="Y93" s="3"/>
      <c r="Z93" s="20">
        <f t="shared" si="11"/>
        <v>-1</v>
      </c>
    </row>
    <row r="94" spans="1:26" s="69" customFormat="1" ht="15" hidden="1" customHeight="1" outlineLevel="1" x14ac:dyDescent="0.25">
      <c r="A94" s="42"/>
      <c r="B94" s="12" t="str">
        <f>CONCATENATE("          ","4381"," - ","SALES RETURN NON TAXABLE-ELECT")</f>
        <v xml:space="preserve">          4381 - SALES RETURN NON TAXABLE-ELECT</v>
      </c>
      <c r="C94" s="12"/>
      <c r="D94" s="3">
        <f>0</f>
        <v>0</v>
      </c>
      <c r="E94" s="3"/>
      <c r="F94" s="20"/>
      <c r="G94" s="3"/>
      <c r="H94" s="3">
        <f>0</f>
        <v>0</v>
      </c>
      <c r="I94" s="3"/>
      <c r="J94" s="20"/>
      <c r="K94" s="3"/>
      <c r="L94" s="3">
        <f t="shared" si="8"/>
        <v>0</v>
      </c>
      <c r="M94" s="3"/>
      <c r="N94" s="20">
        <f t="shared" si="9"/>
        <v>0</v>
      </c>
      <c r="O94" s="12"/>
      <c r="P94" s="3">
        <f>0</f>
        <v>0</v>
      </c>
      <c r="Q94" s="3"/>
      <c r="R94" s="20"/>
      <c r="S94" s="3"/>
      <c r="T94" s="3">
        <f>-5624.15</f>
        <v>-5624.15</v>
      </c>
      <c r="U94" s="3"/>
      <c r="V94" s="20"/>
      <c r="W94" s="3"/>
      <c r="X94" s="3">
        <f t="shared" si="10"/>
        <v>5624.15</v>
      </c>
      <c r="Y94" s="3"/>
      <c r="Z94" s="20">
        <f t="shared" si="11"/>
        <v>-1</v>
      </c>
    </row>
    <row r="95" spans="1:26" s="69" customFormat="1" ht="15" hidden="1" customHeight="1" outlineLevel="1" x14ac:dyDescent="0.25">
      <c r="A95" s="42"/>
      <c r="B95" s="12" t="str">
        <f>CONCATENATE("          ","4383"," - ","SALES RETURN NON TAXABLE-COMPU")</f>
        <v xml:space="preserve">          4383 - SALES RETURN NON TAXABLE-COMPU</v>
      </c>
      <c r="C95" s="12"/>
      <c r="D95" s="3">
        <f>0</f>
        <v>0</v>
      </c>
      <c r="E95" s="3"/>
      <c r="F95" s="20"/>
      <c r="G95" s="3"/>
      <c r="H95" s="3">
        <f>0</f>
        <v>0</v>
      </c>
      <c r="I95" s="3"/>
      <c r="J95" s="20"/>
      <c r="K95" s="3"/>
      <c r="L95" s="3">
        <f t="shared" si="8"/>
        <v>0</v>
      </c>
      <c r="M95" s="3"/>
      <c r="N95" s="20">
        <f t="shared" si="9"/>
        <v>0</v>
      </c>
      <c r="O95" s="12"/>
      <c r="P95" s="3">
        <f>0</f>
        <v>0</v>
      </c>
      <c r="Q95" s="3"/>
      <c r="R95" s="20"/>
      <c r="S95" s="3"/>
      <c r="T95" s="3">
        <f>-14.99</f>
        <v>-14.99</v>
      </c>
      <c r="U95" s="3"/>
      <c r="V95" s="20"/>
      <c r="W95" s="3"/>
      <c r="X95" s="3">
        <f t="shared" si="10"/>
        <v>14.99</v>
      </c>
      <c r="Y95" s="3"/>
      <c r="Z95" s="20">
        <f t="shared" si="11"/>
        <v>-1</v>
      </c>
    </row>
    <row r="96" spans="1:26" s="69" customFormat="1" ht="15" hidden="1" customHeight="1" outlineLevel="1" x14ac:dyDescent="0.25">
      <c r="A96" s="42"/>
      <c r="B96" s="12" t="str">
        <f>CONCATENATE("          ","4500"," - ","SALES DISCOUNT")</f>
        <v xml:space="preserve">          4500 - SALES DISCOUNT</v>
      </c>
      <c r="C96" s="12"/>
      <c r="D96" s="3">
        <f>-21452.94</f>
        <v>-21452.94</v>
      </c>
      <c r="E96" s="3"/>
      <c r="F96" s="20"/>
      <c r="G96" s="3"/>
      <c r="H96" s="3">
        <f>0</f>
        <v>0</v>
      </c>
      <c r="I96" s="3"/>
      <c r="J96" s="20"/>
      <c r="K96" s="3"/>
      <c r="L96" s="3">
        <f t="shared" si="8"/>
        <v>-21452.94</v>
      </c>
      <c r="M96" s="3"/>
      <c r="N96" s="20">
        <f t="shared" si="9"/>
        <v>0</v>
      </c>
      <c r="O96" s="12"/>
      <c r="P96" s="3">
        <f>-129357.09</f>
        <v>-129357.09</v>
      </c>
      <c r="Q96" s="3"/>
      <c r="R96" s="20"/>
      <c r="S96" s="3"/>
      <c r="T96" s="3">
        <f>0</f>
        <v>0</v>
      </c>
      <c r="U96" s="3"/>
      <c r="V96" s="20"/>
      <c r="W96" s="3"/>
      <c r="X96" s="3">
        <f t="shared" si="10"/>
        <v>-129357.09</v>
      </c>
      <c r="Y96" s="3"/>
      <c r="Z96" s="20">
        <f t="shared" si="11"/>
        <v>0</v>
      </c>
    </row>
    <row r="97" spans="1:26" ht="15" customHeight="1" x14ac:dyDescent="0.25">
      <c r="A97" s="10"/>
      <c r="B97" s="11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2" customFormat="1" ht="15" customHeight="1" collapsed="1" x14ac:dyDescent="0.25">
      <c r="A98" s="11"/>
      <c r="B98" s="28" t="s">
        <v>287</v>
      </c>
      <c r="C98" s="11"/>
      <c r="D98" s="5">
        <f>SUM(OSRRefD16x_0)</f>
        <v>715115.42</v>
      </c>
      <c r="E98" s="5"/>
      <c r="F98" s="13">
        <f t="shared" ref="F98:F129" si="12">IF(D$12=0,0,D98/D$12)</f>
        <v>0.56240334564499017</v>
      </c>
      <c r="G98" s="5"/>
      <c r="H98" s="5">
        <f>SUM(OSRRefH16x_0)</f>
        <v>305178.07000000007</v>
      </c>
      <c r="I98" s="5"/>
      <c r="J98" s="13">
        <f t="shared" ref="J98:J129" si="13">IF(H$12=0,0,H98/H$12)</f>
        <v>0.46482575838832446</v>
      </c>
      <c r="K98" s="5"/>
      <c r="L98" s="5">
        <f t="shared" ref="L98:L129" si="14">+D98-H98</f>
        <v>409937.35</v>
      </c>
      <c r="M98" s="5"/>
      <c r="N98" s="13">
        <f t="shared" ref="N98:N129" si="15">IF(H98=0,0,L98/H98)</f>
        <v>1.3432726342361359</v>
      </c>
      <c r="O98" s="11"/>
      <c r="P98" s="5">
        <f>SUM(OSRRefP16x_0)</f>
        <v>6183028.8000000007</v>
      </c>
      <c r="Q98" s="5"/>
      <c r="R98" s="13">
        <f t="shared" ref="R98:R129" si="16">IF(P$12=0,0,P98/P$12)</f>
        <v>0.61807320214386385</v>
      </c>
      <c r="S98" s="5"/>
      <c r="T98" s="5">
        <f>SUM(OSRRefT16x_0)</f>
        <v>5483270.6600000011</v>
      </c>
      <c r="U98" s="5"/>
      <c r="V98" s="13">
        <f t="shared" ref="V98:V129" si="17">IF(T$12=0,0,T98/T$12)</f>
        <v>0.70461249468331699</v>
      </c>
      <c r="W98" s="5"/>
      <c r="X98" s="5">
        <f t="shared" ref="X98:X129" si="18">+P98-T98</f>
        <v>699758.13999999966</v>
      </c>
      <c r="Y98" s="5"/>
      <c r="Z98" s="13">
        <f t="shared" ref="Z98:Z129" si="19">IF(T98=0,0,X98/T98)</f>
        <v>0.12761692489569712</v>
      </c>
    </row>
    <row r="99" spans="1:26" s="69" customFormat="1" ht="15" hidden="1" customHeight="1" outlineLevel="1" x14ac:dyDescent="0.25">
      <c r="A99" s="42"/>
      <c r="B99" s="12" t="str">
        <f>CONCATENATE("          ","5000"," - ","PURCHASES @ COST")</f>
        <v xml:space="preserve">          5000 - PURCHASES @ COST</v>
      </c>
      <c r="C99" s="12"/>
      <c r="D99" s="3">
        <v>819824.79</v>
      </c>
      <c r="E99" s="3"/>
      <c r="F99" s="20">
        <f t="shared" si="12"/>
        <v>0.64475215027345023</v>
      </c>
      <c r="G99" s="3"/>
      <c r="H99" s="3"/>
      <c r="I99" s="3"/>
      <c r="J99" s="20">
        <f t="shared" si="13"/>
        <v>0</v>
      </c>
      <c r="K99" s="3"/>
      <c r="L99" s="3">
        <f t="shared" si="14"/>
        <v>819824.79</v>
      </c>
      <c r="M99" s="3"/>
      <c r="N99" s="20">
        <f t="shared" si="15"/>
        <v>0</v>
      </c>
      <c r="O99" s="12"/>
      <c r="P99" s="3">
        <v>6261972.0800000001</v>
      </c>
      <c r="Q99" s="3"/>
      <c r="R99" s="20">
        <f t="shared" si="16"/>
        <v>0.62596459767760926</v>
      </c>
      <c r="S99" s="3"/>
      <c r="T99" s="3">
        <v>0</v>
      </c>
      <c r="U99" s="3"/>
      <c r="V99" s="20">
        <f t="shared" si="17"/>
        <v>0</v>
      </c>
      <c r="W99" s="3"/>
      <c r="X99" s="3">
        <f t="shared" si="18"/>
        <v>6261972.0800000001</v>
      </c>
      <c r="Y99" s="3"/>
      <c r="Z99" s="20">
        <f t="shared" si="19"/>
        <v>0</v>
      </c>
    </row>
    <row r="100" spans="1:26" s="69" customFormat="1" ht="15" hidden="1" customHeight="1" outlineLevel="1" x14ac:dyDescent="0.25">
      <c r="A100" s="42"/>
      <c r="B100" s="12" t="str">
        <f>CONCATENATE("          ","5001"," - ","PURCHASES @ COST-NEW TEXT")</f>
        <v xml:space="preserve">          5001 - PURCHASES @ COST-NEW TEXT</v>
      </c>
      <c r="C100" s="12"/>
      <c r="D100" s="3"/>
      <c r="E100" s="3"/>
      <c r="F100" s="20">
        <f t="shared" si="12"/>
        <v>0</v>
      </c>
      <c r="G100" s="3"/>
      <c r="H100" s="3">
        <v>65020.01</v>
      </c>
      <c r="I100" s="3"/>
      <c r="J100" s="20">
        <f t="shared" si="13"/>
        <v>9.9033903250867389E-2</v>
      </c>
      <c r="K100" s="3"/>
      <c r="L100" s="3">
        <f t="shared" si="14"/>
        <v>-65020.01</v>
      </c>
      <c r="M100" s="3"/>
      <c r="N100" s="20">
        <f t="shared" si="15"/>
        <v>-1</v>
      </c>
      <c r="O100" s="12"/>
      <c r="P100" s="3">
        <v>0</v>
      </c>
      <c r="Q100" s="3"/>
      <c r="R100" s="20">
        <f t="shared" si="16"/>
        <v>0</v>
      </c>
      <c r="S100" s="3"/>
      <c r="T100" s="3">
        <v>1071566.48</v>
      </c>
      <c r="U100" s="3"/>
      <c r="V100" s="20">
        <f t="shared" si="17"/>
        <v>0.13769867976785602</v>
      </c>
      <c r="W100" s="3"/>
      <c r="X100" s="3">
        <f t="shared" si="18"/>
        <v>-1071566.48</v>
      </c>
      <c r="Y100" s="3"/>
      <c r="Z100" s="20">
        <f t="shared" si="19"/>
        <v>-1</v>
      </c>
    </row>
    <row r="101" spans="1:26" s="69" customFormat="1" ht="15" hidden="1" customHeight="1" outlineLevel="1" x14ac:dyDescent="0.25">
      <c r="A101" s="42"/>
      <c r="B101" s="12" t="str">
        <f>CONCATENATE("          ","5002"," - ","PURCHASES @ COST-USED TEXT")</f>
        <v xml:space="preserve">          5002 - PURCHASES @ COST-USED TEXT</v>
      </c>
      <c r="C101" s="12"/>
      <c r="D101" s="3"/>
      <c r="E101" s="3"/>
      <c r="F101" s="20">
        <f t="shared" si="12"/>
        <v>0</v>
      </c>
      <c r="G101" s="3"/>
      <c r="H101" s="3">
        <v>4952.26</v>
      </c>
      <c r="I101" s="3"/>
      <c r="J101" s="20">
        <f t="shared" si="13"/>
        <v>7.5429339016272147E-3</v>
      </c>
      <c r="K101" s="3"/>
      <c r="L101" s="3">
        <f t="shared" si="14"/>
        <v>-4952.26</v>
      </c>
      <c r="M101" s="3"/>
      <c r="N101" s="20">
        <f t="shared" si="15"/>
        <v>-1</v>
      </c>
      <c r="O101" s="12"/>
      <c r="P101" s="3">
        <v>0</v>
      </c>
      <c r="Q101" s="3"/>
      <c r="R101" s="20">
        <f t="shared" si="16"/>
        <v>0</v>
      </c>
      <c r="S101" s="3"/>
      <c r="T101" s="3">
        <v>279913.28000000003</v>
      </c>
      <c r="U101" s="3"/>
      <c r="V101" s="20">
        <f t="shared" si="17"/>
        <v>3.5969480032158357E-2</v>
      </c>
      <c r="W101" s="3"/>
      <c r="X101" s="3">
        <f t="shared" si="18"/>
        <v>-279913.28000000003</v>
      </c>
      <c r="Y101" s="3"/>
      <c r="Z101" s="20">
        <f t="shared" si="19"/>
        <v>-1</v>
      </c>
    </row>
    <row r="102" spans="1:26" s="69" customFormat="1" ht="15" hidden="1" customHeight="1" outlineLevel="1" x14ac:dyDescent="0.25">
      <c r="A102" s="42"/>
      <c r="B102" s="12" t="str">
        <f>CONCATENATE("          ","5003"," - ","PURCHASES @ COST-RENTAL TEXT")</f>
        <v xml:space="preserve">          5003 - PURCHASES @ COST-RENTAL TEXT</v>
      </c>
      <c r="C102" s="12"/>
      <c r="D102" s="3"/>
      <c r="E102" s="3"/>
      <c r="F102" s="20">
        <f t="shared" si="12"/>
        <v>0</v>
      </c>
      <c r="G102" s="3"/>
      <c r="H102" s="3">
        <v>7179.56</v>
      </c>
      <c r="I102" s="3"/>
      <c r="J102" s="20">
        <f t="shared" si="13"/>
        <v>1.0935400508609541E-2</v>
      </c>
      <c r="K102" s="3"/>
      <c r="L102" s="3">
        <f t="shared" si="14"/>
        <v>-7179.56</v>
      </c>
      <c r="M102" s="3"/>
      <c r="N102" s="20">
        <f t="shared" si="15"/>
        <v>-1</v>
      </c>
      <c r="O102" s="12"/>
      <c r="P102" s="3"/>
      <c r="Q102" s="3"/>
      <c r="R102" s="20">
        <f t="shared" si="16"/>
        <v>0</v>
      </c>
      <c r="S102" s="3"/>
      <c r="T102" s="3">
        <v>7212.08</v>
      </c>
      <c r="U102" s="3"/>
      <c r="V102" s="20">
        <f t="shared" si="17"/>
        <v>9.2676834607607265E-4</v>
      </c>
      <c r="W102" s="3"/>
      <c r="X102" s="3">
        <f t="shared" si="18"/>
        <v>-7212.08</v>
      </c>
      <c r="Y102" s="3"/>
      <c r="Z102" s="20">
        <f t="shared" si="19"/>
        <v>-1</v>
      </c>
    </row>
    <row r="103" spans="1:26" s="69" customFormat="1" ht="15" hidden="1" customHeight="1" outlineLevel="1" x14ac:dyDescent="0.25">
      <c r="A103" s="42"/>
      <c r="B103" s="12" t="str">
        <f>CONCATENATE("          ","5004"," - ","PURCHASES @ COST-DIGITAL TEXT")</f>
        <v xml:space="preserve">          5004 - PURCHASES @ COST-DIGITAL TEXT</v>
      </c>
      <c r="C103" s="12"/>
      <c r="D103" s="3"/>
      <c r="E103" s="3"/>
      <c r="F103" s="20">
        <f t="shared" si="12"/>
        <v>0</v>
      </c>
      <c r="G103" s="3"/>
      <c r="H103" s="3">
        <v>-7843.95</v>
      </c>
      <c r="I103" s="3"/>
      <c r="J103" s="20">
        <f t="shared" si="13"/>
        <v>-1.1947352598140806E-2</v>
      </c>
      <c r="K103" s="3"/>
      <c r="L103" s="3">
        <f t="shared" si="14"/>
        <v>7843.95</v>
      </c>
      <c r="M103" s="3"/>
      <c r="N103" s="20">
        <f t="shared" si="15"/>
        <v>-1</v>
      </c>
      <c r="O103" s="12"/>
      <c r="P103" s="3">
        <v>0</v>
      </c>
      <c r="Q103" s="3"/>
      <c r="R103" s="20">
        <f t="shared" si="16"/>
        <v>0</v>
      </c>
      <c r="S103" s="3"/>
      <c r="T103" s="3">
        <v>199606.43</v>
      </c>
      <c r="U103" s="3"/>
      <c r="V103" s="20">
        <f t="shared" si="17"/>
        <v>2.5649870910645661E-2</v>
      </c>
      <c r="W103" s="3"/>
      <c r="X103" s="3">
        <f t="shared" si="18"/>
        <v>-199606.43</v>
      </c>
      <c r="Y103" s="3"/>
      <c r="Z103" s="20">
        <f t="shared" si="19"/>
        <v>-1</v>
      </c>
    </row>
    <row r="104" spans="1:26" s="69" customFormat="1" ht="15" hidden="1" customHeight="1" outlineLevel="1" x14ac:dyDescent="0.25">
      <c r="A104" s="42"/>
      <c r="B104" s="12" t="str">
        <f>CONCATENATE("          ","5011"," - ","PURCHASES @ COST-NO VALUE TEXT")</f>
        <v xml:space="preserve">          5011 - PURCHASES @ COST-NO VALUE TEXT</v>
      </c>
      <c r="C104" s="12"/>
      <c r="D104" s="3"/>
      <c r="E104" s="3"/>
      <c r="F104" s="20">
        <f t="shared" si="12"/>
        <v>0</v>
      </c>
      <c r="G104" s="3"/>
      <c r="H104" s="3"/>
      <c r="I104" s="3"/>
      <c r="J104" s="20">
        <f t="shared" si="13"/>
        <v>0</v>
      </c>
      <c r="K104" s="3"/>
      <c r="L104" s="3">
        <f t="shared" si="14"/>
        <v>0</v>
      </c>
      <c r="M104" s="3"/>
      <c r="N104" s="20">
        <f t="shared" si="15"/>
        <v>0</v>
      </c>
      <c r="O104" s="12"/>
      <c r="P104" s="3"/>
      <c r="Q104" s="3"/>
      <c r="R104" s="20">
        <f t="shared" si="16"/>
        <v>0</v>
      </c>
      <c r="S104" s="3"/>
      <c r="T104" s="3">
        <v>67.17</v>
      </c>
      <c r="U104" s="3"/>
      <c r="V104" s="20">
        <f t="shared" si="17"/>
        <v>8.6314946320520301E-6</v>
      </c>
      <c r="W104" s="3"/>
      <c r="X104" s="3">
        <f t="shared" si="18"/>
        <v>-67.17</v>
      </c>
      <c r="Y104" s="3"/>
      <c r="Z104" s="20">
        <f t="shared" si="19"/>
        <v>-1</v>
      </c>
    </row>
    <row r="105" spans="1:26" s="69" customFormat="1" ht="15" hidden="1" customHeight="1" outlineLevel="1" x14ac:dyDescent="0.25">
      <c r="A105" s="42"/>
      <c r="B105" s="12" t="str">
        <f>CONCATENATE("          ","5013"," - ","PURCHASES @ COST-TRADE BOOKS")</f>
        <v xml:space="preserve">          5013 - PURCHASES @ COST-TRADE BOOKS</v>
      </c>
      <c r="C105" s="12"/>
      <c r="D105" s="3"/>
      <c r="E105" s="3"/>
      <c r="F105" s="20">
        <f t="shared" si="12"/>
        <v>0</v>
      </c>
      <c r="G105" s="3"/>
      <c r="H105" s="3"/>
      <c r="I105" s="3"/>
      <c r="J105" s="20">
        <f t="shared" si="13"/>
        <v>0</v>
      </c>
      <c r="K105" s="3"/>
      <c r="L105" s="3">
        <f t="shared" si="14"/>
        <v>0</v>
      </c>
      <c r="M105" s="3"/>
      <c r="N105" s="20">
        <f t="shared" si="15"/>
        <v>0</v>
      </c>
      <c r="O105" s="12"/>
      <c r="P105" s="3"/>
      <c r="Q105" s="3"/>
      <c r="R105" s="20">
        <f t="shared" si="16"/>
        <v>0</v>
      </c>
      <c r="S105" s="3"/>
      <c r="T105" s="3">
        <v>9670.02</v>
      </c>
      <c r="U105" s="3"/>
      <c r="V105" s="20">
        <f t="shared" si="17"/>
        <v>1.242619111535444E-3</v>
      </c>
      <c r="W105" s="3"/>
      <c r="X105" s="3">
        <f t="shared" si="18"/>
        <v>-9670.02</v>
      </c>
      <c r="Y105" s="3"/>
      <c r="Z105" s="20">
        <f t="shared" si="19"/>
        <v>-1</v>
      </c>
    </row>
    <row r="106" spans="1:26" s="69" customFormat="1" ht="15" hidden="1" customHeight="1" outlineLevel="1" x14ac:dyDescent="0.25">
      <c r="A106" s="42"/>
      <c r="B106" s="12" t="str">
        <f>CONCATENATE("          ","5014"," - ","PURCHASES @ COST-REMAINDERS")</f>
        <v xml:space="preserve">          5014 - PURCHASES @ COST-REMAINDERS</v>
      </c>
      <c r="C106" s="12"/>
      <c r="D106" s="3"/>
      <c r="E106" s="3"/>
      <c r="F106" s="20">
        <f t="shared" si="12"/>
        <v>0</v>
      </c>
      <c r="G106" s="3"/>
      <c r="H106" s="3"/>
      <c r="I106" s="3"/>
      <c r="J106" s="20">
        <f t="shared" si="13"/>
        <v>0</v>
      </c>
      <c r="K106" s="3"/>
      <c r="L106" s="3">
        <f t="shared" si="14"/>
        <v>0</v>
      </c>
      <c r="M106" s="3"/>
      <c r="N106" s="20">
        <f t="shared" si="15"/>
        <v>0</v>
      </c>
      <c r="O106" s="12"/>
      <c r="P106" s="3"/>
      <c r="Q106" s="3"/>
      <c r="R106" s="20">
        <f t="shared" si="16"/>
        <v>0</v>
      </c>
      <c r="S106" s="3"/>
      <c r="T106" s="3">
        <v>111.57</v>
      </c>
      <c r="U106" s="3"/>
      <c r="V106" s="20">
        <f t="shared" si="17"/>
        <v>1.4336993540241848E-5</v>
      </c>
      <c r="W106" s="3"/>
      <c r="X106" s="3">
        <f t="shared" si="18"/>
        <v>-111.57</v>
      </c>
      <c r="Y106" s="3"/>
      <c r="Z106" s="20">
        <f t="shared" si="19"/>
        <v>-1</v>
      </c>
    </row>
    <row r="107" spans="1:26" s="69" customFormat="1" ht="15" hidden="1" customHeight="1" outlineLevel="1" x14ac:dyDescent="0.25">
      <c r="A107" s="42"/>
      <c r="B107" s="12" t="str">
        <f>CONCATENATE("          ","5018"," - ","PURCHASES @ COST-STUDY GUIDES")</f>
        <v xml:space="preserve">          5018 - PURCHASES @ COST-STUDY GUIDES</v>
      </c>
      <c r="C107" s="12"/>
      <c r="D107" s="3"/>
      <c r="E107" s="3"/>
      <c r="F107" s="20">
        <f t="shared" si="12"/>
        <v>0</v>
      </c>
      <c r="G107" s="3"/>
      <c r="H107" s="3"/>
      <c r="I107" s="3"/>
      <c r="J107" s="20">
        <f t="shared" si="13"/>
        <v>0</v>
      </c>
      <c r="K107" s="3"/>
      <c r="L107" s="3">
        <f t="shared" si="14"/>
        <v>0</v>
      </c>
      <c r="M107" s="3"/>
      <c r="N107" s="20">
        <f t="shared" si="15"/>
        <v>0</v>
      </c>
      <c r="O107" s="12"/>
      <c r="P107" s="3"/>
      <c r="Q107" s="3"/>
      <c r="R107" s="20">
        <f t="shared" si="16"/>
        <v>0</v>
      </c>
      <c r="S107" s="3"/>
      <c r="T107" s="3">
        <v>967.21</v>
      </c>
      <c r="U107" s="3"/>
      <c r="V107" s="20">
        <f t="shared" si="17"/>
        <v>1.2428863961689809E-4</v>
      </c>
      <c r="W107" s="3"/>
      <c r="X107" s="3">
        <f t="shared" si="18"/>
        <v>-967.21</v>
      </c>
      <c r="Y107" s="3"/>
      <c r="Z107" s="20">
        <f t="shared" si="19"/>
        <v>-1</v>
      </c>
    </row>
    <row r="108" spans="1:26" s="69" customFormat="1" ht="15" hidden="1" customHeight="1" outlineLevel="1" x14ac:dyDescent="0.25">
      <c r="A108" s="42"/>
      <c r="B108" s="12" t="str">
        <f>CONCATENATE("          ","5025"," - ","PURCHASES @ COST-TEST FORMS")</f>
        <v xml:space="preserve">          5025 - PURCHASES @ COST-TEST FORMS</v>
      </c>
      <c r="C108" s="12"/>
      <c r="D108" s="3"/>
      <c r="E108" s="3"/>
      <c r="F108" s="20">
        <f t="shared" si="12"/>
        <v>0</v>
      </c>
      <c r="G108" s="3"/>
      <c r="H108" s="3"/>
      <c r="I108" s="3"/>
      <c r="J108" s="20">
        <f t="shared" si="13"/>
        <v>0</v>
      </c>
      <c r="K108" s="3"/>
      <c r="L108" s="3">
        <f t="shared" si="14"/>
        <v>0</v>
      </c>
      <c r="M108" s="3"/>
      <c r="N108" s="20">
        <f t="shared" si="15"/>
        <v>0</v>
      </c>
      <c r="O108" s="12"/>
      <c r="P108" s="3"/>
      <c r="Q108" s="3"/>
      <c r="R108" s="20">
        <f t="shared" si="16"/>
        <v>0</v>
      </c>
      <c r="S108" s="3"/>
      <c r="T108" s="3">
        <v>599.29</v>
      </c>
      <c r="U108" s="3"/>
      <c r="V108" s="20">
        <f t="shared" si="17"/>
        <v>7.7010100015519734E-5</v>
      </c>
      <c r="W108" s="3"/>
      <c r="X108" s="3">
        <f t="shared" si="18"/>
        <v>-599.29</v>
      </c>
      <c r="Y108" s="3"/>
      <c r="Z108" s="20">
        <f t="shared" si="19"/>
        <v>-1</v>
      </c>
    </row>
    <row r="109" spans="1:26" s="69" customFormat="1" ht="15" hidden="1" customHeight="1" outlineLevel="1" x14ac:dyDescent="0.25">
      <c r="A109" s="42"/>
      <c r="B109" s="12" t="str">
        <f>CONCATENATE("          ","5026"," - ","PURCHASES @ COST-WRITING INSTR")</f>
        <v xml:space="preserve">          5026 - PURCHASES @ COST-WRITING INSTR</v>
      </c>
      <c r="C109" s="12"/>
      <c r="D109" s="3"/>
      <c r="E109" s="3"/>
      <c r="F109" s="20">
        <f t="shared" si="12"/>
        <v>0</v>
      </c>
      <c r="G109" s="3"/>
      <c r="H109" s="3">
        <v>-2.0499999999999998</v>
      </c>
      <c r="I109" s="3"/>
      <c r="J109" s="20">
        <f t="shared" si="13"/>
        <v>-3.1224157250095487E-6</v>
      </c>
      <c r="K109" s="3"/>
      <c r="L109" s="3">
        <f t="shared" si="14"/>
        <v>2.0499999999999998</v>
      </c>
      <c r="M109" s="3"/>
      <c r="N109" s="20">
        <f t="shared" si="15"/>
        <v>-1</v>
      </c>
      <c r="O109" s="12"/>
      <c r="P109" s="3">
        <v>0</v>
      </c>
      <c r="Q109" s="3"/>
      <c r="R109" s="20">
        <f t="shared" si="16"/>
        <v>0</v>
      </c>
      <c r="S109" s="3"/>
      <c r="T109" s="3">
        <v>582.5</v>
      </c>
      <c r="U109" s="3"/>
      <c r="V109" s="20">
        <f t="shared" si="17"/>
        <v>7.4852547613075892E-5</v>
      </c>
      <c r="W109" s="3"/>
      <c r="X109" s="3">
        <f t="shared" si="18"/>
        <v>-582.5</v>
      </c>
      <c r="Y109" s="3"/>
      <c r="Z109" s="20">
        <f t="shared" si="19"/>
        <v>-1</v>
      </c>
    </row>
    <row r="110" spans="1:26" s="69" customFormat="1" ht="15" hidden="1" customHeight="1" outlineLevel="1" x14ac:dyDescent="0.25">
      <c r="A110" s="42"/>
      <c r="B110" s="12" t="str">
        <f>CONCATENATE("          ","5027"," - ","PURCHASES @ COST-SCHOOL SUPPLI")</f>
        <v xml:space="preserve">          5027 - PURCHASES @ COST-SCHOOL SUPPLI</v>
      </c>
      <c r="C110" s="12"/>
      <c r="D110" s="3"/>
      <c r="E110" s="3"/>
      <c r="F110" s="20">
        <f t="shared" si="12"/>
        <v>0</v>
      </c>
      <c r="G110" s="3"/>
      <c r="H110" s="3">
        <v>0.39</v>
      </c>
      <c r="I110" s="3"/>
      <c r="J110" s="20">
        <f t="shared" si="13"/>
        <v>5.9402055256279226E-7</v>
      </c>
      <c r="K110" s="3"/>
      <c r="L110" s="3">
        <f t="shared" si="14"/>
        <v>-0.39</v>
      </c>
      <c r="M110" s="3"/>
      <c r="N110" s="20">
        <f t="shared" si="15"/>
        <v>-1</v>
      </c>
      <c r="O110" s="12"/>
      <c r="P110" s="3">
        <v>0</v>
      </c>
      <c r="Q110" s="3"/>
      <c r="R110" s="20">
        <f t="shared" si="16"/>
        <v>0</v>
      </c>
      <c r="S110" s="3"/>
      <c r="T110" s="3">
        <v>23734.99</v>
      </c>
      <c r="U110" s="3"/>
      <c r="V110" s="20">
        <f t="shared" si="17"/>
        <v>3.0499990885336998E-3</v>
      </c>
      <c r="W110" s="3"/>
      <c r="X110" s="3">
        <f t="shared" si="18"/>
        <v>-23734.99</v>
      </c>
      <c r="Y110" s="3"/>
      <c r="Z110" s="20">
        <f t="shared" si="19"/>
        <v>-1</v>
      </c>
    </row>
    <row r="111" spans="1:26" s="69" customFormat="1" ht="15" hidden="1" customHeight="1" outlineLevel="1" x14ac:dyDescent="0.25">
      <c r="A111" s="42"/>
      <c r="B111" s="12" t="str">
        <f>CONCATENATE("          ","5028"," - ","PURCHASES @ COST-ART/TECH")</f>
        <v xml:space="preserve">          5028 - PURCHASES @ COST-ART/TECH</v>
      </c>
      <c r="C111" s="12"/>
      <c r="D111" s="3"/>
      <c r="E111" s="3"/>
      <c r="F111" s="20">
        <f t="shared" si="12"/>
        <v>0</v>
      </c>
      <c r="G111" s="3"/>
      <c r="H111" s="3">
        <v>674.12</v>
      </c>
      <c r="I111" s="3"/>
      <c r="J111" s="20">
        <f t="shared" si="13"/>
        <v>1.0267721407528963E-3</v>
      </c>
      <c r="K111" s="3"/>
      <c r="L111" s="3">
        <f t="shared" si="14"/>
        <v>-674.12</v>
      </c>
      <c r="M111" s="3"/>
      <c r="N111" s="20">
        <f t="shared" si="15"/>
        <v>-1</v>
      </c>
      <c r="O111" s="12"/>
      <c r="P111" s="3">
        <v>0</v>
      </c>
      <c r="Q111" s="3"/>
      <c r="R111" s="20">
        <f t="shared" si="16"/>
        <v>0</v>
      </c>
      <c r="S111" s="3"/>
      <c r="T111" s="3">
        <v>47680.74</v>
      </c>
      <c r="U111" s="3"/>
      <c r="V111" s="20">
        <f t="shared" si="17"/>
        <v>6.1270813065694282E-3</v>
      </c>
      <c r="W111" s="3"/>
      <c r="X111" s="3">
        <f t="shared" si="18"/>
        <v>-47680.74</v>
      </c>
      <c r="Y111" s="3"/>
      <c r="Z111" s="20">
        <f t="shared" si="19"/>
        <v>-1</v>
      </c>
    </row>
    <row r="112" spans="1:26" s="69" customFormat="1" ht="15" hidden="1" customHeight="1" outlineLevel="1" x14ac:dyDescent="0.25">
      <c r="A112" s="42"/>
      <c r="B112" s="12" t="str">
        <f>CONCATENATE("          ","5031"," - ","PURCHASES @ COST-FOOD")</f>
        <v xml:space="preserve">          5031 - PURCHASES @ COST-FOOD</v>
      </c>
      <c r="C112" s="12"/>
      <c r="D112" s="3"/>
      <c r="E112" s="3"/>
      <c r="F112" s="20">
        <f t="shared" si="12"/>
        <v>0</v>
      </c>
      <c r="G112" s="3"/>
      <c r="H112" s="3">
        <v>280.37</v>
      </c>
      <c r="I112" s="3"/>
      <c r="J112" s="20">
        <f t="shared" si="13"/>
        <v>4.2703985210776942E-4</v>
      </c>
      <c r="K112" s="3"/>
      <c r="L112" s="3">
        <f t="shared" si="14"/>
        <v>-280.37</v>
      </c>
      <c r="M112" s="3"/>
      <c r="N112" s="20">
        <f t="shared" si="15"/>
        <v>-1</v>
      </c>
      <c r="O112" s="12"/>
      <c r="P112" s="3">
        <v>0</v>
      </c>
      <c r="Q112" s="3"/>
      <c r="R112" s="20">
        <f t="shared" si="16"/>
        <v>0</v>
      </c>
      <c r="S112" s="3"/>
      <c r="T112" s="3">
        <v>8066.09</v>
      </c>
      <c r="U112" s="3"/>
      <c r="V112" s="20">
        <f t="shared" si="17"/>
        <v>1.0365105335216399E-3</v>
      </c>
      <c r="W112" s="3"/>
      <c r="X112" s="3">
        <f t="shared" si="18"/>
        <v>-8066.09</v>
      </c>
      <c r="Y112" s="3"/>
      <c r="Z112" s="20">
        <f t="shared" si="19"/>
        <v>-1</v>
      </c>
    </row>
    <row r="113" spans="1:26" s="69" customFormat="1" ht="15" hidden="1" customHeight="1" outlineLevel="1" x14ac:dyDescent="0.25">
      <c r="A113" s="42"/>
      <c r="B113" s="12" t="str">
        <f>CONCATENATE("          ","5040"," - ","PURCHASES @ COST-LOGO CLOTHING")</f>
        <v xml:space="preserve">          5040 - PURCHASES @ COST-LOGO CLOTHING</v>
      </c>
      <c r="C113" s="12"/>
      <c r="D113" s="3"/>
      <c r="E113" s="3"/>
      <c r="F113" s="20">
        <f t="shared" si="12"/>
        <v>0</v>
      </c>
      <c r="G113" s="3"/>
      <c r="H113" s="3">
        <v>48288.73</v>
      </c>
      <c r="I113" s="3"/>
      <c r="J113" s="20">
        <f t="shared" si="13"/>
        <v>7.3549995069629448E-2</v>
      </c>
      <c r="K113" s="3"/>
      <c r="L113" s="3">
        <f t="shared" si="14"/>
        <v>-48288.73</v>
      </c>
      <c r="M113" s="3"/>
      <c r="N113" s="20">
        <f t="shared" si="15"/>
        <v>-1</v>
      </c>
      <c r="O113" s="12"/>
      <c r="P113" s="3">
        <v>0</v>
      </c>
      <c r="Q113" s="3"/>
      <c r="R113" s="20">
        <f t="shared" si="16"/>
        <v>0</v>
      </c>
      <c r="S113" s="3"/>
      <c r="T113" s="3">
        <v>327378.98</v>
      </c>
      <c r="U113" s="3"/>
      <c r="V113" s="20">
        <f t="shared" si="17"/>
        <v>4.2068928219691361E-2</v>
      </c>
      <c r="W113" s="3"/>
      <c r="X113" s="3">
        <f t="shared" si="18"/>
        <v>-327378.98</v>
      </c>
      <c r="Y113" s="3"/>
      <c r="Z113" s="20">
        <f t="shared" si="19"/>
        <v>-1</v>
      </c>
    </row>
    <row r="114" spans="1:26" s="69" customFormat="1" ht="15" hidden="1" customHeight="1" outlineLevel="1" x14ac:dyDescent="0.25">
      <c r="A114" s="42"/>
      <c r="B114" s="12" t="str">
        <f>CONCATENATE("          ","5041"," - ","PURCHASES @ COST-LOGO GIFTS")</f>
        <v xml:space="preserve">          5041 - PURCHASES @ COST-LOGO GIFTS</v>
      </c>
      <c r="C114" s="12"/>
      <c r="D114" s="3"/>
      <c r="E114" s="3"/>
      <c r="F114" s="20">
        <f t="shared" si="12"/>
        <v>0</v>
      </c>
      <c r="G114" s="3"/>
      <c r="H114" s="3">
        <v>22136.9</v>
      </c>
      <c r="I114" s="3"/>
      <c r="J114" s="20">
        <f t="shared" si="13"/>
        <v>3.3717368128275069E-2</v>
      </c>
      <c r="K114" s="3"/>
      <c r="L114" s="3">
        <f t="shared" si="14"/>
        <v>-22136.9</v>
      </c>
      <c r="M114" s="3"/>
      <c r="N114" s="20">
        <f t="shared" si="15"/>
        <v>-1</v>
      </c>
      <c r="O114" s="12"/>
      <c r="P114" s="3">
        <v>0</v>
      </c>
      <c r="Q114" s="3"/>
      <c r="R114" s="20">
        <f t="shared" si="16"/>
        <v>0</v>
      </c>
      <c r="S114" s="3"/>
      <c r="T114" s="3">
        <v>106398.85</v>
      </c>
      <c r="U114" s="3"/>
      <c r="V114" s="20">
        <f t="shared" si="17"/>
        <v>1.3672489245667845E-2</v>
      </c>
      <c r="W114" s="3"/>
      <c r="X114" s="3">
        <f t="shared" si="18"/>
        <v>-106398.85</v>
      </c>
      <c r="Y114" s="3"/>
      <c r="Z114" s="20">
        <f t="shared" si="19"/>
        <v>-1</v>
      </c>
    </row>
    <row r="115" spans="1:26" s="69" customFormat="1" ht="15" hidden="1" customHeight="1" outlineLevel="1" x14ac:dyDescent="0.25">
      <c r="A115" s="42"/>
      <c r="B115" s="12" t="str">
        <f>CONCATENATE("          ","5042"," - ","PURCHASES @ COST-EVERYDAY GIFT")</f>
        <v xml:space="preserve">          5042 - PURCHASES @ COST-EVERYDAY GIFT</v>
      </c>
      <c r="C115" s="12"/>
      <c r="D115" s="3"/>
      <c r="E115" s="3"/>
      <c r="F115" s="20">
        <f t="shared" si="12"/>
        <v>0</v>
      </c>
      <c r="G115" s="3"/>
      <c r="H115" s="3">
        <v>-0.11</v>
      </c>
      <c r="I115" s="3"/>
      <c r="J115" s="20">
        <f t="shared" si="13"/>
        <v>-1.6754425841514653E-7</v>
      </c>
      <c r="K115" s="3"/>
      <c r="L115" s="3">
        <f t="shared" si="14"/>
        <v>0.11</v>
      </c>
      <c r="M115" s="3"/>
      <c r="N115" s="20">
        <f t="shared" si="15"/>
        <v>-1</v>
      </c>
      <c r="O115" s="12"/>
      <c r="P115" s="3">
        <v>0</v>
      </c>
      <c r="Q115" s="3"/>
      <c r="R115" s="20">
        <f t="shared" si="16"/>
        <v>0</v>
      </c>
      <c r="S115" s="3"/>
      <c r="T115" s="3">
        <v>18748.07</v>
      </c>
      <c r="U115" s="3"/>
      <c r="V115" s="20">
        <f t="shared" si="17"/>
        <v>2.4091687593618535E-3</v>
      </c>
      <c r="W115" s="3"/>
      <c r="X115" s="3">
        <f t="shared" si="18"/>
        <v>-18748.07</v>
      </c>
      <c r="Y115" s="3"/>
      <c r="Z115" s="20">
        <f t="shared" si="19"/>
        <v>-1</v>
      </c>
    </row>
    <row r="116" spans="1:26" s="69" customFormat="1" ht="15" hidden="1" customHeight="1" outlineLevel="1" x14ac:dyDescent="0.25">
      <c r="A116" s="42"/>
      <c r="B116" s="12" t="str">
        <f>CONCATENATE("          ","5043"," - ","PURCHASES @ COST-CARDS")</f>
        <v xml:space="preserve">          5043 - PURCHASES @ COST-CARDS</v>
      </c>
      <c r="C116" s="12"/>
      <c r="D116" s="3"/>
      <c r="E116" s="3"/>
      <c r="F116" s="20">
        <f t="shared" si="12"/>
        <v>0</v>
      </c>
      <c r="G116" s="3"/>
      <c r="H116" s="3">
        <v>178</v>
      </c>
      <c r="I116" s="3"/>
      <c r="J116" s="20">
        <f t="shared" si="13"/>
        <v>2.7111707270814623E-4</v>
      </c>
      <c r="K116" s="3"/>
      <c r="L116" s="3">
        <f t="shared" si="14"/>
        <v>-178</v>
      </c>
      <c r="M116" s="3"/>
      <c r="N116" s="20">
        <f t="shared" si="15"/>
        <v>-1</v>
      </c>
      <c r="O116" s="12"/>
      <c r="P116" s="3">
        <v>0</v>
      </c>
      <c r="Q116" s="3"/>
      <c r="R116" s="20">
        <f t="shared" si="16"/>
        <v>0</v>
      </c>
      <c r="S116" s="3"/>
      <c r="T116" s="3">
        <v>55583.33</v>
      </c>
      <c r="U116" s="3"/>
      <c r="V116" s="20">
        <f t="shared" si="17"/>
        <v>7.1425817258683423E-3</v>
      </c>
      <c r="W116" s="3"/>
      <c r="X116" s="3">
        <f t="shared" si="18"/>
        <v>-55583.33</v>
      </c>
      <c r="Y116" s="3"/>
      <c r="Z116" s="20">
        <f t="shared" si="19"/>
        <v>-1</v>
      </c>
    </row>
    <row r="117" spans="1:26" s="69" customFormat="1" ht="15" hidden="1" customHeight="1" outlineLevel="1" x14ac:dyDescent="0.25">
      <c r="A117" s="42"/>
      <c r="B117" s="12" t="str">
        <f>CONCATENATE("          ","5044"," - ","PURCHASES @ COST-ACCESSORIES")</f>
        <v xml:space="preserve">          5044 - PURCHASES @ COST-ACCESSORIES</v>
      </c>
      <c r="C117" s="12"/>
      <c r="D117" s="3"/>
      <c r="E117" s="3"/>
      <c r="F117" s="20">
        <f t="shared" si="12"/>
        <v>0</v>
      </c>
      <c r="G117" s="3"/>
      <c r="H117" s="3"/>
      <c r="I117" s="3"/>
      <c r="J117" s="20">
        <f t="shared" si="13"/>
        <v>0</v>
      </c>
      <c r="K117" s="3"/>
      <c r="L117" s="3">
        <f t="shared" si="14"/>
        <v>0</v>
      </c>
      <c r="M117" s="3"/>
      <c r="N117" s="20">
        <f t="shared" si="15"/>
        <v>0</v>
      </c>
      <c r="O117" s="12"/>
      <c r="P117" s="3">
        <v>0</v>
      </c>
      <c r="Q117" s="3"/>
      <c r="R117" s="20">
        <f t="shared" si="16"/>
        <v>0</v>
      </c>
      <c r="S117" s="3"/>
      <c r="T117" s="3">
        <v>2555.71</v>
      </c>
      <c r="U117" s="3"/>
      <c r="V117" s="20">
        <f t="shared" si="17"/>
        <v>3.284144282578784E-4</v>
      </c>
      <c r="W117" s="3"/>
      <c r="X117" s="3">
        <f t="shared" si="18"/>
        <v>-2555.71</v>
      </c>
      <c r="Y117" s="3"/>
      <c r="Z117" s="20">
        <f t="shared" si="19"/>
        <v>-1</v>
      </c>
    </row>
    <row r="118" spans="1:26" s="69" customFormat="1" ht="15" hidden="1" customHeight="1" outlineLevel="1" x14ac:dyDescent="0.25">
      <c r="A118" s="42"/>
      <c r="B118" s="12" t="str">
        <f>CONCATENATE("          ","5045"," - ","PURCHASES @ COST-SPECIAL ORDER")</f>
        <v xml:space="preserve">          5045 - PURCHASES @ COST-SPECIAL ORDER</v>
      </c>
      <c r="C118" s="12"/>
      <c r="D118" s="3"/>
      <c r="E118" s="3"/>
      <c r="F118" s="20">
        <f t="shared" si="12"/>
        <v>0</v>
      </c>
      <c r="G118" s="3"/>
      <c r="H118" s="3">
        <v>24141.17</v>
      </c>
      <c r="I118" s="3"/>
      <c r="J118" s="20">
        <f t="shared" si="13"/>
        <v>3.6770131135672568E-2</v>
      </c>
      <c r="K118" s="3"/>
      <c r="L118" s="3">
        <f t="shared" si="14"/>
        <v>-24141.17</v>
      </c>
      <c r="M118" s="3"/>
      <c r="N118" s="20">
        <f t="shared" si="15"/>
        <v>-1</v>
      </c>
      <c r="O118" s="12"/>
      <c r="P118" s="3">
        <v>0</v>
      </c>
      <c r="Q118" s="3"/>
      <c r="R118" s="20">
        <f t="shared" si="16"/>
        <v>0</v>
      </c>
      <c r="S118" s="3"/>
      <c r="T118" s="3">
        <v>139139.24</v>
      </c>
      <c r="U118" s="3"/>
      <c r="V118" s="20">
        <f t="shared" si="17"/>
        <v>1.7879702295188312E-2</v>
      </c>
      <c r="W118" s="3"/>
      <c r="X118" s="3">
        <f t="shared" si="18"/>
        <v>-139139.24</v>
      </c>
      <c r="Y118" s="3"/>
      <c r="Z118" s="20">
        <f t="shared" si="19"/>
        <v>-1</v>
      </c>
    </row>
    <row r="119" spans="1:26" s="69" customFormat="1" ht="15" hidden="1" customHeight="1" outlineLevel="1" x14ac:dyDescent="0.25">
      <c r="A119" s="42"/>
      <c r="B119" s="12" t="str">
        <f>CONCATENATE("          ","5081"," - ","PURCHASES @ COST-ELECTRONICS")</f>
        <v xml:space="preserve">          5081 - PURCHASES @ COST-ELECTRONICS</v>
      </c>
      <c r="C119" s="12"/>
      <c r="D119" s="3"/>
      <c r="E119" s="3"/>
      <c r="F119" s="20">
        <f t="shared" si="12"/>
        <v>0</v>
      </c>
      <c r="G119" s="3"/>
      <c r="H119" s="3">
        <v>-28.91</v>
      </c>
      <c r="I119" s="3"/>
      <c r="J119" s="20">
        <f t="shared" si="13"/>
        <v>-4.4033677370744419E-5</v>
      </c>
      <c r="K119" s="3"/>
      <c r="L119" s="3">
        <f t="shared" si="14"/>
        <v>28.91</v>
      </c>
      <c r="M119" s="3"/>
      <c r="N119" s="20">
        <f t="shared" si="15"/>
        <v>-1</v>
      </c>
      <c r="O119" s="12"/>
      <c r="P119" s="3">
        <v>0</v>
      </c>
      <c r="Q119" s="3"/>
      <c r="R119" s="20">
        <f t="shared" si="16"/>
        <v>0</v>
      </c>
      <c r="S119" s="3"/>
      <c r="T119" s="3">
        <v>32419.46</v>
      </c>
      <c r="U119" s="3"/>
      <c r="V119" s="20">
        <f t="shared" si="17"/>
        <v>4.1659728295969254E-3</v>
      </c>
      <c r="W119" s="3"/>
      <c r="X119" s="3">
        <f t="shared" si="18"/>
        <v>-32419.46</v>
      </c>
      <c r="Y119" s="3"/>
      <c r="Z119" s="20">
        <f t="shared" si="19"/>
        <v>-1</v>
      </c>
    </row>
    <row r="120" spans="1:26" s="69" customFormat="1" ht="15" hidden="1" customHeight="1" outlineLevel="1" x14ac:dyDescent="0.25">
      <c r="A120" s="42"/>
      <c r="B120" s="12" t="str">
        <f>CONCATENATE("          ","5082"," - ","PURCHASES @ COST-COMPUTER HARD")</f>
        <v xml:space="preserve">          5082 - PURCHASES @ COST-COMPUTER HARD</v>
      </c>
      <c r="C120" s="12"/>
      <c r="D120" s="3">
        <v>-10189.709999999999</v>
      </c>
      <c r="E120" s="3"/>
      <c r="F120" s="20">
        <f t="shared" si="12"/>
        <v>-8.0137091648117623E-3</v>
      </c>
      <c r="G120" s="3"/>
      <c r="H120" s="3">
        <v>129194.07</v>
      </c>
      <c r="I120" s="3"/>
      <c r="J120" s="20">
        <f t="shared" si="13"/>
        <v>0.19677931499804119</v>
      </c>
      <c r="K120" s="3"/>
      <c r="L120" s="3">
        <f t="shared" si="14"/>
        <v>-139383.78</v>
      </c>
      <c r="M120" s="3"/>
      <c r="N120" s="20">
        <f t="shared" si="15"/>
        <v>-1.0788713444819873</v>
      </c>
      <c r="O120" s="12"/>
      <c r="P120" s="3">
        <v>-120382.97</v>
      </c>
      <c r="Q120" s="3"/>
      <c r="R120" s="20">
        <f t="shared" si="16"/>
        <v>-1.2033825194456265E-2</v>
      </c>
      <c r="S120" s="3"/>
      <c r="T120" s="3">
        <v>1802534.87</v>
      </c>
      <c r="U120" s="3"/>
      <c r="V120" s="20">
        <f t="shared" si="17"/>
        <v>0.23162974623331256</v>
      </c>
      <c r="W120" s="3"/>
      <c r="X120" s="3">
        <f t="shared" si="18"/>
        <v>-1922917.84</v>
      </c>
      <c r="Y120" s="3"/>
      <c r="Z120" s="20">
        <f t="shared" si="19"/>
        <v>-1.0667853765292208</v>
      </c>
    </row>
    <row r="121" spans="1:26" s="69" customFormat="1" ht="15" hidden="1" customHeight="1" outlineLevel="1" x14ac:dyDescent="0.25">
      <c r="A121" s="42"/>
      <c r="B121" s="12" t="str">
        <f>CONCATENATE("          ","5083"," - ","PURCHASES @ COST-COMPUTER EQUI")</f>
        <v xml:space="preserve">          5083 - PURCHASES @ COST-COMPUTER EQUI</v>
      </c>
      <c r="C121" s="12"/>
      <c r="D121" s="3"/>
      <c r="E121" s="3"/>
      <c r="F121" s="20">
        <f t="shared" si="12"/>
        <v>0</v>
      </c>
      <c r="G121" s="3"/>
      <c r="H121" s="3">
        <v>7514.45</v>
      </c>
      <c r="I121" s="3"/>
      <c r="J121" s="20">
        <f t="shared" si="13"/>
        <v>1.1445481387706345E-2</v>
      </c>
      <c r="K121" s="3"/>
      <c r="L121" s="3">
        <f t="shared" si="14"/>
        <v>-7514.45</v>
      </c>
      <c r="M121" s="3"/>
      <c r="N121" s="20">
        <f t="shared" si="15"/>
        <v>-1</v>
      </c>
      <c r="O121" s="12"/>
      <c r="P121" s="3">
        <v>0</v>
      </c>
      <c r="Q121" s="3"/>
      <c r="R121" s="20">
        <f t="shared" si="16"/>
        <v>0</v>
      </c>
      <c r="S121" s="3"/>
      <c r="T121" s="3">
        <v>127029.94</v>
      </c>
      <c r="U121" s="3"/>
      <c r="V121" s="20">
        <f t="shared" si="17"/>
        <v>1.632363026976167E-2</v>
      </c>
      <c r="W121" s="3"/>
      <c r="X121" s="3">
        <f t="shared" si="18"/>
        <v>-127029.94</v>
      </c>
      <c r="Y121" s="3"/>
      <c r="Z121" s="20">
        <f t="shared" si="19"/>
        <v>-1</v>
      </c>
    </row>
    <row r="122" spans="1:26" s="69" customFormat="1" ht="15" hidden="1" customHeight="1" outlineLevel="1" x14ac:dyDescent="0.25">
      <c r="A122" s="42"/>
      <c r="B122" s="12" t="str">
        <f>CONCATENATE("          ","5085"," - ","PURCHASES @ COST-SOFTWARE")</f>
        <v xml:space="preserve">          5085 - PURCHASES @ COST-SOFTWARE</v>
      </c>
      <c r="C122" s="12"/>
      <c r="D122" s="3"/>
      <c r="E122" s="3"/>
      <c r="F122" s="20">
        <f t="shared" si="12"/>
        <v>0</v>
      </c>
      <c r="G122" s="3"/>
      <c r="H122" s="3">
        <v>8375.49</v>
      </c>
      <c r="I122" s="3"/>
      <c r="J122" s="20">
        <f t="shared" si="13"/>
        <v>1.2756956917395233E-2</v>
      </c>
      <c r="K122" s="3"/>
      <c r="L122" s="3">
        <f t="shared" si="14"/>
        <v>-8375.49</v>
      </c>
      <c r="M122" s="3"/>
      <c r="N122" s="20">
        <f t="shared" si="15"/>
        <v>-1</v>
      </c>
      <c r="O122" s="12"/>
      <c r="P122" s="3">
        <v>0</v>
      </c>
      <c r="Q122" s="3"/>
      <c r="R122" s="20">
        <f t="shared" si="16"/>
        <v>0</v>
      </c>
      <c r="S122" s="3"/>
      <c r="T122" s="3">
        <v>46286.37</v>
      </c>
      <c r="U122" s="3"/>
      <c r="V122" s="20">
        <f t="shared" si="17"/>
        <v>5.9479016553844596E-3</v>
      </c>
      <c r="W122" s="3"/>
      <c r="X122" s="3">
        <f t="shared" si="18"/>
        <v>-46286.37</v>
      </c>
      <c r="Y122" s="3"/>
      <c r="Z122" s="20">
        <f t="shared" si="19"/>
        <v>-1</v>
      </c>
    </row>
    <row r="123" spans="1:26" s="69" customFormat="1" ht="15" hidden="1" customHeight="1" outlineLevel="1" x14ac:dyDescent="0.25">
      <c r="A123" s="42"/>
      <c r="B123" s="12" t="str">
        <f>CONCATENATE("          ","5086"," - ","PURCHASES @ COST-COMPUTER SUPP")</f>
        <v xml:space="preserve">          5086 - PURCHASES @ COST-COMPUTER SUPP</v>
      </c>
      <c r="C123" s="12"/>
      <c r="D123" s="3"/>
      <c r="E123" s="3"/>
      <c r="F123" s="20">
        <f t="shared" si="12"/>
        <v>0</v>
      </c>
      <c r="G123" s="3"/>
      <c r="H123" s="3">
        <v>83.62</v>
      </c>
      <c r="I123" s="3"/>
      <c r="J123" s="20">
        <f t="shared" si="13"/>
        <v>1.273640989879505E-4</v>
      </c>
      <c r="K123" s="3"/>
      <c r="L123" s="3">
        <f t="shared" si="14"/>
        <v>-83.62</v>
      </c>
      <c r="M123" s="3"/>
      <c r="N123" s="20">
        <f t="shared" si="15"/>
        <v>-1</v>
      </c>
      <c r="O123" s="12"/>
      <c r="P123" s="3">
        <v>0</v>
      </c>
      <c r="Q123" s="3"/>
      <c r="R123" s="20">
        <f t="shared" si="16"/>
        <v>0</v>
      </c>
      <c r="S123" s="3"/>
      <c r="T123" s="3">
        <v>23776.22</v>
      </c>
      <c r="U123" s="3"/>
      <c r="V123" s="20">
        <f t="shared" si="17"/>
        <v>3.0552972353802012E-3</v>
      </c>
      <c r="W123" s="3"/>
      <c r="X123" s="3">
        <f t="shared" si="18"/>
        <v>-23776.22</v>
      </c>
      <c r="Y123" s="3"/>
      <c r="Z123" s="20">
        <f t="shared" si="19"/>
        <v>-1</v>
      </c>
    </row>
    <row r="124" spans="1:26" s="69" customFormat="1" ht="15" hidden="1" customHeight="1" outlineLevel="1" x14ac:dyDescent="0.25">
      <c r="A124" s="42"/>
      <c r="B124" s="12" t="str">
        <f>CONCATENATE("          ","5092"," - ","PURCHASES @ COST-GRAD MERCH")</f>
        <v xml:space="preserve">          5092 - PURCHASES @ COST-GRAD MERCH</v>
      </c>
      <c r="C124" s="12"/>
      <c r="D124" s="3"/>
      <c r="E124" s="3"/>
      <c r="F124" s="20">
        <f t="shared" si="12"/>
        <v>0</v>
      </c>
      <c r="G124" s="3"/>
      <c r="H124" s="3"/>
      <c r="I124" s="3"/>
      <c r="J124" s="20">
        <f t="shared" si="13"/>
        <v>0</v>
      </c>
      <c r="K124" s="3"/>
      <c r="L124" s="3">
        <f t="shared" si="14"/>
        <v>0</v>
      </c>
      <c r="M124" s="3"/>
      <c r="N124" s="20">
        <f t="shared" si="15"/>
        <v>0</v>
      </c>
      <c r="O124" s="12"/>
      <c r="P124" s="3"/>
      <c r="Q124" s="3"/>
      <c r="R124" s="20">
        <f t="shared" si="16"/>
        <v>0</v>
      </c>
      <c r="S124" s="3"/>
      <c r="T124" s="3">
        <v>0</v>
      </c>
      <c r="U124" s="3"/>
      <c r="V124" s="20">
        <f t="shared" si="17"/>
        <v>0</v>
      </c>
      <c r="W124" s="3"/>
      <c r="X124" s="3">
        <f t="shared" si="18"/>
        <v>0</v>
      </c>
      <c r="Y124" s="3"/>
      <c r="Z124" s="20">
        <f t="shared" si="19"/>
        <v>0</v>
      </c>
    </row>
    <row r="125" spans="1:26" s="69" customFormat="1" ht="15" hidden="1" customHeight="1" outlineLevel="1" x14ac:dyDescent="0.25">
      <c r="A125" s="42"/>
      <c r="B125" s="12" t="str">
        <f>CONCATENATE("          ","5200"," - ","PURCHASES OFFSET")</f>
        <v xml:space="preserve">          5200 - PURCHASES OFFSET</v>
      </c>
      <c r="C125" s="12"/>
      <c r="D125" s="3">
        <v>-829131.5</v>
      </c>
      <c r="E125" s="3"/>
      <c r="F125" s="20">
        <f t="shared" si="12"/>
        <v>-0.65207142307132626</v>
      </c>
      <c r="G125" s="3"/>
      <c r="H125" s="3">
        <v>-307740.75</v>
      </c>
      <c r="I125" s="3"/>
      <c r="J125" s="20">
        <f t="shared" si="13"/>
        <v>-0.46872905220791822</v>
      </c>
      <c r="K125" s="3"/>
      <c r="L125" s="3">
        <f t="shared" si="14"/>
        <v>-521390.75</v>
      </c>
      <c r="M125" s="3"/>
      <c r="N125" s="20">
        <f t="shared" si="15"/>
        <v>1.6942531985120592</v>
      </c>
      <c r="O125" s="12"/>
      <c r="P125" s="3">
        <v>-6155458.2800000003</v>
      </c>
      <c r="Q125" s="3"/>
      <c r="R125" s="20">
        <f t="shared" si="16"/>
        <v>-0.61531717429208166</v>
      </c>
      <c r="S125" s="3"/>
      <c r="T125" s="3">
        <v>-3876506.96</v>
      </c>
      <c r="U125" s="3"/>
      <c r="V125" s="20">
        <f t="shared" si="17"/>
        <v>-0.49813977990698721</v>
      </c>
      <c r="W125" s="3"/>
      <c r="X125" s="3">
        <f t="shared" si="18"/>
        <v>-2278951.3200000003</v>
      </c>
      <c r="Y125" s="3"/>
      <c r="Z125" s="20">
        <f t="shared" si="19"/>
        <v>0.58788784426689134</v>
      </c>
    </row>
    <row r="126" spans="1:26" s="69" customFormat="1" ht="15" hidden="1" customHeight="1" outlineLevel="1" x14ac:dyDescent="0.25">
      <c r="A126" s="42"/>
      <c r="B126" s="12" t="str">
        <f>CONCATENATE("          ","5300"," - ","COG$ OFFSET")</f>
        <v xml:space="preserve">          5300 - COG$ OFFSET</v>
      </c>
      <c r="C126" s="12"/>
      <c r="D126" s="3">
        <v>722710.87</v>
      </c>
      <c r="E126" s="3"/>
      <c r="F126" s="20">
        <f t="shared" si="12"/>
        <v>0.56837679604503777</v>
      </c>
      <c r="G126" s="3"/>
      <c r="H126" s="3">
        <v>297791</v>
      </c>
      <c r="I126" s="3"/>
      <c r="J126" s="20">
        <f t="shared" si="13"/>
        <v>0.45357429325186277</v>
      </c>
      <c r="K126" s="3"/>
      <c r="L126" s="3">
        <f t="shared" si="14"/>
        <v>424919.87</v>
      </c>
      <c r="M126" s="3"/>
      <c r="N126" s="20">
        <f t="shared" si="15"/>
        <v>1.4269063537850371</v>
      </c>
      <c r="O126" s="12"/>
      <c r="P126" s="3">
        <v>6001519.6900000004</v>
      </c>
      <c r="Q126" s="3"/>
      <c r="R126" s="20">
        <f t="shared" si="16"/>
        <v>0.59992903357133787</v>
      </c>
      <c r="S126" s="3"/>
      <c r="T126" s="3">
        <v>4928176</v>
      </c>
      <c r="U126" s="3"/>
      <c r="V126" s="20">
        <f t="shared" si="17"/>
        <v>0.63328159431007358</v>
      </c>
      <c r="W126" s="3"/>
      <c r="X126" s="3">
        <f t="shared" si="18"/>
        <v>1073343.6900000004</v>
      </c>
      <c r="Y126" s="3"/>
      <c r="Z126" s="20">
        <f t="shared" si="19"/>
        <v>0.21779735342244277</v>
      </c>
    </row>
    <row r="127" spans="1:26" s="69" customFormat="1" ht="15" hidden="1" customHeight="1" outlineLevel="1" x14ac:dyDescent="0.25">
      <c r="A127" s="42"/>
      <c r="B127" s="12" t="str">
        <f>CONCATENATE("          ","5500"," - ","FREIGHT-IN")</f>
        <v xml:space="preserve">          5500 - FREIGHT-IN</v>
      </c>
      <c r="C127" s="12"/>
      <c r="D127" s="3">
        <v>11900.97</v>
      </c>
      <c r="E127" s="3"/>
      <c r="F127" s="20">
        <f t="shared" si="12"/>
        <v>9.3595315626401367E-3</v>
      </c>
      <c r="G127" s="3"/>
      <c r="H127" s="3">
        <v>0</v>
      </c>
      <c r="I127" s="3"/>
      <c r="J127" s="20">
        <f t="shared" si="13"/>
        <v>0</v>
      </c>
      <c r="K127" s="3"/>
      <c r="L127" s="3">
        <f t="shared" si="14"/>
        <v>11900.97</v>
      </c>
      <c r="M127" s="3"/>
      <c r="N127" s="20">
        <f t="shared" si="15"/>
        <v>0</v>
      </c>
      <c r="O127" s="12"/>
      <c r="P127" s="3">
        <v>195378.28</v>
      </c>
      <c r="Q127" s="3"/>
      <c r="R127" s="20">
        <f t="shared" si="16"/>
        <v>1.9530570381454542E-2</v>
      </c>
      <c r="S127" s="3"/>
      <c r="T127" s="3">
        <v>0</v>
      </c>
      <c r="U127" s="3"/>
      <c r="V127" s="20">
        <f t="shared" si="17"/>
        <v>0</v>
      </c>
      <c r="W127" s="3"/>
      <c r="X127" s="3">
        <f t="shared" si="18"/>
        <v>195378.28</v>
      </c>
      <c r="Y127" s="3"/>
      <c r="Z127" s="20">
        <f t="shared" si="19"/>
        <v>0</v>
      </c>
    </row>
    <row r="128" spans="1:26" s="69" customFormat="1" ht="15" hidden="1" customHeight="1" outlineLevel="1" x14ac:dyDescent="0.25">
      <c r="A128" s="42"/>
      <c r="B128" s="12" t="str">
        <f>CONCATENATE("          ","5501"," - ","FREIGHT-IN-NEW TEXT")</f>
        <v xml:space="preserve">          5501 - FREIGHT-IN-NEW TEXT</v>
      </c>
      <c r="C128" s="12"/>
      <c r="D128" s="3"/>
      <c r="E128" s="3"/>
      <c r="F128" s="20">
        <f t="shared" si="12"/>
        <v>0</v>
      </c>
      <c r="G128" s="3"/>
      <c r="H128" s="3">
        <v>1522.41</v>
      </c>
      <c r="I128" s="3"/>
      <c r="J128" s="20">
        <f t="shared" si="13"/>
        <v>2.3188277677618479E-3</v>
      </c>
      <c r="K128" s="3"/>
      <c r="L128" s="3">
        <f t="shared" si="14"/>
        <v>-1522.41</v>
      </c>
      <c r="M128" s="3"/>
      <c r="N128" s="20">
        <f t="shared" si="15"/>
        <v>-1</v>
      </c>
      <c r="O128" s="12"/>
      <c r="P128" s="3">
        <v>0</v>
      </c>
      <c r="Q128" s="3"/>
      <c r="R128" s="20">
        <f t="shared" si="16"/>
        <v>0</v>
      </c>
      <c r="S128" s="3"/>
      <c r="T128" s="3">
        <v>51836.14</v>
      </c>
      <c r="U128" s="3"/>
      <c r="V128" s="20">
        <f t="shared" si="17"/>
        <v>6.6610594633958239E-3</v>
      </c>
      <c r="W128" s="3"/>
      <c r="X128" s="3">
        <f t="shared" si="18"/>
        <v>-51836.14</v>
      </c>
      <c r="Y128" s="3"/>
      <c r="Z128" s="20">
        <f t="shared" si="19"/>
        <v>-1</v>
      </c>
    </row>
    <row r="129" spans="1:26" s="69" customFormat="1" ht="15" hidden="1" customHeight="1" outlineLevel="1" x14ac:dyDescent="0.25">
      <c r="A129" s="42"/>
      <c r="B129" s="12" t="str">
        <f>CONCATENATE("          ","5502"," - ","FREIGHT-IN-USED TEXT")</f>
        <v xml:space="preserve">          5502 - FREIGHT-IN-USED TEXT</v>
      </c>
      <c r="C129" s="12"/>
      <c r="D129" s="3"/>
      <c r="E129" s="3"/>
      <c r="F129" s="20">
        <f t="shared" si="12"/>
        <v>0</v>
      </c>
      <c r="G129" s="3"/>
      <c r="H129" s="3">
        <v>133.97</v>
      </c>
      <c r="I129" s="3"/>
      <c r="J129" s="20">
        <f t="shared" si="13"/>
        <v>2.0405367545342891E-4</v>
      </c>
      <c r="K129" s="3"/>
      <c r="L129" s="3">
        <f t="shared" si="14"/>
        <v>-133.97</v>
      </c>
      <c r="M129" s="3"/>
      <c r="N129" s="20">
        <f t="shared" si="15"/>
        <v>-1</v>
      </c>
      <c r="O129" s="12"/>
      <c r="P129" s="3">
        <v>0</v>
      </c>
      <c r="Q129" s="3"/>
      <c r="R129" s="20">
        <f t="shared" si="16"/>
        <v>0</v>
      </c>
      <c r="S129" s="3"/>
      <c r="T129" s="3">
        <v>17992.87</v>
      </c>
      <c r="U129" s="3"/>
      <c r="V129" s="20">
        <f t="shared" si="17"/>
        <v>2.3121238770315617E-3</v>
      </c>
      <c r="W129" s="3"/>
      <c r="X129" s="3">
        <f t="shared" si="18"/>
        <v>-17992.87</v>
      </c>
      <c r="Y129" s="3"/>
      <c r="Z129" s="20">
        <f t="shared" si="19"/>
        <v>-1</v>
      </c>
    </row>
    <row r="130" spans="1:26" s="69" customFormat="1" ht="15" hidden="1" customHeight="1" outlineLevel="1" x14ac:dyDescent="0.25">
      <c r="A130" s="42"/>
      <c r="B130" s="12" t="str">
        <f>CONCATENATE("          ","5504"," - ","FREIGHT-IN-DIGITAL TEXT")</f>
        <v xml:space="preserve">          5504 - FREIGHT-IN-DIGITAL TEXT</v>
      </c>
      <c r="C130" s="12"/>
      <c r="D130" s="3"/>
      <c r="E130" s="3"/>
      <c r="F130" s="20">
        <f t="shared" ref="F130:F148" si="20">IF(D$12=0,0,D130/D$12)</f>
        <v>0</v>
      </c>
      <c r="G130" s="3"/>
      <c r="H130" s="3"/>
      <c r="I130" s="3"/>
      <c r="J130" s="20">
        <f t="shared" ref="J130:J148" si="21">IF(H$12=0,0,H130/H$12)</f>
        <v>0</v>
      </c>
      <c r="K130" s="3"/>
      <c r="L130" s="3">
        <f t="shared" ref="L130:L148" si="22">+D130-H130</f>
        <v>0</v>
      </c>
      <c r="M130" s="3"/>
      <c r="N130" s="20">
        <f t="shared" ref="N130:N148" si="23">IF(H130=0,0,L130/H130)</f>
        <v>0</v>
      </c>
      <c r="O130" s="12"/>
      <c r="P130" s="3"/>
      <c r="Q130" s="3"/>
      <c r="R130" s="20">
        <f t="shared" ref="R130:R148" si="24">IF(P$12=0,0,P130/P$12)</f>
        <v>0</v>
      </c>
      <c r="S130" s="3"/>
      <c r="T130" s="3">
        <v>28.92</v>
      </c>
      <c r="U130" s="3"/>
      <c r="V130" s="20">
        <f t="shared" ref="V130:V148" si="25">IF(T$12=0,0,T130/T$12)</f>
        <v>3.7162844239830984E-6</v>
      </c>
      <c r="W130" s="3"/>
      <c r="X130" s="3">
        <f t="shared" ref="X130:X148" si="26">+P130-T130</f>
        <v>-28.92</v>
      </c>
      <c r="Y130" s="3"/>
      <c r="Z130" s="20">
        <f t="shared" ref="Z130:Z148" si="27">IF(T130=0,0,X130/T130)</f>
        <v>-1</v>
      </c>
    </row>
    <row r="131" spans="1:26" s="69" customFormat="1" ht="15" hidden="1" customHeight="1" outlineLevel="1" x14ac:dyDescent="0.25">
      <c r="A131" s="42"/>
      <c r="B131" s="12" t="str">
        <f>CONCATENATE("          ","5513"," - ","FREIGHT-IN-TRADE BOOKS")</f>
        <v xml:space="preserve">          5513 - FREIGHT-IN-TRADE BOOKS</v>
      </c>
      <c r="C131" s="12"/>
      <c r="D131" s="3"/>
      <c r="E131" s="3"/>
      <c r="F131" s="20">
        <f t="shared" si="20"/>
        <v>0</v>
      </c>
      <c r="G131" s="3"/>
      <c r="H131" s="3"/>
      <c r="I131" s="3"/>
      <c r="J131" s="20">
        <f t="shared" si="21"/>
        <v>0</v>
      </c>
      <c r="K131" s="3"/>
      <c r="L131" s="3">
        <f t="shared" si="22"/>
        <v>0</v>
      </c>
      <c r="M131" s="3"/>
      <c r="N131" s="20">
        <f t="shared" si="23"/>
        <v>0</v>
      </c>
      <c r="O131" s="12"/>
      <c r="P131" s="3"/>
      <c r="Q131" s="3"/>
      <c r="R131" s="20">
        <f t="shared" si="24"/>
        <v>0</v>
      </c>
      <c r="S131" s="3"/>
      <c r="T131" s="3">
        <v>85.28</v>
      </c>
      <c r="U131" s="3"/>
      <c r="V131" s="20">
        <f t="shared" si="25"/>
        <v>1.0958669975009633E-5</v>
      </c>
      <c r="W131" s="3"/>
      <c r="X131" s="3">
        <f t="shared" si="26"/>
        <v>-85.28</v>
      </c>
      <c r="Y131" s="3"/>
      <c r="Z131" s="20">
        <f t="shared" si="27"/>
        <v>-1</v>
      </c>
    </row>
    <row r="132" spans="1:26" s="69" customFormat="1" ht="15" hidden="1" customHeight="1" outlineLevel="1" x14ac:dyDescent="0.25">
      <c r="A132" s="42"/>
      <c r="B132" s="12" t="str">
        <f>CONCATENATE("          ","5518"," - ","FREIGHT-IN-STUDY GUIDES")</f>
        <v xml:space="preserve">          5518 - FREIGHT-IN-STUDY GUIDES</v>
      </c>
      <c r="C132" s="12"/>
      <c r="D132" s="3"/>
      <c r="E132" s="3"/>
      <c r="F132" s="20">
        <f t="shared" si="20"/>
        <v>0</v>
      </c>
      <c r="G132" s="3"/>
      <c r="H132" s="3"/>
      <c r="I132" s="3"/>
      <c r="J132" s="20">
        <f t="shared" si="21"/>
        <v>0</v>
      </c>
      <c r="K132" s="3"/>
      <c r="L132" s="3">
        <f t="shared" si="22"/>
        <v>0</v>
      </c>
      <c r="M132" s="3"/>
      <c r="N132" s="20">
        <f t="shared" si="23"/>
        <v>0</v>
      </c>
      <c r="O132" s="12"/>
      <c r="P132" s="3">
        <v>0</v>
      </c>
      <c r="Q132" s="3"/>
      <c r="R132" s="20">
        <f t="shared" si="24"/>
        <v>0</v>
      </c>
      <c r="S132" s="3"/>
      <c r="T132" s="3"/>
      <c r="U132" s="3"/>
      <c r="V132" s="20">
        <f t="shared" si="25"/>
        <v>0</v>
      </c>
      <c r="W132" s="3"/>
      <c r="X132" s="3">
        <f t="shared" si="26"/>
        <v>0</v>
      </c>
      <c r="Y132" s="3"/>
      <c r="Z132" s="20">
        <f t="shared" si="27"/>
        <v>0</v>
      </c>
    </row>
    <row r="133" spans="1:26" s="69" customFormat="1" ht="15" hidden="1" customHeight="1" outlineLevel="1" x14ac:dyDescent="0.25">
      <c r="A133" s="42"/>
      <c r="B133" s="12" t="str">
        <f>CONCATENATE("          ","5525"," - ","FREIGHT-IN-TEST FORMS")</f>
        <v xml:space="preserve">          5525 - FREIGHT-IN-TEST FORMS</v>
      </c>
      <c r="C133" s="12"/>
      <c r="D133" s="3"/>
      <c r="E133" s="3"/>
      <c r="F133" s="20">
        <f t="shared" si="20"/>
        <v>0</v>
      </c>
      <c r="G133" s="3"/>
      <c r="H133" s="3"/>
      <c r="I133" s="3"/>
      <c r="J133" s="20">
        <f t="shared" si="21"/>
        <v>0</v>
      </c>
      <c r="K133" s="3"/>
      <c r="L133" s="3">
        <f t="shared" si="22"/>
        <v>0</v>
      </c>
      <c r="M133" s="3"/>
      <c r="N133" s="20">
        <f t="shared" si="23"/>
        <v>0</v>
      </c>
      <c r="O133" s="12"/>
      <c r="P133" s="3"/>
      <c r="Q133" s="3"/>
      <c r="R133" s="20">
        <f t="shared" si="24"/>
        <v>0</v>
      </c>
      <c r="S133" s="3"/>
      <c r="T133" s="3">
        <v>48.14</v>
      </c>
      <c r="U133" s="3"/>
      <c r="V133" s="20">
        <f t="shared" si="25"/>
        <v>6.1860972396454474E-6</v>
      </c>
      <c r="W133" s="3"/>
      <c r="X133" s="3">
        <f t="shared" si="26"/>
        <v>-48.14</v>
      </c>
      <c r="Y133" s="3"/>
      <c r="Z133" s="20">
        <f t="shared" si="27"/>
        <v>-1</v>
      </c>
    </row>
    <row r="134" spans="1:26" s="69" customFormat="1" ht="15" hidden="1" customHeight="1" outlineLevel="1" x14ac:dyDescent="0.25">
      <c r="A134" s="42"/>
      <c r="B134" s="12" t="str">
        <f>CONCATENATE("          ","5526"," - ","FREIGHT-IN-WRITING INSTRUMENTS")</f>
        <v xml:space="preserve">          5526 - FREIGHT-IN-WRITING INSTRUMENTS</v>
      </c>
      <c r="C134" s="12"/>
      <c r="D134" s="3"/>
      <c r="E134" s="3"/>
      <c r="F134" s="20">
        <f t="shared" si="20"/>
        <v>0</v>
      </c>
      <c r="G134" s="3"/>
      <c r="H134" s="3"/>
      <c r="I134" s="3"/>
      <c r="J134" s="20">
        <f t="shared" si="21"/>
        <v>0</v>
      </c>
      <c r="K134" s="3"/>
      <c r="L134" s="3">
        <f t="shared" si="22"/>
        <v>0</v>
      </c>
      <c r="M134" s="3"/>
      <c r="N134" s="20">
        <f t="shared" si="23"/>
        <v>0</v>
      </c>
      <c r="O134" s="12"/>
      <c r="P134" s="3"/>
      <c r="Q134" s="3"/>
      <c r="R134" s="20">
        <f t="shared" si="24"/>
        <v>0</v>
      </c>
      <c r="S134" s="3"/>
      <c r="T134" s="3">
        <v>0</v>
      </c>
      <c r="U134" s="3"/>
      <c r="V134" s="20">
        <f t="shared" si="25"/>
        <v>0</v>
      </c>
      <c r="W134" s="3"/>
      <c r="X134" s="3">
        <f t="shared" si="26"/>
        <v>0</v>
      </c>
      <c r="Y134" s="3"/>
      <c r="Z134" s="20">
        <f t="shared" si="27"/>
        <v>0</v>
      </c>
    </row>
    <row r="135" spans="1:26" s="69" customFormat="1" ht="15" hidden="1" customHeight="1" outlineLevel="1" x14ac:dyDescent="0.25">
      <c r="A135" s="42"/>
      <c r="B135" s="12" t="str">
        <f>CONCATENATE("          ","5527"," - ","FREIGHT-IN-SCHOOL SUPPLIES")</f>
        <v xml:space="preserve">          5527 - FREIGHT-IN-SCHOOL SUPPLIES</v>
      </c>
      <c r="C135" s="12"/>
      <c r="D135" s="3"/>
      <c r="E135" s="3"/>
      <c r="F135" s="20">
        <f t="shared" si="20"/>
        <v>0</v>
      </c>
      <c r="G135" s="3"/>
      <c r="H135" s="3"/>
      <c r="I135" s="3"/>
      <c r="J135" s="20">
        <f t="shared" si="21"/>
        <v>0</v>
      </c>
      <c r="K135" s="3"/>
      <c r="L135" s="3">
        <f t="shared" si="22"/>
        <v>0</v>
      </c>
      <c r="M135" s="3"/>
      <c r="N135" s="20">
        <f t="shared" si="23"/>
        <v>0</v>
      </c>
      <c r="O135" s="12"/>
      <c r="P135" s="3">
        <v>0</v>
      </c>
      <c r="Q135" s="3"/>
      <c r="R135" s="20">
        <f t="shared" si="24"/>
        <v>0</v>
      </c>
      <c r="S135" s="3"/>
      <c r="T135" s="3">
        <v>218.62</v>
      </c>
      <c r="U135" s="3"/>
      <c r="V135" s="20">
        <f t="shared" si="25"/>
        <v>2.809315701145176E-5</v>
      </c>
      <c r="W135" s="3"/>
      <c r="X135" s="3">
        <f t="shared" si="26"/>
        <v>-218.62</v>
      </c>
      <c r="Y135" s="3"/>
      <c r="Z135" s="20">
        <f t="shared" si="27"/>
        <v>-1</v>
      </c>
    </row>
    <row r="136" spans="1:26" s="69" customFormat="1" ht="15" hidden="1" customHeight="1" outlineLevel="1" x14ac:dyDescent="0.25">
      <c r="A136" s="42"/>
      <c r="B136" s="12" t="str">
        <f>CONCATENATE("          ","5528"," - ","FREIGHT-IN-ART/TECH")</f>
        <v xml:space="preserve">          5528 - FREIGHT-IN-ART/TECH</v>
      </c>
      <c r="C136" s="12"/>
      <c r="D136" s="3"/>
      <c r="E136" s="3"/>
      <c r="F136" s="20">
        <f t="shared" si="20"/>
        <v>0</v>
      </c>
      <c r="G136" s="3"/>
      <c r="H136" s="3">
        <v>28.53</v>
      </c>
      <c r="I136" s="3"/>
      <c r="J136" s="20">
        <f t="shared" si="21"/>
        <v>4.3454888114401188E-5</v>
      </c>
      <c r="K136" s="3"/>
      <c r="L136" s="3">
        <f t="shared" si="22"/>
        <v>-28.53</v>
      </c>
      <c r="M136" s="3"/>
      <c r="N136" s="20">
        <f t="shared" si="23"/>
        <v>-1</v>
      </c>
      <c r="O136" s="12"/>
      <c r="P136" s="3">
        <v>0</v>
      </c>
      <c r="Q136" s="3"/>
      <c r="R136" s="20">
        <f t="shared" si="24"/>
        <v>0</v>
      </c>
      <c r="S136" s="3"/>
      <c r="T136" s="3">
        <v>572.96</v>
      </c>
      <c r="U136" s="3"/>
      <c r="V136" s="20">
        <f t="shared" si="25"/>
        <v>7.3626636361181052E-5</v>
      </c>
      <c r="W136" s="3"/>
      <c r="X136" s="3">
        <f t="shared" si="26"/>
        <v>-572.96</v>
      </c>
      <c r="Y136" s="3"/>
      <c r="Z136" s="20">
        <f t="shared" si="27"/>
        <v>-1</v>
      </c>
    </row>
    <row r="137" spans="1:26" s="69" customFormat="1" ht="15" hidden="1" customHeight="1" outlineLevel="1" x14ac:dyDescent="0.25">
      <c r="A137" s="42"/>
      <c r="B137" s="12" t="str">
        <f>CONCATENATE("          ","5540"," - ","FREIGHT-IN-LOGO CLOTHING")</f>
        <v xml:space="preserve">          5540 - FREIGHT-IN-LOGO CLOTHING</v>
      </c>
      <c r="C137" s="12"/>
      <c r="D137" s="3"/>
      <c r="E137" s="3"/>
      <c r="F137" s="20">
        <f t="shared" si="20"/>
        <v>0</v>
      </c>
      <c r="G137" s="3"/>
      <c r="H137" s="3">
        <v>1283.68</v>
      </c>
      <c r="I137" s="3"/>
      <c r="J137" s="20">
        <f t="shared" si="21"/>
        <v>1.9552110331123211E-3</v>
      </c>
      <c r="K137" s="3"/>
      <c r="L137" s="3">
        <f t="shared" si="22"/>
        <v>-1283.68</v>
      </c>
      <c r="M137" s="3"/>
      <c r="N137" s="20">
        <f t="shared" si="23"/>
        <v>-1</v>
      </c>
      <c r="O137" s="12"/>
      <c r="P137" s="3">
        <v>0</v>
      </c>
      <c r="Q137" s="3"/>
      <c r="R137" s="20">
        <f t="shared" si="24"/>
        <v>0</v>
      </c>
      <c r="S137" s="3"/>
      <c r="T137" s="3">
        <v>10499.7</v>
      </c>
      <c r="U137" s="3"/>
      <c r="V137" s="20">
        <f t="shared" si="25"/>
        <v>1.3492348397819965E-3</v>
      </c>
      <c r="W137" s="3"/>
      <c r="X137" s="3">
        <f t="shared" si="26"/>
        <v>-10499.7</v>
      </c>
      <c r="Y137" s="3"/>
      <c r="Z137" s="20">
        <f t="shared" si="27"/>
        <v>-1</v>
      </c>
    </row>
    <row r="138" spans="1:26" s="69" customFormat="1" ht="15" hidden="1" customHeight="1" outlineLevel="1" x14ac:dyDescent="0.25">
      <c r="A138" s="42"/>
      <c r="B138" s="12" t="str">
        <f>CONCATENATE("          ","5541"," - ","FREIGHT-IN-LOGO GIFTS")</f>
        <v xml:space="preserve">          5541 - FREIGHT-IN-LOGO GIFTS</v>
      </c>
      <c r="C138" s="12"/>
      <c r="D138" s="3"/>
      <c r="E138" s="3"/>
      <c r="F138" s="20">
        <f t="shared" si="20"/>
        <v>0</v>
      </c>
      <c r="G138" s="3"/>
      <c r="H138" s="3">
        <v>961.21</v>
      </c>
      <c r="I138" s="3"/>
      <c r="J138" s="20">
        <f t="shared" si="21"/>
        <v>1.4640474239202093E-3</v>
      </c>
      <c r="K138" s="3"/>
      <c r="L138" s="3">
        <f t="shared" si="22"/>
        <v>-961.21</v>
      </c>
      <c r="M138" s="3"/>
      <c r="N138" s="20">
        <f t="shared" si="23"/>
        <v>-1</v>
      </c>
      <c r="O138" s="12"/>
      <c r="P138" s="3">
        <v>0</v>
      </c>
      <c r="Q138" s="3"/>
      <c r="R138" s="20">
        <f t="shared" si="24"/>
        <v>0</v>
      </c>
      <c r="S138" s="3"/>
      <c r="T138" s="3">
        <v>5977.2</v>
      </c>
      <c r="U138" s="3"/>
      <c r="V138" s="20">
        <f t="shared" si="25"/>
        <v>7.6808351518090501E-4</v>
      </c>
      <c r="W138" s="3"/>
      <c r="X138" s="3">
        <f t="shared" si="26"/>
        <v>-5977.2</v>
      </c>
      <c r="Y138" s="3"/>
      <c r="Z138" s="20">
        <f t="shared" si="27"/>
        <v>-1</v>
      </c>
    </row>
    <row r="139" spans="1:26" s="69" customFormat="1" ht="15" hidden="1" customHeight="1" outlineLevel="1" x14ac:dyDescent="0.25">
      <c r="A139" s="42"/>
      <c r="B139" s="12" t="str">
        <f>CONCATENATE("          ","5542"," - ","FREIGHT-IN-EVERYDAY GIFTS")</f>
        <v xml:space="preserve">          5542 - FREIGHT-IN-EVERYDAY GIFTS</v>
      </c>
      <c r="C139" s="12"/>
      <c r="D139" s="3"/>
      <c r="E139" s="3"/>
      <c r="F139" s="20">
        <f t="shared" si="20"/>
        <v>0</v>
      </c>
      <c r="G139" s="3"/>
      <c r="H139" s="3"/>
      <c r="I139" s="3"/>
      <c r="J139" s="20">
        <f t="shared" si="21"/>
        <v>0</v>
      </c>
      <c r="K139" s="3"/>
      <c r="L139" s="3">
        <f t="shared" si="22"/>
        <v>0</v>
      </c>
      <c r="M139" s="3"/>
      <c r="N139" s="20">
        <f t="shared" si="23"/>
        <v>0</v>
      </c>
      <c r="O139" s="12"/>
      <c r="P139" s="3">
        <v>0</v>
      </c>
      <c r="Q139" s="3"/>
      <c r="R139" s="20">
        <f t="shared" si="24"/>
        <v>0</v>
      </c>
      <c r="S139" s="3"/>
      <c r="T139" s="3">
        <v>681.72</v>
      </c>
      <c r="U139" s="3"/>
      <c r="V139" s="20">
        <f t="shared" si="25"/>
        <v>8.7602538641692873E-5</v>
      </c>
      <c r="W139" s="3"/>
      <c r="X139" s="3">
        <f t="shared" si="26"/>
        <v>-681.72</v>
      </c>
      <c r="Y139" s="3"/>
      <c r="Z139" s="20">
        <f t="shared" si="27"/>
        <v>-1</v>
      </c>
    </row>
    <row r="140" spans="1:26" s="69" customFormat="1" ht="15" hidden="1" customHeight="1" outlineLevel="1" x14ac:dyDescent="0.25">
      <c r="A140" s="42"/>
      <c r="B140" s="12" t="str">
        <f>CONCATENATE("          ","5543"," - ","FREIGHT-IN-CARDS")</f>
        <v xml:space="preserve">          5543 - FREIGHT-IN-CARDS</v>
      </c>
      <c r="C140" s="12"/>
      <c r="D140" s="3"/>
      <c r="E140" s="3"/>
      <c r="F140" s="20">
        <f t="shared" si="20"/>
        <v>0</v>
      </c>
      <c r="G140" s="3"/>
      <c r="H140" s="3"/>
      <c r="I140" s="3"/>
      <c r="J140" s="20">
        <f t="shared" si="21"/>
        <v>0</v>
      </c>
      <c r="K140" s="3"/>
      <c r="L140" s="3">
        <f t="shared" si="22"/>
        <v>0</v>
      </c>
      <c r="M140" s="3"/>
      <c r="N140" s="20">
        <f t="shared" si="23"/>
        <v>0</v>
      </c>
      <c r="O140" s="12"/>
      <c r="P140" s="3"/>
      <c r="Q140" s="3"/>
      <c r="R140" s="20">
        <f t="shared" si="24"/>
        <v>0</v>
      </c>
      <c r="S140" s="3"/>
      <c r="T140" s="3">
        <v>9110.5300000000007</v>
      </c>
      <c r="U140" s="3"/>
      <c r="V140" s="20">
        <f t="shared" si="25"/>
        <v>1.1707234001808692E-3</v>
      </c>
      <c r="W140" s="3"/>
      <c r="X140" s="3">
        <f t="shared" si="26"/>
        <v>-9110.5300000000007</v>
      </c>
      <c r="Y140" s="3"/>
      <c r="Z140" s="20">
        <f t="shared" si="27"/>
        <v>-1</v>
      </c>
    </row>
    <row r="141" spans="1:26" s="69" customFormat="1" ht="15" hidden="1" customHeight="1" outlineLevel="1" x14ac:dyDescent="0.25">
      <c r="A141" s="42"/>
      <c r="B141" s="12" t="str">
        <f>CONCATENATE("          ","5544"," - ","FREIGHT-IN-ACCESSORIES")</f>
        <v xml:space="preserve">          5544 - FREIGHT-IN-ACCESSORIES</v>
      </c>
      <c r="C141" s="12"/>
      <c r="D141" s="3"/>
      <c r="E141" s="3"/>
      <c r="F141" s="20">
        <f t="shared" si="20"/>
        <v>0</v>
      </c>
      <c r="G141" s="3"/>
      <c r="H141" s="3"/>
      <c r="I141" s="3"/>
      <c r="J141" s="20">
        <f t="shared" si="21"/>
        <v>0</v>
      </c>
      <c r="K141" s="3"/>
      <c r="L141" s="3">
        <f t="shared" si="22"/>
        <v>0</v>
      </c>
      <c r="M141" s="3"/>
      <c r="N141" s="20">
        <f t="shared" si="23"/>
        <v>0</v>
      </c>
      <c r="O141" s="12"/>
      <c r="P141" s="3">
        <v>0</v>
      </c>
      <c r="Q141" s="3"/>
      <c r="R141" s="20">
        <f t="shared" si="24"/>
        <v>0</v>
      </c>
      <c r="S141" s="3"/>
      <c r="T141" s="3"/>
      <c r="U141" s="3"/>
      <c r="V141" s="20">
        <f t="shared" si="25"/>
        <v>0</v>
      </c>
      <c r="W141" s="3"/>
      <c r="X141" s="3">
        <f t="shared" si="26"/>
        <v>0</v>
      </c>
      <c r="Y141" s="3"/>
      <c r="Z141" s="20">
        <f t="shared" si="27"/>
        <v>0</v>
      </c>
    </row>
    <row r="142" spans="1:26" s="69" customFormat="1" ht="15" hidden="1" customHeight="1" outlineLevel="1" x14ac:dyDescent="0.25">
      <c r="A142" s="42"/>
      <c r="B142" s="12" t="str">
        <f>CONCATENATE("          ","5545"," - ","FREIGHT-IN-SPECIAL ORDERS")</f>
        <v xml:space="preserve">          5545 - FREIGHT-IN-SPECIAL ORDERS</v>
      </c>
      <c r="C142" s="12"/>
      <c r="D142" s="3"/>
      <c r="E142" s="3"/>
      <c r="F142" s="20">
        <f t="shared" si="20"/>
        <v>0</v>
      </c>
      <c r="G142" s="3"/>
      <c r="H142" s="3">
        <v>1033.9000000000001</v>
      </c>
      <c r="I142" s="3"/>
      <c r="J142" s="20">
        <f t="shared" si="21"/>
        <v>1.574763716140182E-3</v>
      </c>
      <c r="K142" s="3"/>
      <c r="L142" s="3">
        <f t="shared" si="22"/>
        <v>-1033.9000000000001</v>
      </c>
      <c r="M142" s="3"/>
      <c r="N142" s="20">
        <f t="shared" si="23"/>
        <v>-1</v>
      </c>
      <c r="O142" s="12"/>
      <c r="P142" s="3">
        <v>0</v>
      </c>
      <c r="Q142" s="3"/>
      <c r="R142" s="20">
        <f t="shared" si="24"/>
        <v>0</v>
      </c>
      <c r="S142" s="3"/>
      <c r="T142" s="3">
        <v>2468.66</v>
      </c>
      <c r="U142" s="3"/>
      <c r="V142" s="20">
        <f t="shared" si="25"/>
        <v>3.1722830933990712E-4</v>
      </c>
      <c r="W142" s="3"/>
      <c r="X142" s="3">
        <f t="shared" si="26"/>
        <v>-2468.66</v>
      </c>
      <c r="Y142" s="3"/>
      <c r="Z142" s="20">
        <f t="shared" si="27"/>
        <v>-1</v>
      </c>
    </row>
    <row r="143" spans="1:26" s="69" customFormat="1" ht="15" hidden="1" customHeight="1" outlineLevel="1" x14ac:dyDescent="0.25">
      <c r="A143" s="42"/>
      <c r="B143" s="12" t="str">
        <f>CONCATENATE("          ","5581"," - ","FREIGHT-IN-ELECTRONICS")</f>
        <v xml:space="preserve">          5581 - FREIGHT-IN-ELECTRONICS</v>
      </c>
      <c r="C143" s="12"/>
      <c r="D143" s="3"/>
      <c r="E143" s="3"/>
      <c r="F143" s="20">
        <f t="shared" si="20"/>
        <v>0</v>
      </c>
      <c r="G143" s="3"/>
      <c r="H143" s="3"/>
      <c r="I143" s="3"/>
      <c r="J143" s="20">
        <f t="shared" si="21"/>
        <v>0</v>
      </c>
      <c r="K143" s="3"/>
      <c r="L143" s="3">
        <f t="shared" si="22"/>
        <v>0</v>
      </c>
      <c r="M143" s="3"/>
      <c r="N143" s="20">
        <f t="shared" si="23"/>
        <v>0</v>
      </c>
      <c r="O143" s="12"/>
      <c r="P143" s="3"/>
      <c r="Q143" s="3"/>
      <c r="R143" s="20">
        <f t="shared" si="24"/>
        <v>0</v>
      </c>
      <c r="S143" s="3"/>
      <c r="T143" s="3">
        <v>31</v>
      </c>
      <c r="U143" s="3"/>
      <c r="V143" s="20">
        <f t="shared" si="25"/>
        <v>3.9835690575199183E-6</v>
      </c>
      <c r="W143" s="3"/>
      <c r="X143" s="3">
        <f t="shared" si="26"/>
        <v>-31</v>
      </c>
      <c r="Y143" s="3"/>
      <c r="Z143" s="20">
        <f t="shared" si="27"/>
        <v>-1</v>
      </c>
    </row>
    <row r="144" spans="1:26" s="69" customFormat="1" ht="15" hidden="1" customHeight="1" outlineLevel="1" x14ac:dyDescent="0.25">
      <c r="A144" s="42"/>
      <c r="B144" s="12" t="str">
        <f>CONCATENATE("          ","5582"," - ","FREIGHT-IN-COMPUTER HARDWARE")</f>
        <v xml:space="preserve">          5582 - FREIGHT-IN-COMPUTER HARDWARE</v>
      </c>
      <c r="C144" s="12"/>
      <c r="D144" s="3"/>
      <c r="E144" s="3"/>
      <c r="F144" s="20">
        <f t="shared" si="20"/>
        <v>0</v>
      </c>
      <c r="G144" s="3"/>
      <c r="H144" s="3">
        <v>20</v>
      </c>
      <c r="I144" s="3"/>
      <c r="J144" s="20">
        <f t="shared" si="21"/>
        <v>3.0462592439117553E-5</v>
      </c>
      <c r="K144" s="3"/>
      <c r="L144" s="3">
        <f t="shared" si="22"/>
        <v>-20</v>
      </c>
      <c r="M144" s="3"/>
      <c r="N144" s="20">
        <f t="shared" si="23"/>
        <v>-1</v>
      </c>
      <c r="O144" s="12"/>
      <c r="P144" s="3"/>
      <c r="Q144" s="3"/>
      <c r="R144" s="20">
        <f t="shared" si="24"/>
        <v>0</v>
      </c>
      <c r="S144" s="3"/>
      <c r="T144" s="3">
        <v>145</v>
      </c>
      <c r="U144" s="3"/>
      <c r="V144" s="20">
        <f t="shared" si="25"/>
        <v>1.8632823010980263E-5</v>
      </c>
      <c r="W144" s="3"/>
      <c r="X144" s="3">
        <f t="shared" si="26"/>
        <v>-145</v>
      </c>
      <c r="Y144" s="3"/>
      <c r="Z144" s="20">
        <f t="shared" si="27"/>
        <v>-1</v>
      </c>
    </row>
    <row r="145" spans="1:26" s="69" customFormat="1" ht="15" hidden="1" customHeight="1" outlineLevel="1" x14ac:dyDescent="0.25">
      <c r="A145" s="42"/>
      <c r="B145" s="12" t="str">
        <f>CONCATENATE("          ","5583"," - ","FREIGHT-IN-COMPUTER EQUIPMENT")</f>
        <v xml:space="preserve">          5583 - FREIGHT-IN-COMPUTER EQUIPMENT</v>
      </c>
      <c r="C145" s="12"/>
      <c r="D145" s="3"/>
      <c r="E145" s="3"/>
      <c r="F145" s="20">
        <f t="shared" si="20"/>
        <v>0</v>
      </c>
      <c r="G145" s="3"/>
      <c r="H145" s="3"/>
      <c r="I145" s="3"/>
      <c r="J145" s="20">
        <f t="shared" si="21"/>
        <v>0</v>
      </c>
      <c r="K145" s="3"/>
      <c r="L145" s="3">
        <f t="shared" si="22"/>
        <v>0</v>
      </c>
      <c r="M145" s="3"/>
      <c r="N145" s="20">
        <f t="shared" si="23"/>
        <v>0</v>
      </c>
      <c r="O145" s="12"/>
      <c r="P145" s="3">
        <v>0</v>
      </c>
      <c r="Q145" s="3"/>
      <c r="R145" s="20">
        <f t="shared" si="24"/>
        <v>0</v>
      </c>
      <c r="S145" s="3"/>
      <c r="T145" s="3">
        <v>242.46</v>
      </c>
      <c r="U145" s="3"/>
      <c r="V145" s="20">
        <f t="shared" si="25"/>
        <v>3.1156650118912241E-5</v>
      </c>
      <c r="W145" s="3"/>
      <c r="X145" s="3">
        <f t="shared" si="26"/>
        <v>-242.46</v>
      </c>
      <c r="Y145" s="3"/>
      <c r="Z145" s="20">
        <f t="shared" si="27"/>
        <v>-1</v>
      </c>
    </row>
    <row r="146" spans="1:26" s="69" customFormat="1" ht="15" hidden="1" customHeight="1" outlineLevel="1" x14ac:dyDescent="0.25">
      <c r="A146" s="42"/>
      <c r="B146" s="12" t="str">
        <f>CONCATENATE("          ","5585"," - ","FREIGHT-IN-SOFTWARE")</f>
        <v xml:space="preserve">          5585 - FREIGHT-IN-SOFTWARE</v>
      </c>
      <c r="C146" s="12"/>
      <c r="D146" s="3"/>
      <c r="E146" s="3"/>
      <c r="F146" s="20">
        <f t="shared" si="20"/>
        <v>0</v>
      </c>
      <c r="G146" s="3"/>
      <c r="H146" s="3"/>
      <c r="I146" s="3"/>
      <c r="J146" s="20">
        <f t="shared" si="21"/>
        <v>0</v>
      </c>
      <c r="K146" s="3"/>
      <c r="L146" s="3">
        <f t="shared" si="22"/>
        <v>0</v>
      </c>
      <c r="M146" s="3"/>
      <c r="N146" s="20">
        <f t="shared" si="23"/>
        <v>0</v>
      </c>
      <c r="O146" s="12"/>
      <c r="P146" s="3"/>
      <c r="Q146" s="3"/>
      <c r="R146" s="20">
        <f t="shared" si="24"/>
        <v>0</v>
      </c>
      <c r="S146" s="3"/>
      <c r="T146" s="3">
        <v>9.41</v>
      </c>
      <c r="U146" s="3"/>
      <c r="V146" s="20">
        <f t="shared" si="25"/>
        <v>1.2092059622987881E-6</v>
      </c>
      <c r="W146" s="3"/>
      <c r="X146" s="3">
        <f t="shared" si="26"/>
        <v>-9.41</v>
      </c>
      <c r="Y146" s="3"/>
      <c r="Z146" s="20">
        <f t="shared" si="27"/>
        <v>-1</v>
      </c>
    </row>
    <row r="147" spans="1:26" s="69" customFormat="1" ht="15" hidden="1" customHeight="1" outlineLevel="1" x14ac:dyDescent="0.25">
      <c r="A147" s="42"/>
      <c r="B147" s="12" t="str">
        <f>CONCATENATE("          ","5586"," - ","FREIGHT-IN-COMPUTER SUPPLIES")</f>
        <v xml:space="preserve">          5586 - FREIGHT-IN-COMPUTER SUPPLIES</v>
      </c>
      <c r="C147" s="12"/>
      <c r="D147" s="3"/>
      <c r="E147" s="3"/>
      <c r="F147" s="20">
        <f t="shared" si="20"/>
        <v>0</v>
      </c>
      <c r="G147" s="3"/>
      <c r="H147" s="3"/>
      <c r="I147" s="3"/>
      <c r="J147" s="20">
        <f t="shared" si="21"/>
        <v>0</v>
      </c>
      <c r="K147" s="3"/>
      <c r="L147" s="3">
        <f t="shared" si="22"/>
        <v>0</v>
      </c>
      <c r="M147" s="3"/>
      <c r="N147" s="20">
        <f t="shared" si="23"/>
        <v>0</v>
      </c>
      <c r="O147" s="12"/>
      <c r="P147" s="3"/>
      <c r="Q147" s="3"/>
      <c r="R147" s="20">
        <f t="shared" si="24"/>
        <v>0</v>
      </c>
      <c r="S147" s="3"/>
      <c r="T147" s="3">
        <v>24.12</v>
      </c>
      <c r="U147" s="3"/>
      <c r="V147" s="20">
        <f t="shared" si="25"/>
        <v>3.0994737312058204E-6</v>
      </c>
      <c r="W147" s="3"/>
      <c r="X147" s="3">
        <f t="shared" si="26"/>
        <v>-24.12</v>
      </c>
      <c r="Y147" s="3"/>
      <c r="Z147" s="20">
        <f t="shared" si="27"/>
        <v>-1</v>
      </c>
    </row>
    <row r="148" spans="1:26" s="69" customFormat="1" ht="15" hidden="1" customHeight="1" outlineLevel="1" x14ac:dyDescent="0.25">
      <c r="A148" s="42"/>
      <c r="B148" s="12" t="str">
        <f>CONCATENATE("          ","5592"," - ","FREIGHT-IN-GRAD MERCH")</f>
        <v xml:space="preserve">          5592 - FREIGHT-IN-GRAD MERCH</v>
      </c>
      <c r="C148" s="12"/>
      <c r="D148" s="3"/>
      <c r="E148" s="3"/>
      <c r="F148" s="20">
        <f t="shared" si="20"/>
        <v>0</v>
      </c>
      <c r="G148" s="3"/>
      <c r="H148" s="3"/>
      <c r="I148" s="3"/>
      <c r="J148" s="20">
        <f t="shared" si="21"/>
        <v>0</v>
      </c>
      <c r="K148" s="3"/>
      <c r="L148" s="3">
        <f t="shared" si="22"/>
        <v>0</v>
      </c>
      <c r="M148" s="3"/>
      <c r="N148" s="20">
        <f t="shared" si="23"/>
        <v>0</v>
      </c>
      <c r="O148" s="12"/>
      <c r="P148" s="3"/>
      <c r="Q148" s="3"/>
      <c r="R148" s="20">
        <f t="shared" si="24"/>
        <v>0</v>
      </c>
      <c r="S148" s="3"/>
      <c r="T148" s="3">
        <v>0</v>
      </c>
      <c r="U148" s="3"/>
      <c r="V148" s="20">
        <f t="shared" si="25"/>
        <v>0</v>
      </c>
      <c r="W148" s="3"/>
      <c r="X148" s="3">
        <f t="shared" si="26"/>
        <v>0</v>
      </c>
      <c r="Y148" s="3"/>
      <c r="Z148" s="20">
        <f t="shared" si="27"/>
        <v>0</v>
      </c>
    </row>
    <row r="149" spans="1:26" ht="15" customHeight="1" x14ac:dyDescent="0.25">
      <c r="A149" s="10"/>
      <c r="B149" s="11"/>
      <c r="C149" s="11"/>
      <c r="D149" s="4"/>
      <c r="E149" s="4"/>
      <c r="F149" s="9"/>
      <c r="G149" s="4"/>
      <c r="H149" s="4"/>
      <c r="I149" s="4"/>
      <c r="J149" s="9"/>
      <c r="K149" s="4"/>
      <c r="L149" s="4"/>
      <c r="M149" s="4"/>
      <c r="N149" s="9"/>
      <c r="O149" s="11"/>
      <c r="P149" s="4"/>
      <c r="Q149" s="4"/>
      <c r="R149" s="9"/>
      <c r="S149" s="4"/>
      <c r="T149" s="4"/>
      <c r="U149" s="4"/>
      <c r="V149" s="9"/>
      <c r="W149" s="4"/>
      <c r="X149" s="4"/>
      <c r="Y149" s="4"/>
      <c r="Z149" s="9"/>
    </row>
    <row r="150" spans="1:26" s="62" customFormat="1" ht="15" customHeight="1" x14ac:dyDescent="0.25">
      <c r="A150" s="11"/>
      <c r="B150" s="27" t="s">
        <v>288</v>
      </c>
      <c r="C150" s="27"/>
      <c r="D150" s="22">
        <f>D12-D98</f>
        <v>556419.37</v>
      </c>
      <c r="E150" s="15"/>
      <c r="F150" s="23">
        <f>IF(D$12=0,0,D150/D$12)</f>
        <v>0.43759665435500983</v>
      </c>
      <c r="G150" s="15"/>
      <c r="H150" s="22">
        <f>H12-H98</f>
        <v>351364.86999999965</v>
      </c>
      <c r="I150" s="15"/>
      <c r="J150" s="23">
        <f>IF(H$12=0,0,H150/H$12)</f>
        <v>0.53517424161167559</v>
      </c>
      <c r="K150" s="16"/>
      <c r="L150" s="22">
        <f>+D150-H150</f>
        <v>205054.50000000035</v>
      </c>
      <c r="M150" s="16"/>
      <c r="N150" s="23">
        <f>IF(H150=0,0,L150/H150)</f>
        <v>0.58359419938595614</v>
      </c>
      <c r="O150" s="28"/>
      <c r="P150" s="22">
        <f>P12-P98</f>
        <v>3820687.2299999986</v>
      </c>
      <c r="Q150" s="15"/>
      <c r="R150" s="23">
        <f>IF(P$12=0,0,P150/P$12)</f>
        <v>0.38192679785613615</v>
      </c>
      <c r="S150" s="15"/>
      <c r="T150" s="22">
        <f>T12-T98</f>
        <v>2298695.5999999978</v>
      </c>
      <c r="U150" s="15"/>
      <c r="V150" s="23">
        <f>IF(T$12=0,0,T150/T$12)</f>
        <v>0.29538750531668306</v>
      </c>
      <c r="W150" s="16"/>
      <c r="X150" s="22">
        <f>+P150-T150</f>
        <v>1521991.6300000008</v>
      </c>
      <c r="Y150" s="16"/>
      <c r="Z150" s="23">
        <f>IF(T150=0,0,X150/T150)</f>
        <v>0.66211099460059097</v>
      </c>
    </row>
    <row r="151" spans="1:26" ht="15" customHeight="1" x14ac:dyDescent="0.25">
      <c r="A151" s="10"/>
      <c r="B151" s="11"/>
      <c r="C151" s="10"/>
      <c r="D151" s="2"/>
      <c r="E151" s="2"/>
      <c r="F151" s="6"/>
      <c r="G151" s="2"/>
      <c r="H151" s="2"/>
      <c r="I151" s="2"/>
      <c r="J151" s="6"/>
      <c r="K151" s="2"/>
      <c r="L151" s="2"/>
      <c r="M151" s="2"/>
      <c r="N151" s="6"/>
      <c r="O151" s="36"/>
      <c r="P151" s="2"/>
      <c r="Q151" s="2"/>
      <c r="R151" s="6"/>
      <c r="S151" s="2"/>
      <c r="T151" s="2"/>
      <c r="U151" s="2"/>
      <c r="V151" s="6"/>
      <c r="W151" s="2"/>
      <c r="X151" s="2"/>
      <c r="Y151" s="2"/>
      <c r="Z151" s="6"/>
    </row>
    <row r="152" spans="1:26" s="62" customFormat="1" ht="15" customHeight="1" x14ac:dyDescent="0.25">
      <c r="A152" s="11"/>
      <c r="B152" s="28" t="s">
        <v>289</v>
      </c>
      <c r="C152" s="11"/>
      <c r="D152" s="21" cm="1">
        <f t="array" ref="D152">SUM(OSRRefD22x_0)</f>
        <v>342599.89999999997</v>
      </c>
      <c r="E152" s="21"/>
      <c r="F152" s="31">
        <f t="shared" ref="F152:F183" si="28">IF(D$12=0,0,D152/D$12)</f>
        <v>0.26943808592134544</v>
      </c>
      <c r="G152" s="21"/>
      <c r="H152" s="21" cm="1">
        <f t="array" ref="H152">SUM(OSRRefH22x_0)</f>
        <v>244482.82999999993</v>
      </c>
      <c r="I152" s="21"/>
      <c r="J152" s="31">
        <f t="shared" ref="J152:J183" si="29">IF(H$12=0,0,H152/H$12)</f>
        <v>0.372379040432603</v>
      </c>
      <c r="K152" s="5"/>
      <c r="L152" s="21">
        <f t="shared" ref="L152:L183" si="30">+D152-H152</f>
        <v>98117.070000000036</v>
      </c>
      <c r="M152" s="5"/>
      <c r="N152" s="31">
        <f t="shared" ref="N152:N183" si="31">IF(H152=0,0,L152/H152)</f>
        <v>0.40132499284305595</v>
      </c>
      <c r="O152" s="11"/>
      <c r="P152" s="21" cm="1">
        <f t="array" ref="P152">SUM(OSRRefP22x_0)</f>
        <v>3709153.09</v>
      </c>
      <c r="Q152" s="21"/>
      <c r="R152" s="31">
        <f t="shared" ref="R152:R183" si="32">IF(P$12=0,0,P152/P$12)</f>
        <v>0.37077752695864957</v>
      </c>
      <c r="S152" s="21"/>
      <c r="T152" s="21" cm="1">
        <f t="array" ref="T152">SUM(OSRRefT22x_0)</f>
        <v>3020510.2600000007</v>
      </c>
      <c r="U152" s="21"/>
      <c r="V152" s="31">
        <f t="shared" ref="V152:V183" si="33">IF(T$12=0,0,T152/T$12)</f>
        <v>0.38814229708572406</v>
      </c>
      <c r="W152" s="5"/>
      <c r="X152" s="21">
        <f t="shared" ref="X152:X183" si="34">+P152-T152</f>
        <v>688642.82999999914</v>
      </c>
      <c r="Y152" s="5"/>
      <c r="Z152" s="31">
        <f t="shared" ref="Z152:Z183" si="35">IF(T152=0,0,X152/T152)</f>
        <v>0.22798890608635078</v>
      </c>
    </row>
    <row r="153" spans="1:26" s="68" customFormat="1" ht="15" customHeight="1" outlineLevel="1" collapsed="1" x14ac:dyDescent="0.25">
      <c r="A153" s="26"/>
      <c r="B153" s="14" t="str">
        <f>CONCATENATE("     ","*Benefits                                         ")</f>
        <v xml:space="preserve">     *Benefits                                         </v>
      </c>
      <c r="C153" s="14"/>
      <c r="D153" s="2">
        <f>SUM(OSRRefD22_0x_0)</f>
        <v>47707.25</v>
      </c>
      <c r="E153" s="2"/>
      <c r="F153" s="6">
        <f t="shared" si="28"/>
        <v>3.751942170610998E-2</v>
      </c>
      <c r="G153" s="2"/>
      <c r="H153" s="2">
        <f>SUM(OSRRefH22_0x_0)</f>
        <v>50551.65</v>
      </c>
      <c r="I153" s="2"/>
      <c r="J153" s="6">
        <f t="shared" si="29"/>
        <v>7.6996715553745848E-2</v>
      </c>
      <c r="K153" s="2"/>
      <c r="L153" s="2">
        <f t="shared" si="30"/>
        <v>-2844.4000000000015</v>
      </c>
      <c r="M153" s="2"/>
      <c r="N153" s="6">
        <f t="shared" si="31"/>
        <v>-5.6267203938941683E-2</v>
      </c>
      <c r="O153" s="14"/>
      <c r="P153" s="2">
        <f>SUM(OSRRefP22_0x_0)</f>
        <v>547492.47</v>
      </c>
      <c r="Q153" s="2"/>
      <c r="R153" s="6">
        <f t="shared" si="32"/>
        <v>5.4728909573015939E-2</v>
      </c>
      <c r="S153" s="2"/>
      <c r="T153" s="2">
        <f>SUM(OSRRefT22_0x_0)</f>
        <v>543992.03999999992</v>
      </c>
      <c r="U153" s="2"/>
      <c r="V153" s="6">
        <f t="shared" si="33"/>
        <v>6.9904188970359271E-2</v>
      </c>
      <c r="W153" s="2"/>
      <c r="X153" s="2">
        <f t="shared" si="34"/>
        <v>3500.4300000000512</v>
      </c>
      <c r="Y153" s="2"/>
      <c r="Z153" s="6">
        <f t="shared" si="35"/>
        <v>6.4347081255086962E-3</v>
      </c>
    </row>
    <row r="154" spans="1:26" s="69" customFormat="1" ht="15" hidden="1" customHeight="1" outlineLevel="2" x14ac:dyDescent="0.25">
      <c r="A154" s="25"/>
      <c r="B154" s="12" t="str">
        <f>CONCATENATE("          ","6111"," - ","F.I.C.A.")</f>
        <v xml:space="preserve">          6111 - F.I.C.A.</v>
      </c>
      <c r="C154" s="12"/>
      <c r="D154" s="7">
        <v>9506.4699999999993</v>
      </c>
      <c r="E154" s="3"/>
      <c r="F154" s="8">
        <f t="shared" si="28"/>
        <v>7.4763742799361385E-3</v>
      </c>
      <c r="G154" s="3"/>
      <c r="H154" s="7">
        <v>8783.1299999999992</v>
      </c>
      <c r="I154" s="3"/>
      <c r="J154" s="8">
        <f t="shared" si="29"/>
        <v>1.3377845476489326E-2</v>
      </c>
      <c r="K154" s="3"/>
      <c r="L154" s="7">
        <f t="shared" si="30"/>
        <v>723.34000000000015</v>
      </c>
      <c r="M154" s="3"/>
      <c r="N154" s="8">
        <f t="shared" si="31"/>
        <v>8.2355606714235155E-2</v>
      </c>
      <c r="O154" s="12"/>
      <c r="P154" s="7">
        <v>102794.15</v>
      </c>
      <c r="Q154" s="3"/>
      <c r="R154" s="8">
        <f t="shared" si="32"/>
        <v>1.0275596557492446E-2</v>
      </c>
      <c r="S154" s="3"/>
      <c r="T154" s="7">
        <v>103415.14</v>
      </c>
      <c r="U154" s="3"/>
      <c r="V154" s="8">
        <f t="shared" si="33"/>
        <v>1.3289075863970658E-2</v>
      </c>
      <c r="W154" s="3"/>
      <c r="X154" s="7">
        <f t="shared" si="34"/>
        <v>-620.99000000000524</v>
      </c>
      <c r="Y154" s="3"/>
      <c r="Z154" s="8">
        <f t="shared" si="35"/>
        <v>-6.0048267594087794E-3</v>
      </c>
    </row>
    <row r="155" spans="1:26" s="69" customFormat="1" ht="15" hidden="1" customHeight="1" outlineLevel="2" x14ac:dyDescent="0.25">
      <c r="A155" s="25"/>
      <c r="B155" s="12" t="str">
        <f>CONCATENATE("          ","6112"," - ","COMPENSATION INSURANCE")</f>
        <v xml:space="preserve">          6112 - COMPENSATION INSURANCE</v>
      </c>
      <c r="C155" s="12"/>
      <c r="D155" s="7">
        <v>3798.85</v>
      </c>
      <c r="E155" s="3"/>
      <c r="F155" s="8">
        <f t="shared" si="28"/>
        <v>2.987609957569466E-3</v>
      </c>
      <c r="G155" s="3"/>
      <c r="H155" s="7">
        <v>2914.54</v>
      </c>
      <c r="I155" s="3"/>
      <c r="J155" s="8">
        <f t="shared" si="29"/>
        <v>4.4392222083752837E-3</v>
      </c>
      <c r="K155" s="3"/>
      <c r="L155" s="7">
        <f t="shared" si="30"/>
        <v>884.31</v>
      </c>
      <c r="M155" s="3"/>
      <c r="N155" s="8">
        <f t="shared" si="31"/>
        <v>0.30341323159057687</v>
      </c>
      <c r="O155" s="12"/>
      <c r="P155" s="7">
        <v>29835.83</v>
      </c>
      <c r="Q155" s="3"/>
      <c r="R155" s="8">
        <f t="shared" si="32"/>
        <v>2.9824747034527732E-3</v>
      </c>
      <c r="S155" s="3"/>
      <c r="T155" s="7">
        <v>26027.3</v>
      </c>
      <c r="U155" s="3"/>
      <c r="V155" s="8">
        <f t="shared" si="33"/>
        <v>3.3445660300254251E-3</v>
      </c>
      <c r="W155" s="3"/>
      <c r="X155" s="7">
        <f t="shared" si="34"/>
        <v>3808.5300000000025</v>
      </c>
      <c r="Y155" s="3"/>
      <c r="Z155" s="8">
        <f t="shared" si="35"/>
        <v>0.14632827838461931</v>
      </c>
    </row>
    <row r="156" spans="1:26" s="69" customFormat="1" ht="15" hidden="1" customHeight="1" outlineLevel="2" x14ac:dyDescent="0.25">
      <c r="A156" s="25"/>
      <c r="B156" s="12" t="str">
        <f>CONCATENATE("          ","6113"," - ","GROUP INSURANCE")</f>
        <v xml:space="preserve">          6113 - GROUP INSURANCE</v>
      </c>
      <c r="C156" s="12"/>
      <c r="D156" s="7">
        <v>15799.57</v>
      </c>
      <c r="E156" s="3"/>
      <c r="F156" s="8">
        <f t="shared" si="28"/>
        <v>1.2425590022589944E-2</v>
      </c>
      <c r="G156" s="3"/>
      <c r="H156" s="7">
        <v>19337.900000000001</v>
      </c>
      <c r="I156" s="3"/>
      <c r="J156" s="8">
        <f t="shared" si="29"/>
        <v>2.9454128316420566E-2</v>
      </c>
      <c r="K156" s="3"/>
      <c r="L156" s="7">
        <f t="shared" si="30"/>
        <v>-3538.3300000000017</v>
      </c>
      <c r="M156" s="3"/>
      <c r="N156" s="8">
        <f t="shared" si="31"/>
        <v>-0.18297384928042867</v>
      </c>
      <c r="O156" s="12"/>
      <c r="P156" s="7">
        <v>190253.14</v>
      </c>
      <c r="Q156" s="3"/>
      <c r="R156" s="8">
        <f t="shared" si="32"/>
        <v>1.9018246762448336E-2</v>
      </c>
      <c r="S156" s="3"/>
      <c r="T156" s="7">
        <v>194638.22</v>
      </c>
      <c r="U156" s="3"/>
      <c r="V156" s="8">
        <f t="shared" si="33"/>
        <v>2.5011444858153372E-2</v>
      </c>
      <c r="W156" s="3"/>
      <c r="X156" s="7">
        <f t="shared" si="34"/>
        <v>-4385.0799999999872</v>
      </c>
      <c r="Y156" s="3"/>
      <c r="Z156" s="8">
        <f t="shared" si="35"/>
        <v>-2.2529388112982062E-2</v>
      </c>
    </row>
    <row r="157" spans="1:26" s="69" customFormat="1" ht="15" hidden="1" customHeight="1" outlineLevel="2" x14ac:dyDescent="0.25">
      <c r="A157" s="25"/>
      <c r="B157" s="12" t="str">
        <f>CONCATENATE("          ","6114"," - ","STATE UNEMPLOYMENT INSURANCE")</f>
        <v xml:space="preserve">          6114 - STATE UNEMPLOYMENT INSURANCE</v>
      </c>
      <c r="C157" s="12"/>
      <c r="D157" s="7">
        <v>678.8</v>
      </c>
      <c r="E157" s="3"/>
      <c r="F157" s="8">
        <f t="shared" si="28"/>
        <v>5.3384304176215265E-4</v>
      </c>
      <c r="G157" s="3"/>
      <c r="H157" s="7">
        <v>509.8</v>
      </c>
      <c r="I157" s="3"/>
      <c r="J157" s="8">
        <f t="shared" si="29"/>
        <v>7.7649148127310647E-4</v>
      </c>
      <c r="K157" s="3"/>
      <c r="L157" s="7">
        <f t="shared" si="30"/>
        <v>168.99999999999994</v>
      </c>
      <c r="M157" s="3"/>
      <c r="N157" s="8">
        <f t="shared" si="31"/>
        <v>0.33150255001961543</v>
      </c>
      <c r="O157" s="12"/>
      <c r="P157" s="7">
        <v>5368.26</v>
      </c>
      <c r="Q157" s="3"/>
      <c r="R157" s="8">
        <f t="shared" si="32"/>
        <v>5.3662658795003806E-4</v>
      </c>
      <c r="S157" s="3"/>
      <c r="T157" s="7">
        <v>4273.58</v>
      </c>
      <c r="U157" s="3"/>
      <c r="V157" s="8">
        <f t="shared" si="33"/>
        <v>5.4916455009148299E-4</v>
      </c>
      <c r="W157" s="3"/>
      <c r="X157" s="7">
        <f t="shared" si="34"/>
        <v>1094.6800000000003</v>
      </c>
      <c r="Y157" s="3"/>
      <c r="Z157" s="8">
        <f t="shared" si="35"/>
        <v>0.25615058101170457</v>
      </c>
    </row>
    <row r="158" spans="1:26" s="69" customFormat="1" ht="15" hidden="1" customHeight="1" outlineLevel="2" x14ac:dyDescent="0.25">
      <c r="A158" s="25"/>
      <c r="B158" s="12" t="str">
        <f>CONCATENATE("          ","6115"," - ","P.E.R.S.")</f>
        <v xml:space="preserve">          6115 - P.E.R.S.</v>
      </c>
      <c r="C158" s="12"/>
      <c r="D158" s="7">
        <v>4607.9799999999996</v>
      </c>
      <c r="E158" s="3"/>
      <c r="F158" s="8">
        <f t="shared" si="28"/>
        <v>3.6239511779304124E-3</v>
      </c>
      <c r="G158" s="3"/>
      <c r="H158" s="7">
        <v>6531.81</v>
      </c>
      <c r="I158" s="3"/>
      <c r="J158" s="8">
        <f t="shared" si="29"/>
        <v>9.9487932959876207E-3</v>
      </c>
      <c r="K158" s="3"/>
      <c r="L158" s="7">
        <f t="shared" si="30"/>
        <v>-1923.8300000000008</v>
      </c>
      <c r="M158" s="3"/>
      <c r="N158" s="8">
        <f t="shared" si="31"/>
        <v>-0.29453244965790504</v>
      </c>
      <c r="O158" s="12"/>
      <c r="P158" s="7">
        <v>73128.259999999995</v>
      </c>
      <c r="Q158" s="3"/>
      <c r="R158" s="8">
        <f t="shared" si="32"/>
        <v>7.3101095413641006E-3</v>
      </c>
      <c r="S158" s="3"/>
      <c r="T158" s="7">
        <v>76817.48</v>
      </c>
      <c r="U158" s="3"/>
      <c r="V158" s="8">
        <f t="shared" si="33"/>
        <v>9.8712173033759735E-3</v>
      </c>
      <c r="W158" s="3"/>
      <c r="X158" s="7">
        <f t="shared" si="34"/>
        <v>-3689.2200000000012</v>
      </c>
      <c r="Y158" s="3"/>
      <c r="Z158" s="8">
        <f t="shared" si="35"/>
        <v>-4.802578788057095E-2</v>
      </c>
    </row>
    <row r="159" spans="1:26" s="69" customFormat="1" ht="15" hidden="1" customHeight="1" outlineLevel="2" x14ac:dyDescent="0.25">
      <c r="A159" s="25"/>
      <c r="B159" s="12" t="str">
        <f>CONCATENATE("          ","6116"," - ","EDUCATIONAL BENEFITS")</f>
        <v xml:space="preserve">          6116 - EDUCATIONAL BENEFITS</v>
      </c>
      <c r="C159" s="12"/>
      <c r="D159" s="7"/>
      <c r="E159" s="3"/>
      <c r="F159" s="8">
        <f t="shared" si="28"/>
        <v>0</v>
      </c>
      <c r="G159" s="3"/>
      <c r="H159" s="7"/>
      <c r="I159" s="3"/>
      <c r="J159" s="8">
        <f t="shared" si="29"/>
        <v>0</v>
      </c>
      <c r="K159" s="3"/>
      <c r="L159" s="7">
        <f t="shared" si="30"/>
        <v>0</v>
      </c>
      <c r="M159" s="3"/>
      <c r="N159" s="8">
        <f t="shared" si="31"/>
        <v>0</v>
      </c>
      <c r="O159" s="12"/>
      <c r="P159" s="7"/>
      <c r="Q159" s="3"/>
      <c r="R159" s="8">
        <f t="shared" si="32"/>
        <v>0</v>
      </c>
      <c r="S159" s="3"/>
      <c r="T159" s="7">
        <v>0</v>
      </c>
      <c r="U159" s="3"/>
      <c r="V159" s="8">
        <f t="shared" si="33"/>
        <v>0</v>
      </c>
      <c r="W159" s="3"/>
      <c r="X159" s="7">
        <f t="shared" si="34"/>
        <v>0</v>
      </c>
      <c r="Y159" s="3"/>
      <c r="Z159" s="8">
        <f t="shared" si="35"/>
        <v>0</v>
      </c>
    </row>
    <row r="160" spans="1:26" s="69" customFormat="1" ht="15" hidden="1" customHeight="1" outlineLevel="2" x14ac:dyDescent="0.25">
      <c r="A160" s="25"/>
      <c r="B160" s="12" t="str">
        <f>CONCATENATE("          ","6117"," - ","RETIREMENT STAFF HOURLY")</f>
        <v xml:space="preserve">          6117 - RETIREMENT STAFF HOURLY</v>
      </c>
      <c r="C160" s="12"/>
      <c r="D160" s="7">
        <v>867.37</v>
      </c>
      <c r="E160" s="3"/>
      <c r="F160" s="8">
        <f t="shared" si="28"/>
        <v>6.8214413543494156E-4</v>
      </c>
      <c r="G160" s="3"/>
      <c r="H160" s="7">
        <v>654.14</v>
      </c>
      <c r="I160" s="3"/>
      <c r="J160" s="8">
        <f t="shared" si="29"/>
        <v>9.9634001090621784E-4</v>
      </c>
      <c r="K160" s="3"/>
      <c r="L160" s="7">
        <f t="shared" si="30"/>
        <v>213.23000000000002</v>
      </c>
      <c r="M160" s="3"/>
      <c r="N160" s="8">
        <f t="shared" si="31"/>
        <v>0.32596997584614917</v>
      </c>
      <c r="O160" s="12"/>
      <c r="P160" s="7">
        <v>7902.71</v>
      </c>
      <c r="Q160" s="3"/>
      <c r="R160" s="8">
        <f t="shared" si="32"/>
        <v>7.8997744201261583E-4</v>
      </c>
      <c r="S160" s="3"/>
      <c r="T160" s="7">
        <v>6311.05</v>
      </c>
      <c r="U160" s="3"/>
      <c r="V160" s="8">
        <f t="shared" si="33"/>
        <v>8.1098398388584133E-4</v>
      </c>
      <c r="W160" s="3"/>
      <c r="X160" s="7">
        <f t="shared" si="34"/>
        <v>1591.6599999999999</v>
      </c>
      <c r="Y160" s="3"/>
      <c r="Z160" s="8">
        <f t="shared" si="35"/>
        <v>0.25220208998502625</v>
      </c>
    </row>
    <row r="161" spans="1:26" s="69" customFormat="1" ht="15" hidden="1" customHeight="1" outlineLevel="2" x14ac:dyDescent="0.25">
      <c r="A161" s="25"/>
      <c r="B161" s="12" t="str">
        <f>CONCATENATE("          ","6118"," - ","VACATION")</f>
        <v xml:space="preserve">          6118 - VACATION</v>
      </c>
      <c r="C161" s="12"/>
      <c r="D161" s="7">
        <v>5024.8100000000004</v>
      </c>
      <c r="E161" s="3"/>
      <c r="F161" s="8">
        <f t="shared" si="28"/>
        <v>3.9517676114862732E-3</v>
      </c>
      <c r="G161" s="3"/>
      <c r="H161" s="7">
        <v>5837.16</v>
      </c>
      <c r="I161" s="3"/>
      <c r="J161" s="8">
        <f t="shared" si="29"/>
        <v>8.8907513040959712E-3</v>
      </c>
      <c r="K161" s="3"/>
      <c r="L161" s="7">
        <f t="shared" si="30"/>
        <v>-812.34999999999945</v>
      </c>
      <c r="M161" s="3"/>
      <c r="N161" s="8">
        <f t="shared" si="31"/>
        <v>-0.13916870532930389</v>
      </c>
      <c r="O161" s="12"/>
      <c r="P161" s="7">
        <v>72284.160000000003</v>
      </c>
      <c r="Q161" s="3"/>
      <c r="R161" s="8">
        <f t="shared" si="32"/>
        <v>7.2257308967215864E-3</v>
      </c>
      <c r="S161" s="3"/>
      <c r="T161" s="7">
        <v>66282.990000000005</v>
      </c>
      <c r="U161" s="3"/>
      <c r="V161" s="8">
        <f t="shared" si="33"/>
        <v>8.5175118710936193E-3</v>
      </c>
      <c r="W161" s="3"/>
      <c r="X161" s="7">
        <f t="shared" si="34"/>
        <v>6001.1699999999983</v>
      </c>
      <c r="Y161" s="3"/>
      <c r="Z161" s="8">
        <f t="shared" si="35"/>
        <v>9.0538613300335385E-2</v>
      </c>
    </row>
    <row r="162" spans="1:26" s="69" customFormat="1" ht="15" hidden="1" customHeight="1" outlineLevel="2" x14ac:dyDescent="0.25">
      <c r="A162" s="25"/>
      <c r="B162" s="12" t="str">
        <f>CONCATENATE("          ","6119"," - ","SICK LEAVE")</f>
        <v xml:space="preserve">          6119 - SICK LEAVE</v>
      </c>
      <c r="C162" s="12"/>
      <c r="D162" s="7">
        <v>3971.55</v>
      </c>
      <c r="E162" s="3"/>
      <c r="F162" s="8">
        <f t="shared" si="28"/>
        <v>3.1234300714650521E-3</v>
      </c>
      <c r="G162" s="3"/>
      <c r="H162" s="7">
        <v>4091.66</v>
      </c>
      <c r="I162" s="3"/>
      <c r="J162" s="8">
        <f t="shared" si="29"/>
        <v>6.2321285489719859E-3</v>
      </c>
      <c r="K162" s="3"/>
      <c r="L162" s="7">
        <f t="shared" si="30"/>
        <v>-120.10999999999967</v>
      </c>
      <c r="M162" s="3"/>
      <c r="N162" s="8">
        <f t="shared" si="31"/>
        <v>-2.935483397936282E-2</v>
      </c>
      <c r="O162" s="12"/>
      <c r="P162" s="7">
        <v>32060.79</v>
      </c>
      <c r="Q162" s="3"/>
      <c r="R162" s="8">
        <f t="shared" si="32"/>
        <v>3.2048880539844757E-3</v>
      </c>
      <c r="S162" s="3"/>
      <c r="T162" s="7">
        <v>47684.84</v>
      </c>
      <c r="U162" s="3"/>
      <c r="V162" s="8">
        <f t="shared" si="33"/>
        <v>6.1276081657028417E-3</v>
      </c>
      <c r="W162" s="3"/>
      <c r="X162" s="7">
        <f t="shared" si="34"/>
        <v>-15624.049999999996</v>
      </c>
      <c r="Y162" s="3"/>
      <c r="Z162" s="8">
        <f t="shared" si="35"/>
        <v>-0.32765235240382473</v>
      </c>
    </row>
    <row r="163" spans="1:26" s="69" customFormat="1" ht="15" hidden="1" customHeight="1" outlineLevel="2" x14ac:dyDescent="0.25">
      <c r="A163" s="25"/>
      <c r="B163" s="12" t="str">
        <f>CONCATENATE("          ","6156"," - ","EMPLOYEE MEALS")</f>
        <v xml:space="preserve">          6156 - EMPLOYEE MEALS</v>
      </c>
      <c r="C163" s="12"/>
      <c r="D163" s="7">
        <v>3451.85</v>
      </c>
      <c r="E163" s="3"/>
      <c r="F163" s="8">
        <f t="shared" si="28"/>
        <v>2.7147114079356018E-3</v>
      </c>
      <c r="G163" s="3"/>
      <c r="H163" s="7">
        <v>1891.51</v>
      </c>
      <c r="I163" s="3"/>
      <c r="J163" s="8">
        <f t="shared" si="29"/>
        <v>2.8810149112257623E-3</v>
      </c>
      <c r="K163" s="3"/>
      <c r="L163" s="7">
        <f t="shared" si="30"/>
        <v>1560.34</v>
      </c>
      <c r="M163" s="3"/>
      <c r="N163" s="8">
        <f t="shared" si="31"/>
        <v>0.82491765837875553</v>
      </c>
      <c r="O163" s="12"/>
      <c r="P163" s="7">
        <v>33865.17</v>
      </c>
      <c r="Q163" s="3"/>
      <c r="R163" s="8">
        <f t="shared" si="32"/>
        <v>3.3852590275895707E-3</v>
      </c>
      <c r="S163" s="3"/>
      <c r="T163" s="7">
        <v>18541.439999999999</v>
      </c>
      <c r="U163" s="3"/>
      <c r="V163" s="8">
        <f t="shared" si="33"/>
        <v>2.3826163440600679E-3</v>
      </c>
      <c r="W163" s="3"/>
      <c r="X163" s="7">
        <f t="shared" si="34"/>
        <v>15323.73</v>
      </c>
      <c r="Y163" s="3"/>
      <c r="Z163" s="8">
        <f t="shared" si="35"/>
        <v>0.82645846277311796</v>
      </c>
    </row>
    <row r="164" spans="1:26" s="68" customFormat="1" ht="15" customHeight="1" outlineLevel="1" collapsed="1" x14ac:dyDescent="0.25">
      <c r="A164" s="26"/>
      <c r="B164" s="14" t="str">
        <f>CONCATENATE("     ","*Payroll                                          ")</f>
        <v xml:space="preserve">     *Payroll                                          </v>
      </c>
      <c r="C164" s="14"/>
      <c r="D164" s="2">
        <f>SUM(OSRRefD22_1x_0)</f>
        <v>168650.94999999998</v>
      </c>
      <c r="E164" s="2"/>
      <c r="F164" s="6">
        <f t="shared" si="28"/>
        <v>0.13263573385986552</v>
      </c>
      <c r="G164" s="2"/>
      <c r="H164" s="2">
        <f>SUM(OSRRefH22_1x_0)</f>
        <v>129825.17000000003</v>
      </c>
      <c r="I164" s="2"/>
      <c r="J164" s="6">
        <f t="shared" si="29"/>
        <v>0.19774056210245758</v>
      </c>
      <c r="K164" s="2"/>
      <c r="L164" s="2">
        <f t="shared" si="30"/>
        <v>38825.779999999955</v>
      </c>
      <c r="M164" s="2"/>
      <c r="N164" s="6">
        <f t="shared" si="31"/>
        <v>0.29906203858619979</v>
      </c>
      <c r="O164" s="14"/>
      <c r="P164" s="2">
        <f>SUM(OSRRefP22_1x_0)</f>
        <v>1965571.1</v>
      </c>
      <c r="Q164" s="2"/>
      <c r="R164" s="6">
        <f t="shared" si="32"/>
        <v>0.19648409592050367</v>
      </c>
      <c r="S164" s="2"/>
      <c r="T164" s="2">
        <f>SUM(OSRRefT22_1x_0)</f>
        <v>1460759.89</v>
      </c>
      <c r="U164" s="2"/>
      <c r="V164" s="6">
        <f t="shared" si="33"/>
        <v>0.18771089994419998</v>
      </c>
      <c r="W164" s="2"/>
      <c r="X164" s="2">
        <f t="shared" si="34"/>
        <v>504811.2100000002</v>
      </c>
      <c r="Y164" s="2"/>
      <c r="Z164" s="6">
        <f t="shared" si="35"/>
        <v>0.34558123717375633</v>
      </c>
    </row>
    <row r="165" spans="1:26" s="69" customFormat="1" ht="15" hidden="1" customHeight="1" outlineLevel="2" x14ac:dyDescent="0.25">
      <c r="A165" s="25"/>
      <c r="B165" s="12" t="str">
        <f>CONCATENATE("          ","6001"," - ","ADMINISTRATIVE SALARIES")</f>
        <v xml:space="preserve">          6001 - ADMINISTRATIVE SALARIES</v>
      </c>
      <c r="C165" s="12"/>
      <c r="D165" s="7">
        <v>3726.6</v>
      </c>
      <c r="E165" s="3"/>
      <c r="F165" s="8">
        <f t="shared" si="28"/>
        <v>2.9307888618603979E-3</v>
      </c>
      <c r="G165" s="3"/>
      <c r="H165" s="7">
        <v>4205.74</v>
      </c>
      <c r="I165" s="3"/>
      <c r="J165" s="8">
        <f t="shared" si="29"/>
        <v>6.4058871762447123E-3</v>
      </c>
      <c r="K165" s="3"/>
      <c r="L165" s="7">
        <f t="shared" si="30"/>
        <v>-479.13999999999987</v>
      </c>
      <c r="M165" s="3"/>
      <c r="N165" s="8">
        <f t="shared" si="31"/>
        <v>-0.11392525453309046</v>
      </c>
      <c r="O165" s="12"/>
      <c r="P165" s="7">
        <v>51393.13</v>
      </c>
      <c r="Q165" s="3"/>
      <c r="R165" s="8">
        <f t="shared" si="32"/>
        <v>5.1374039252891504E-3</v>
      </c>
      <c r="S165" s="3"/>
      <c r="T165" s="7">
        <v>47398.53</v>
      </c>
      <c r="U165" s="3"/>
      <c r="V165" s="8">
        <f t="shared" si="33"/>
        <v>6.0908166929009543E-3</v>
      </c>
      <c r="W165" s="3"/>
      <c r="X165" s="7">
        <f t="shared" si="34"/>
        <v>3994.5999999999985</v>
      </c>
      <c r="Y165" s="3"/>
      <c r="Z165" s="8">
        <f t="shared" si="35"/>
        <v>8.427687525330424E-2</v>
      </c>
    </row>
    <row r="166" spans="1:26" s="69" customFormat="1" ht="15" hidden="1" customHeight="1" outlineLevel="2" x14ac:dyDescent="0.25">
      <c r="A166" s="25"/>
      <c r="B166" s="12" t="str">
        <f>CONCATENATE("          ","6002"," - ","STAFF SALARIES")</f>
        <v xml:space="preserve">          6002 - STAFF SALARIES</v>
      </c>
      <c r="C166" s="12"/>
      <c r="D166" s="7">
        <v>43903.360000000001</v>
      </c>
      <c r="E166" s="3"/>
      <c r="F166" s="8">
        <f t="shared" si="28"/>
        <v>3.4527848034736033E-2</v>
      </c>
      <c r="G166" s="3"/>
      <c r="H166" s="7">
        <v>65838.14</v>
      </c>
      <c r="I166" s="3"/>
      <c r="J166" s="8">
        <f t="shared" si="29"/>
        <v>0.10028002128847814</v>
      </c>
      <c r="K166" s="3"/>
      <c r="L166" s="7">
        <f t="shared" si="30"/>
        <v>-21934.78</v>
      </c>
      <c r="M166" s="3"/>
      <c r="N166" s="8">
        <f t="shared" si="31"/>
        <v>-0.3331622065872456</v>
      </c>
      <c r="O166" s="12"/>
      <c r="P166" s="7">
        <v>636357.36</v>
      </c>
      <c r="Q166" s="3"/>
      <c r="R166" s="8">
        <f t="shared" si="32"/>
        <v>6.3612097553712749E-2</v>
      </c>
      <c r="S166" s="3"/>
      <c r="T166" s="7">
        <v>692289.26</v>
      </c>
      <c r="U166" s="3"/>
      <c r="V166" s="8">
        <f t="shared" si="33"/>
        <v>8.8960712096431027E-2</v>
      </c>
      <c r="W166" s="3"/>
      <c r="X166" s="7">
        <f t="shared" si="34"/>
        <v>-55931.900000000023</v>
      </c>
      <c r="Y166" s="3"/>
      <c r="Z166" s="8">
        <f t="shared" si="35"/>
        <v>-8.0792673282263583E-2</v>
      </c>
    </row>
    <row r="167" spans="1:26" s="69" customFormat="1" ht="15" hidden="1" customHeight="1" outlineLevel="2" x14ac:dyDescent="0.25">
      <c r="A167" s="25"/>
      <c r="B167" s="12" t="str">
        <f>CONCATENATE("          ","6004"," - ","STAFF HOURLY")</f>
        <v xml:space="preserve">          6004 - STAFF HOURLY</v>
      </c>
      <c r="C167" s="12"/>
      <c r="D167" s="7">
        <v>31481.4</v>
      </c>
      <c r="E167" s="3"/>
      <c r="F167" s="8">
        <f t="shared" si="28"/>
        <v>2.4758583286580781E-2</v>
      </c>
      <c r="G167" s="3"/>
      <c r="H167" s="7">
        <v>16277.07</v>
      </c>
      <c r="I167" s="3"/>
      <c r="J167" s="8">
        <f t="shared" si="29"/>
        <v>2.4792087475649358E-2</v>
      </c>
      <c r="K167" s="3"/>
      <c r="L167" s="7">
        <f t="shared" si="30"/>
        <v>15204.330000000002</v>
      </c>
      <c r="M167" s="3"/>
      <c r="N167" s="8">
        <f t="shared" si="31"/>
        <v>0.93409501832946606</v>
      </c>
      <c r="O167" s="12"/>
      <c r="P167" s="7">
        <v>310592.52</v>
      </c>
      <c r="Q167" s="3"/>
      <c r="R167" s="8">
        <f t="shared" si="32"/>
        <v>3.1047714576120374E-2</v>
      </c>
      <c r="S167" s="3"/>
      <c r="T167" s="7">
        <v>208079.7</v>
      </c>
      <c r="U167" s="3"/>
      <c r="V167" s="8">
        <f t="shared" si="33"/>
        <v>2.6738704981226692E-2</v>
      </c>
      <c r="W167" s="3"/>
      <c r="X167" s="7">
        <f t="shared" si="34"/>
        <v>102512.82</v>
      </c>
      <c r="Y167" s="3"/>
      <c r="Z167" s="8">
        <f t="shared" si="35"/>
        <v>0.49266132159936793</v>
      </c>
    </row>
    <row r="168" spans="1:26" s="69" customFormat="1" ht="15" hidden="1" customHeight="1" outlineLevel="2" x14ac:dyDescent="0.25">
      <c r="A168" s="25"/>
      <c r="B168" s="12" t="str">
        <f>CONCATENATE("          ","6005"," - ","TEMPORARY WAGES-HOURLY")</f>
        <v xml:space="preserve">          6005 - TEMPORARY WAGES-HOURLY</v>
      </c>
      <c r="C168" s="12"/>
      <c r="D168" s="7">
        <v>4067.62</v>
      </c>
      <c r="E168" s="3"/>
      <c r="F168" s="8">
        <f t="shared" si="28"/>
        <v>3.1989844336071998E-3</v>
      </c>
      <c r="G168" s="3"/>
      <c r="H168" s="7">
        <v>7607.71</v>
      </c>
      <c r="I168" s="3"/>
      <c r="J168" s="8">
        <f t="shared" si="29"/>
        <v>1.1587528456249949E-2</v>
      </c>
      <c r="K168" s="3"/>
      <c r="L168" s="7">
        <f t="shared" si="30"/>
        <v>-3540.09</v>
      </c>
      <c r="M168" s="3"/>
      <c r="N168" s="8">
        <f t="shared" si="31"/>
        <v>-0.46532925150932414</v>
      </c>
      <c r="O168" s="12"/>
      <c r="P168" s="7">
        <v>97481.13</v>
      </c>
      <c r="Q168" s="3"/>
      <c r="R168" s="8">
        <f t="shared" si="32"/>
        <v>9.7444919175699567E-3</v>
      </c>
      <c r="S168" s="3"/>
      <c r="T168" s="7">
        <v>159839.76</v>
      </c>
      <c r="U168" s="3"/>
      <c r="V168" s="8">
        <f t="shared" si="33"/>
        <v>2.0539765228948709E-2</v>
      </c>
      <c r="W168" s="3"/>
      <c r="X168" s="7">
        <f t="shared" si="34"/>
        <v>-62358.630000000005</v>
      </c>
      <c r="Y168" s="3"/>
      <c r="Z168" s="8">
        <f t="shared" si="35"/>
        <v>-0.39013215485308539</v>
      </c>
    </row>
    <row r="169" spans="1:26" s="69" customFormat="1" ht="15" hidden="1" customHeight="1" outlineLevel="2" x14ac:dyDescent="0.25">
      <c r="A169" s="25"/>
      <c r="B169" s="12" t="str">
        <f>CONCATENATE("          ","6006"," - ","TEMPORARY PART TIME")</f>
        <v xml:space="preserve">          6006 - TEMPORARY PART TIME</v>
      </c>
      <c r="C169" s="12"/>
      <c r="D169" s="7">
        <v>1520.8</v>
      </c>
      <c r="E169" s="3"/>
      <c r="F169" s="8">
        <f t="shared" si="28"/>
        <v>1.1960349114789064E-3</v>
      </c>
      <c r="G169" s="3"/>
      <c r="H169" s="7">
        <v>2769.97</v>
      </c>
      <c r="I169" s="3"/>
      <c r="J169" s="8">
        <f t="shared" si="29"/>
        <v>4.2190233589291222E-3</v>
      </c>
      <c r="K169" s="3"/>
      <c r="L169" s="7">
        <f t="shared" si="30"/>
        <v>-1249.1699999999998</v>
      </c>
      <c r="M169" s="3"/>
      <c r="N169" s="8">
        <f t="shared" si="31"/>
        <v>-0.4509687830554121</v>
      </c>
      <c r="O169" s="12"/>
      <c r="P169" s="7">
        <v>19354.939999999999</v>
      </c>
      <c r="Q169" s="3"/>
      <c r="R169" s="8">
        <f t="shared" si="32"/>
        <v>1.9347750317938602E-3</v>
      </c>
      <c r="S169" s="3"/>
      <c r="T169" s="7">
        <v>19716.73</v>
      </c>
      <c r="U169" s="3"/>
      <c r="V169" s="8">
        <f t="shared" si="33"/>
        <v>2.5336437272088612E-3</v>
      </c>
      <c r="W169" s="3"/>
      <c r="X169" s="7">
        <f t="shared" si="34"/>
        <v>-361.79000000000087</v>
      </c>
      <c r="Y169" s="3"/>
      <c r="Z169" s="8">
        <f t="shared" si="35"/>
        <v>-1.8349391608040527E-2</v>
      </c>
    </row>
    <row r="170" spans="1:26" s="69" customFormat="1" ht="15" hidden="1" customHeight="1" outlineLevel="2" x14ac:dyDescent="0.25">
      <c r="A170" s="25"/>
      <c r="B170" s="12" t="str">
        <f>CONCATENATE("          ","6007"," - ","STUDENT HOURLY")</f>
        <v xml:space="preserve">          6007 - STUDENT HOURLY</v>
      </c>
      <c r="C170" s="12"/>
      <c r="D170" s="7">
        <v>73880.08</v>
      </c>
      <c r="E170" s="3"/>
      <c r="F170" s="8">
        <f t="shared" si="28"/>
        <v>5.8103074002403034E-2</v>
      </c>
      <c r="G170" s="3"/>
      <c r="H170" s="7">
        <v>30587.08</v>
      </c>
      <c r="I170" s="3"/>
      <c r="J170" s="8">
        <f t="shared" si="29"/>
        <v>4.658808759713419E-2</v>
      </c>
      <c r="K170" s="3"/>
      <c r="L170" s="7">
        <f t="shared" si="30"/>
        <v>43293</v>
      </c>
      <c r="M170" s="3"/>
      <c r="N170" s="8">
        <f t="shared" si="31"/>
        <v>1.4154015355503042</v>
      </c>
      <c r="O170" s="12"/>
      <c r="P170" s="7">
        <v>727194.49</v>
      </c>
      <c r="Q170" s="3"/>
      <c r="R170" s="8">
        <f t="shared" si="32"/>
        <v>7.26924362726038E-2</v>
      </c>
      <c r="S170" s="3"/>
      <c r="T170" s="7">
        <v>320894.5</v>
      </c>
      <c r="U170" s="3"/>
      <c r="V170" s="8">
        <f t="shared" si="33"/>
        <v>4.1235658094462113E-2</v>
      </c>
      <c r="W170" s="3"/>
      <c r="X170" s="7">
        <f t="shared" si="34"/>
        <v>406299.99</v>
      </c>
      <c r="Y170" s="3"/>
      <c r="Z170" s="8">
        <f t="shared" si="35"/>
        <v>1.2661481888907413</v>
      </c>
    </row>
    <row r="171" spans="1:26" s="69" customFormat="1" ht="15" hidden="1" customHeight="1" outlineLevel="2" x14ac:dyDescent="0.25">
      <c r="A171" s="25"/>
      <c r="B171" s="12" t="str">
        <f>CONCATENATE("          ","6008"," - ","STUDENT HOURLY-FICA EXEMPT")</f>
        <v xml:space="preserve">          6008 - STUDENT HOURLY-FICA EXEMPT</v>
      </c>
      <c r="C171" s="12"/>
      <c r="D171" s="7">
        <v>10071.09</v>
      </c>
      <c r="E171" s="3"/>
      <c r="F171" s="8">
        <f t="shared" si="28"/>
        <v>7.9204203291991723E-3</v>
      </c>
      <c r="G171" s="3"/>
      <c r="H171" s="7">
        <v>2539.46</v>
      </c>
      <c r="I171" s="3"/>
      <c r="J171" s="8">
        <f t="shared" si="29"/>
        <v>3.8679267497720728E-3</v>
      </c>
      <c r="K171" s="3"/>
      <c r="L171" s="7">
        <f t="shared" si="30"/>
        <v>7531.63</v>
      </c>
      <c r="M171" s="3"/>
      <c r="N171" s="8">
        <f t="shared" si="31"/>
        <v>2.965839194159388</v>
      </c>
      <c r="O171" s="12"/>
      <c r="P171" s="7">
        <v>123197.53</v>
      </c>
      <c r="Q171" s="3"/>
      <c r="R171" s="8">
        <f t="shared" si="32"/>
        <v>1.2315176643413778E-2</v>
      </c>
      <c r="S171" s="3"/>
      <c r="T171" s="7">
        <v>12541.41</v>
      </c>
      <c r="U171" s="3"/>
      <c r="V171" s="8">
        <f t="shared" si="33"/>
        <v>1.6115991230216413E-3</v>
      </c>
      <c r="W171" s="3"/>
      <c r="X171" s="7">
        <f t="shared" si="34"/>
        <v>110656.12</v>
      </c>
      <c r="Y171" s="3"/>
      <c r="Z171" s="8">
        <f t="shared" si="35"/>
        <v>8.8232599045880811</v>
      </c>
    </row>
    <row r="172" spans="1:26" s="68" customFormat="1" ht="15" customHeight="1" outlineLevel="1" collapsed="1" x14ac:dyDescent="0.25">
      <c r="A172" s="26"/>
      <c r="B172" s="14" t="str">
        <f>CONCATENATE("     ","Advertising/Promo                                 ")</f>
        <v xml:space="preserve">     Advertising/Promo                                 </v>
      </c>
      <c r="C172" s="14"/>
      <c r="D172" s="2">
        <f>SUM(OSRRefD22_2x_0)</f>
        <v>1311.69</v>
      </c>
      <c r="E172" s="2"/>
      <c r="F172" s="6">
        <f t="shared" si="28"/>
        <v>1.0315801111505569E-3</v>
      </c>
      <c r="G172" s="2"/>
      <c r="H172" s="2">
        <f>SUM(OSRRefH22_2x_0)</f>
        <v>74.709999999999994</v>
      </c>
      <c r="I172" s="2"/>
      <c r="J172" s="6">
        <f t="shared" si="29"/>
        <v>1.1379301405632361E-4</v>
      </c>
      <c r="K172" s="2"/>
      <c r="L172" s="2">
        <f t="shared" si="30"/>
        <v>1236.98</v>
      </c>
      <c r="M172" s="2"/>
      <c r="N172" s="6">
        <f t="shared" si="31"/>
        <v>16.557087404631243</v>
      </c>
      <c r="O172" s="14"/>
      <c r="P172" s="2">
        <f>SUM(OSRRefP22_2x_0)</f>
        <v>13700.94</v>
      </c>
      <c r="Q172" s="2"/>
      <c r="R172" s="6">
        <f t="shared" si="32"/>
        <v>1.3695850580836611E-3</v>
      </c>
      <c r="S172" s="2"/>
      <c r="T172" s="2">
        <f>SUM(OSRRefT22_2x_0)</f>
        <v>18236.150000000001</v>
      </c>
      <c r="U172" s="2"/>
      <c r="V172" s="6">
        <f t="shared" si="33"/>
        <v>2.343385898977157E-3</v>
      </c>
      <c r="W172" s="2"/>
      <c r="X172" s="2">
        <f t="shared" si="34"/>
        <v>-4535.2100000000009</v>
      </c>
      <c r="Y172" s="2"/>
      <c r="Z172" s="6">
        <f t="shared" si="35"/>
        <v>-0.24869339197144139</v>
      </c>
    </row>
    <row r="173" spans="1:26" s="69" customFormat="1" ht="15" hidden="1" customHeight="1" outlineLevel="2" x14ac:dyDescent="0.25">
      <c r="A173" s="25"/>
      <c r="B173" s="12" t="str">
        <f>CONCATENATE("          ","6362"," - ","ADVERTISING EXPENSE")</f>
        <v xml:space="preserve">          6362 - ADVERTISING EXPENSE</v>
      </c>
      <c r="C173" s="12"/>
      <c r="D173" s="7">
        <v>1311.69</v>
      </c>
      <c r="E173" s="3"/>
      <c r="F173" s="8">
        <f t="shared" si="28"/>
        <v>1.0315801111505569E-3</v>
      </c>
      <c r="G173" s="3"/>
      <c r="H173" s="7">
        <v>74.709999999999994</v>
      </c>
      <c r="I173" s="3"/>
      <c r="J173" s="8">
        <f t="shared" si="29"/>
        <v>1.1379301405632361E-4</v>
      </c>
      <c r="K173" s="3"/>
      <c r="L173" s="7">
        <f t="shared" si="30"/>
        <v>1236.98</v>
      </c>
      <c r="M173" s="3"/>
      <c r="N173" s="8">
        <f t="shared" si="31"/>
        <v>16.557087404631243</v>
      </c>
      <c r="O173" s="12"/>
      <c r="P173" s="7">
        <v>13700.94</v>
      </c>
      <c r="Q173" s="3"/>
      <c r="R173" s="8">
        <f t="shared" si="32"/>
        <v>1.3695850580836611E-3</v>
      </c>
      <c r="S173" s="3"/>
      <c r="T173" s="7">
        <v>18236.150000000001</v>
      </c>
      <c r="U173" s="3"/>
      <c r="V173" s="8">
        <f t="shared" si="33"/>
        <v>2.343385898977157E-3</v>
      </c>
      <c r="W173" s="3"/>
      <c r="X173" s="7">
        <f t="shared" si="34"/>
        <v>-4535.2100000000009</v>
      </c>
      <c r="Y173" s="3"/>
      <c r="Z173" s="8">
        <f t="shared" si="35"/>
        <v>-0.24869339197144139</v>
      </c>
    </row>
    <row r="174" spans="1:26" s="68" customFormat="1" ht="15" customHeight="1" outlineLevel="1" collapsed="1" x14ac:dyDescent="0.25">
      <c r="A174" s="26"/>
      <c r="B174" s="14" t="str">
        <f>CONCATENATE("     ","Bad Debts/Over/Short                              ")</f>
        <v xml:space="preserve">     Bad Debts/Over/Short                              </v>
      </c>
      <c r="C174" s="14"/>
      <c r="D174" s="2">
        <f>SUM(OSRRefD22_3x_0)</f>
        <v>23.48</v>
      </c>
      <c r="E174" s="2"/>
      <c r="F174" s="6">
        <f t="shared" si="28"/>
        <v>1.8465873041507577E-5</v>
      </c>
      <c r="G174" s="2"/>
      <c r="H174" s="2">
        <f>SUM(OSRRefH22_3x_0)</f>
        <v>21.56</v>
      </c>
      <c r="I174" s="2"/>
      <c r="J174" s="6">
        <f t="shared" si="29"/>
        <v>3.2838674649368719E-5</v>
      </c>
      <c r="K174" s="2"/>
      <c r="L174" s="2">
        <f t="shared" si="30"/>
        <v>1.9200000000000017</v>
      </c>
      <c r="M174" s="2"/>
      <c r="N174" s="6">
        <f t="shared" si="31"/>
        <v>8.9053803339517706E-2</v>
      </c>
      <c r="O174" s="14"/>
      <c r="P174" s="2">
        <f>SUM(OSRRefP22_3x_0)</f>
        <v>30.24</v>
      </c>
      <c r="Q174" s="2"/>
      <c r="R174" s="6">
        <f t="shared" si="32"/>
        <v>3.0228766899533834E-6</v>
      </c>
      <c r="S174" s="2"/>
      <c r="T174" s="2">
        <f>SUM(OSRRefT22_3x_0)</f>
        <v>5204.26</v>
      </c>
      <c r="U174" s="2"/>
      <c r="V174" s="6">
        <f t="shared" si="33"/>
        <v>6.6875900333189075E-4</v>
      </c>
      <c r="W174" s="2"/>
      <c r="X174" s="2">
        <f t="shared" si="34"/>
        <v>-5174.0200000000004</v>
      </c>
      <c r="Y174" s="2"/>
      <c r="Z174" s="6">
        <f t="shared" si="35"/>
        <v>-0.99418937562689036</v>
      </c>
    </row>
    <row r="175" spans="1:26" s="69" customFormat="1" ht="15" hidden="1" customHeight="1" outlineLevel="2" x14ac:dyDescent="0.25">
      <c r="A175" s="25"/>
      <c r="B175" s="12" t="str">
        <f>CONCATENATE("          ","6272"," - ","CASH (OVER/SHORT)")</f>
        <v xml:space="preserve">          6272 - CASH (OVER/SHORT)</v>
      </c>
      <c r="C175" s="12"/>
      <c r="D175" s="7">
        <v>23.48</v>
      </c>
      <c r="E175" s="3"/>
      <c r="F175" s="8">
        <f t="shared" si="28"/>
        <v>1.8465873041507577E-5</v>
      </c>
      <c r="G175" s="3"/>
      <c r="H175" s="7">
        <v>21.56</v>
      </c>
      <c r="I175" s="3"/>
      <c r="J175" s="8">
        <f t="shared" si="29"/>
        <v>3.2838674649368719E-5</v>
      </c>
      <c r="K175" s="3"/>
      <c r="L175" s="7">
        <f t="shared" si="30"/>
        <v>1.9200000000000017</v>
      </c>
      <c r="M175" s="3"/>
      <c r="N175" s="8">
        <f t="shared" si="31"/>
        <v>8.9053803339517706E-2</v>
      </c>
      <c r="O175" s="12"/>
      <c r="P175" s="7">
        <v>30.24</v>
      </c>
      <c r="Q175" s="3"/>
      <c r="R175" s="8">
        <f t="shared" si="32"/>
        <v>3.0228766899533834E-6</v>
      </c>
      <c r="S175" s="3"/>
      <c r="T175" s="7">
        <v>-145.16</v>
      </c>
      <c r="U175" s="3"/>
      <c r="V175" s="8">
        <f t="shared" si="33"/>
        <v>-1.8653383367406172E-5</v>
      </c>
      <c r="W175" s="3"/>
      <c r="X175" s="7">
        <f t="shared" si="34"/>
        <v>175.4</v>
      </c>
      <c r="Y175" s="3"/>
      <c r="Z175" s="8">
        <f t="shared" si="35"/>
        <v>-1.2083218517497933</v>
      </c>
    </row>
    <row r="176" spans="1:26" s="69" customFormat="1" ht="15" hidden="1" customHeight="1" outlineLevel="2" x14ac:dyDescent="0.25">
      <c r="A176" s="25"/>
      <c r="B176" s="12" t="str">
        <f>CONCATENATE("          ","6342"," - ","BAD DEBT")</f>
        <v xml:space="preserve">          6342 - BAD DEBT</v>
      </c>
      <c r="C176" s="12"/>
      <c r="D176" s="7"/>
      <c r="E176" s="3"/>
      <c r="F176" s="8">
        <f t="shared" si="28"/>
        <v>0</v>
      </c>
      <c r="G176" s="3"/>
      <c r="H176" s="7"/>
      <c r="I176" s="3"/>
      <c r="J176" s="8">
        <f t="shared" si="29"/>
        <v>0</v>
      </c>
      <c r="K176" s="3"/>
      <c r="L176" s="7">
        <f t="shared" si="30"/>
        <v>0</v>
      </c>
      <c r="M176" s="3"/>
      <c r="N176" s="8">
        <f t="shared" si="31"/>
        <v>0</v>
      </c>
      <c r="O176" s="12"/>
      <c r="P176" s="7"/>
      <c r="Q176" s="3"/>
      <c r="R176" s="8">
        <f t="shared" si="32"/>
        <v>0</v>
      </c>
      <c r="S176" s="3"/>
      <c r="T176" s="7">
        <v>5349.42</v>
      </c>
      <c r="U176" s="3"/>
      <c r="V176" s="8">
        <f t="shared" si="33"/>
        <v>6.8741238669929681E-4</v>
      </c>
      <c r="W176" s="3"/>
      <c r="X176" s="7">
        <f t="shared" si="34"/>
        <v>-5349.42</v>
      </c>
      <c r="Y176" s="3"/>
      <c r="Z176" s="8">
        <f t="shared" si="35"/>
        <v>-1</v>
      </c>
    </row>
    <row r="177" spans="1:26" s="68" customFormat="1" ht="15" customHeight="1" outlineLevel="1" collapsed="1" x14ac:dyDescent="0.25">
      <c r="A177" s="26"/>
      <c r="B177" s="14" t="str">
        <f>CONCATENATE("     ","Bank/card Fees                                    ")</f>
        <v xml:space="preserve">     Bank/card Fees                                    </v>
      </c>
      <c r="C177" s="14"/>
      <c r="D177" s="2">
        <f>SUM(OSRRefD22_4x_0)</f>
        <v>16090.22</v>
      </c>
      <c r="E177" s="2"/>
      <c r="F177" s="6">
        <f t="shared" si="28"/>
        <v>1.2654172049826492E-2</v>
      </c>
      <c r="G177" s="2"/>
      <c r="H177" s="2">
        <f>SUM(OSRRefH22_4x_0)</f>
        <v>3967.68</v>
      </c>
      <c r="I177" s="2"/>
      <c r="J177" s="6">
        <f t="shared" si="29"/>
        <v>6.043290938441896E-3</v>
      </c>
      <c r="K177" s="2"/>
      <c r="L177" s="2">
        <f t="shared" si="30"/>
        <v>12122.539999999999</v>
      </c>
      <c r="M177" s="2"/>
      <c r="N177" s="6">
        <f t="shared" si="31"/>
        <v>3.0553220017743365</v>
      </c>
      <c r="O177" s="14"/>
      <c r="P177" s="2">
        <f>SUM(OSRRefP22_4x_0)</f>
        <v>142870.16</v>
      </c>
      <c r="Q177" s="2"/>
      <c r="R177" s="6">
        <f t="shared" si="32"/>
        <v>1.4281708874137246E-2</v>
      </c>
      <c r="S177" s="2"/>
      <c r="T177" s="2">
        <f>SUM(OSRRefT22_4x_0)</f>
        <v>78603.539999999994</v>
      </c>
      <c r="U177" s="2"/>
      <c r="V177" s="6">
        <f t="shared" si="33"/>
        <v>1.0100729992113845E-2</v>
      </c>
      <c r="W177" s="2"/>
      <c r="X177" s="2">
        <f t="shared" si="34"/>
        <v>64266.62000000001</v>
      </c>
      <c r="Y177" s="2"/>
      <c r="Z177" s="6">
        <f t="shared" si="35"/>
        <v>0.81760465241132929</v>
      </c>
    </row>
    <row r="178" spans="1:26" s="69" customFormat="1" ht="15" hidden="1" customHeight="1" outlineLevel="2" x14ac:dyDescent="0.25">
      <c r="A178" s="25"/>
      <c r="B178" s="12" t="str">
        <f>CONCATENATE("          ","6381"," - ","BANK/CREDIT CARD FEES")</f>
        <v xml:space="preserve">          6381 - BANK/CREDIT CARD FEES</v>
      </c>
      <c r="C178" s="12"/>
      <c r="D178" s="7">
        <v>16090.22</v>
      </c>
      <c r="E178" s="3"/>
      <c r="F178" s="8">
        <f t="shared" si="28"/>
        <v>1.2654172049826492E-2</v>
      </c>
      <c r="G178" s="3"/>
      <c r="H178" s="7">
        <v>3967.68</v>
      </c>
      <c r="I178" s="3"/>
      <c r="J178" s="8">
        <f t="shared" si="29"/>
        <v>6.043290938441896E-3</v>
      </c>
      <c r="K178" s="3"/>
      <c r="L178" s="7">
        <f t="shared" si="30"/>
        <v>12122.539999999999</v>
      </c>
      <c r="M178" s="3"/>
      <c r="N178" s="8">
        <f t="shared" si="31"/>
        <v>3.0553220017743365</v>
      </c>
      <c r="O178" s="12"/>
      <c r="P178" s="7">
        <v>142870.16</v>
      </c>
      <c r="Q178" s="3"/>
      <c r="R178" s="8">
        <f t="shared" si="32"/>
        <v>1.4281708874137246E-2</v>
      </c>
      <c r="S178" s="3"/>
      <c r="T178" s="7">
        <v>78603.539999999994</v>
      </c>
      <c r="U178" s="3"/>
      <c r="V178" s="8">
        <f t="shared" si="33"/>
        <v>1.0100729992113845E-2</v>
      </c>
      <c r="W178" s="3"/>
      <c r="X178" s="7">
        <f t="shared" si="34"/>
        <v>64266.62000000001</v>
      </c>
      <c r="Y178" s="3"/>
      <c r="Z178" s="8">
        <f t="shared" si="35"/>
        <v>0.81760465241132929</v>
      </c>
    </row>
    <row r="179" spans="1:26" s="68" customFormat="1" ht="15" customHeight="1" outlineLevel="1" collapsed="1" x14ac:dyDescent="0.25">
      <c r="A179" s="26"/>
      <c r="B179" s="14" t="str">
        <f>CONCATENATE("     ","Depreciation                                      ")</f>
        <v xml:space="preserve">     Depreciation                                      </v>
      </c>
      <c r="C179" s="14"/>
      <c r="D179" s="2">
        <f>SUM(OSRRefD22_5x_0)</f>
        <v>16660.489999999998</v>
      </c>
      <c r="E179" s="2"/>
      <c r="F179" s="6">
        <f t="shared" si="28"/>
        <v>1.3102661548096532E-2</v>
      </c>
      <c r="G179" s="2"/>
      <c r="H179" s="2">
        <f>SUM(OSRRefH22_5x_0)</f>
        <v>31016.29</v>
      </c>
      <c r="I179" s="2"/>
      <c r="J179" s="6">
        <f t="shared" si="29"/>
        <v>4.7241830062173869E-2</v>
      </c>
      <c r="K179" s="2"/>
      <c r="L179" s="2">
        <f t="shared" si="30"/>
        <v>-14355.800000000003</v>
      </c>
      <c r="M179" s="2"/>
      <c r="N179" s="6">
        <f t="shared" si="31"/>
        <v>-0.46284710389282541</v>
      </c>
      <c r="O179" s="14"/>
      <c r="P179" s="2">
        <f>SUM(OSRRefP22_5x_0)</f>
        <v>303281.51</v>
      </c>
      <c r="Q179" s="2"/>
      <c r="R179" s="6">
        <f t="shared" si="32"/>
        <v>3.0316885154525925E-2</v>
      </c>
      <c r="S179" s="2"/>
      <c r="T179" s="2">
        <f>SUM(OSRRefT22_5x_0)</f>
        <v>341474.68</v>
      </c>
      <c r="U179" s="2"/>
      <c r="V179" s="6">
        <f t="shared" si="33"/>
        <v>4.3880257070145666E-2</v>
      </c>
      <c r="W179" s="2"/>
      <c r="X179" s="2">
        <f t="shared" si="34"/>
        <v>-38193.169999999984</v>
      </c>
      <c r="Y179" s="2"/>
      <c r="Z179" s="6">
        <f t="shared" si="35"/>
        <v>-0.11184773641196467</v>
      </c>
    </row>
    <row r="180" spans="1:26" s="69" customFormat="1" ht="15" hidden="1" customHeight="1" outlineLevel="2" x14ac:dyDescent="0.25">
      <c r="A180" s="25"/>
      <c r="B180" s="12" t="str">
        <f>CONCATENATE("          ","6321"," - ","BUILDING DEPRECIATION")</f>
        <v xml:space="preserve">          6321 - BUILDING DEPRECIATION</v>
      </c>
      <c r="C180" s="12"/>
      <c r="D180" s="7">
        <v>13321.71</v>
      </c>
      <c r="E180" s="3"/>
      <c r="F180" s="8">
        <f t="shared" si="28"/>
        <v>1.0476874171881683E-2</v>
      </c>
      <c r="G180" s="3"/>
      <c r="H180" s="7">
        <v>16396.52</v>
      </c>
      <c r="I180" s="3"/>
      <c r="J180" s="8">
        <f t="shared" si="29"/>
        <v>2.4974025308991989E-2</v>
      </c>
      <c r="K180" s="3"/>
      <c r="L180" s="7">
        <f t="shared" si="30"/>
        <v>-3074.8100000000013</v>
      </c>
      <c r="M180" s="3"/>
      <c r="N180" s="8">
        <f t="shared" si="31"/>
        <v>-0.18752820720494356</v>
      </c>
      <c r="O180" s="12"/>
      <c r="P180" s="7">
        <v>165797.54999999999</v>
      </c>
      <c r="Q180" s="3"/>
      <c r="R180" s="8">
        <f t="shared" si="32"/>
        <v>1.6573596201930572E-2</v>
      </c>
      <c r="S180" s="3"/>
      <c r="T180" s="7">
        <v>180361.72</v>
      </c>
      <c r="U180" s="3"/>
      <c r="V180" s="8">
        <f t="shared" si="33"/>
        <v>2.3176882804937789E-2</v>
      </c>
      <c r="W180" s="3"/>
      <c r="X180" s="7">
        <f t="shared" si="34"/>
        <v>-14564.170000000013</v>
      </c>
      <c r="Y180" s="3"/>
      <c r="Z180" s="8">
        <f t="shared" si="35"/>
        <v>-8.0749784377749406E-2</v>
      </c>
    </row>
    <row r="181" spans="1:26" s="69" customFormat="1" ht="15" hidden="1" customHeight="1" outlineLevel="2" x14ac:dyDescent="0.25">
      <c r="A181" s="25"/>
      <c r="B181" s="12" t="str">
        <f>CONCATENATE("          ","6322"," - ","EQUIPMENT DEPRECIATION EXPENSE")</f>
        <v xml:space="preserve">          6322 - EQUIPMENT DEPRECIATION EXPENSE</v>
      </c>
      <c r="C181" s="12"/>
      <c r="D181" s="7">
        <v>3338.78</v>
      </c>
      <c r="E181" s="3"/>
      <c r="F181" s="8">
        <f t="shared" si="28"/>
        <v>2.6257873762148497E-3</v>
      </c>
      <c r="G181" s="3"/>
      <c r="H181" s="7">
        <v>14619.77</v>
      </c>
      <c r="I181" s="3"/>
      <c r="J181" s="8">
        <f t="shared" si="29"/>
        <v>2.226780475318188E-2</v>
      </c>
      <c r="K181" s="3"/>
      <c r="L181" s="7">
        <f t="shared" si="30"/>
        <v>-11280.99</v>
      </c>
      <c r="M181" s="3"/>
      <c r="N181" s="8">
        <f t="shared" si="31"/>
        <v>-0.77162568220977479</v>
      </c>
      <c r="O181" s="12"/>
      <c r="P181" s="7">
        <v>137483.96</v>
      </c>
      <c r="Q181" s="3"/>
      <c r="R181" s="8">
        <f t="shared" si="32"/>
        <v>1.3743288952595349E-2</v>
      </c>
      <c r="S181" s="3"/>
      <c r="T181" s="7">
        <v>161112.95999999999</v>
      </c>
      <c r="U181" s="3"/>
      <c r="V181" s="8">
        <f t="shared" si="33"/>
        <v>2.070337426520788E-2</v>
      </c>
      <c r="W181" s="3"/>
      <c r="X181" s="7">
        <f t="shared" si="34"/>
        <v>-23629</v>
      </c>
      <c r="Y181" s="3"/>
      <c r="Z181" s="8">
        <f t="shared" si="35"/>
        <v>-0.14666107555841568</v>
      </c>
    </row>
    <row r="182" spans="1:26" s="68" customFormat="1" ht="15" customHeight="1" outlineLevel="1" collapsed="1" x14ac:dyDescent="0.25">
      <c r="A182" s="26"/>
      <c r="B182" s="14" t="str">
        <f>CONCATENATE("     ","Discounts and Markdowns                           ")</f>
        <v xml:space="preserve">     Discounts and Markdowns                           </v>
      </c>
      <c r="C182" s="14"/>
      <c r="D182" s="2">
        <f>SUM(OSRRefD22_6x_0)</f>
        <v>-17.57</v>
      </c>
      <c r="E182" s="2"/>
      <c r="F182" s="6">
        <f t="shared" si="28"/>
        <v>-1.381794673506338E-5</v>
      </c>
      <c r="G182" s="2"/>
      <c r="H182" s="2">
        <f>SUM(OSRRefH22_6x_0)</f>
        <v>0</v>
      </c>
      <c r="I182" s="2"/>
      <c r="J182" s="6">
        <f t="shared" si="29"/>
        <v>0</v>
      </c>
      <c r="K182" s="2"/>
      <c r="L182" s="2">
        <f t="shared" si="30"/>
        <v>-17.57</v>
      </c>
      <c r="M182" s="2"/>
      <c r="N182" s="6">
        <f t="shared" si="31"/>
        <v>0</v>
      </c>
      <c r="O182" s="14"/>
      <c r="P182" s="2">
        <f>SUM(OSRRefP22_6x_0)</f>
        <v>1989.08</v>
      </c>
      <c r="Q182" s="2"/>
      <c r="R182" s="6">
        <f t="shared" si="32"/>
        <v>1.9883411264723795E-4</v>
      </c>
      <c r="S182" s="2"/>
      <c r="T182" s="2">
        <f>SUM(OSRRefT22_6x_0)</f>
        <v>-15.43</v>
      </c>
      <c r="U182" s="2"/>
      <c r="V182" s="6">
        <f t="shared" si="33"/>
        <v>-1.9827893728236238E-6</v>
      </c>
      <c r="W182" s="2"/>
      <c r="X182" s="2">
        <f t="shared" si="34"/>
        <v>2004.51</v>
      </c>
      <c r="Y182" s="2"/>
      <c r="Z182" s="6">
        <f t="shared" si="35"/>
        <v>-129.90991574854181</v>
      </c>
    </row>
    <row r="183" spans="1:26" s="69" customFormat="1" ht="15" hidden="1" customHeight="1" outlineLevel="2" x14ac:dyDescent="0.25">
      <c r="A183" s="25"/>
      <c r="B183" s="12" t="str">
        <f>CONCATENATE("          ","6382"," - ","DISCOUNTS/MARK DOWNS")</f>
        <v xml:space="preserve">          6382 - DISCOUNTS/MARK DOWNS</v>
      </c>
      <c r="C183" s="12"/>
      <c r="D183" s="7"/>
      <c r="E183" s="3"/>
      <c r="F183" s="8">
        <f t="shared" si="28"/>
        <v>0</v>
      </c>
      <c r="G183" s="3"/>
      <c r="H183" s="7">
        <v>0</v>
      </c>
      <c r="I183" s="3"/>
      <c r="J183" s="8">
        <f t="shared" si="29"/>
        <v>0</v>
      </c>
      <c r="K183" s="3"/>
      <c r="L183" s="7">
        <f t="shared" si="30"/>
        <v>0</v>
      </c>
      <c r="M183" s="3"/>
      <c r="N183" s="8">
        <f t="shared" si="31"/>
        <v>0</v>
      </c>
      <c r="O183" s="12"/>
      <c r="P183" s="7">
        <v>2171.35</v>
      </c>
      <c r="Q183" s="3"/>
      <c r="R183" s="8">
        <f t="shared" si="32"/>
        <v>2.1705434195536637E-4</v>
      </c>
      <c r="S183" s="3"/>
      <c r="T183" s="7">
        <v>0</v>
      </c>
      <c r="U183" s="3"/>
      <c r="V183" s="8">
        <f t="shared" si="33"/>
        <v>0</v>
      </c>
      <c r="W183" s="3"/>
      <c r="X183" s="7">
        <f t="shared" si="34"/>
        <v>2171.35</v>
      </c>
      <c r="Y183" s="3"/>
      <c r="Z183" s="8">
        <f t="shared" si="35"/>
        <v>0</v>
      </c>
    </row>
    <row r="184" spans="1:26" s="69" customFormat="1" ht="15" hidden="1" customHeight="1" outlineLevel="2" x14ac:dyDescent="0.25">
      <c r="A184" s="25"/>
      <c r="B184" s="12" t="str">
        <f>CONCATENATE("          ","9175"," - ","EARNED DISCOUNTS")</f>
        <v xml:space="preserve">          9175 - EARNED DISCOUNTS</v>
      </c>
      <c r="C184" s="12"/>
      <c r="D184" s="7">
        <v>-17.57</v>
      </c>
      <c r="E184" s="3"/>
      <c r="F184" s="8">
        <f t="shared" ref="F184:F215" si="36">IF(D$12=0,0,D184/D$12)</f>
        <v>-1.381794673506338E-5</v>
      </c>
      <c r="G184" s="3"/>
      <c r="H184" s="7">
        <v>0</v>
      </c>
      <c r="I184" s="3"/>
      <c r="J184" s="8">
        <f t="shared" ref="J184:J215" si="37">IF(H$12=0,0,H184/H$12)</f>
        <v>0</v>
      </c>
      <c r="K184" s="3"/>
      <c r="L184" s="7">
        <f t="shared" ref="L184:L215" si="38">+D184-H184</f>
        <v>-17.57</v>
      </c>
      <c r="M184" s="3"/>
      <c r="N184" s="8">
        <f t="shared" ref="N184:N215" si="39">IF(H184=0,0,L184/H184)</f>
        <v>0</v>
      </c>
      <c r="O184" s="12"/>
      <c r="P184" s="7">
        <v>-182.27</v>
      </c>
      <c r="Q184" s="3"/>
      <c r="R184" s="8">
        <f t="shared" ref="R184:R215" si="40">IF(P$12=0,0,P184/P$12)</f>
        <v>-1.8220229308128412E-5</v>
      </c>
      <c r="S184" s="3"/>
      <c r="T184" s="7">
        <v>-15.43</v>
      </c>
      <c r="U184" s="3"/>
      <c r="V184" s="8">
        <f t="shared" ref="V184:V215" si="41">IF(T$12=0,0,T184/T$12)</f>
        <v>-1.9827893728236238E-6</v>
      </c>
      <c r="W184" s="3"/>
      <c r="X184" s="7">
        <f t="shared" ref="X184:X215" si="42">+P184-T184</f>
        <v>-166.84</v>
      </c>
      <c r="Y184" s="3"/>
      <c r="Z184" s="8">
        <f t="shared" ref="Z184:Z215" si="43">IF(T184=0,0,X184/T184)</f>
        <v>10.812702527543747</v>
      </c>
    </row>
    <row r="185" spans="1:26" s="68" customFormat="1" ht="15" customHeight="1" outlineLevel="1" collapsed="1" x14ac:dyDescent="0.25">
      <c r="A185" s="26"/>
      <c r="B185" s="14" t="str">
        <f>CONCATENATE("     ","Donations                                         ")</f>
        <v xml:space="preserve">     Donations                                         </v>
      </c>
      <c r="C185" s="14"/>
      <c r="D185" s="2">
        <f>SUM(OSRRefD22_7x_0)</f>
        <v>132.07</v>
      </c>
      <c r="E185" s="2"/>
      <c r="F185" s="6">
        <f t="shared" si="36"/>
        <v>1.038666036027217E-4</v>
      </c>
      <c r="G185" s="2"/>
      <c r="H185" s="2">
        <f>SUM(OSRRefH22_7x_0)</f>
        <v>0</v>
      </c>
      <c r="I185" s="2"/>
      <c r="J185" s="6">
        <f t="shared" si="37"/>
        <v>0</v>
      </c>
      <c r="K185" s="2"/>
      <c r="L185" s="2">
        <f t="shared" si="38"/>
        <v>132.07</v>
      </c>
      <c r="M185" s="2"/>
      <c r="N185" s="6">
        <f t="shared" si="39"/>
        <v>0</v>
      </c>
      <c r="O185" s="14"/>
      <c r="P185" s="2">
        <f>SUM(OSRRefP22_7x_0)</f>
        <v>7438.87</v>
      </c>
      <c r="Q185" s="2"/>
      <c r="R185" s="6">
        <f t="shared" si="40"/>
        <v>7.4361067204343665E-4</v>
      </c>
      <c r="S185" s="2"/>
      <c r="T185" s="2">
        <f>SUM(OSRRefT22_7x_0)</f>
        <v>360.9</v>
      </c>
      <c r="U185" s="2"/>
      <c r="V185" s="6">
        <f t="shared" si="41"/>
        <v>4.6376453963191566E-5</v>
      </c>
      <c r="W185" s="2"/>
      <c r="X185" s="2">
        <f t="shared" si="42"/>
        <v>7077.97</v>
      </c>
      <c r="Y185" s="2"/>
      <c r="Z185" s="6">
        <f t="shared" si="43"/>
        <v>19.611997783319481</v>
      </c>
    </row>
    <row r="186" spans="1:26" s="69" customFormat="1" ht="15" hidden="1" customHeight="1" outlineLevel="2" x14ac:dyDescent="0.25">
      <c r="A186" s="25"/>
      <c r="B186" s="12" t="str">
        <f>CONCATENATE("          ","6399"," - ","DONATION-ON CAMPUS")</f>
        <v xml:space="preserve">          6399 - DONATION-ON CAMPUS</v>
      </c>
      <c r="C186" s="12"/>
      <c r="D186" s="7">
        <v>132.07</v>
      </c>
      <c r="E186" s="3"/>
      <c r="F186" s="8">
        <f t="shared" si="36"/>
        <v>1.038666036027217E-4</v>
      </c>
      <c r="G186" s="3"/>
      <c r="H186" s="7"/>
      <c r="I186" s="3"/>
      <c r="J186" s="8">
        <f t="shared" si="37"/>
        <v>0</v>
      </c>
      <c r="K186" s="3"/>
      <c r="L186" s="7">
        <f t="shared" si="38"/>
        <v>132.07</v>
      </c>
      <c r="M186" s="3"/>
      <c r="N186" s="8">
        <f t="shared" si="39"/>
        <v>0</v>
      </c>
      <c r="O186" s="12"/>
      <c r="P186" s="7">
        <v>7438.87</v>
      </c>
      <c r="Q186" s="3"/>
      <c r="R186" s="8">
        <f t="shared" si="40"/>
        <v>7.4361067204343665E-4</v>
      </c>
      <c r="S186" s="3"/>
      <c r="T186" s="7">
        <v>360.9</v>
      </c>
      <c r="U186" s="3"/>
      <c r="V186" s="8">
        <f t="shared" si="41"/>
        <v>4.6376453963191566E-5</v>
      </c>
      <c r="W186" s="3"/>
      <c r="X186" s="7">
        <f t="shared" si="42"/>
        <v>7077.97</v>
      </c>
      <c r="Y186" s="3"/>
      <c r="Z186" s="8">
        <f t="shared" si="43"/>
        <v>19.611997783319481</v>
      </c>
    </row>
    <row r="187" spans="1:26" s="68" customFormat="1" ht="15" customHeight="1" outlineLevel="1" collapsed="1" x14ac:dyDescent="0.25">
      <c r="A187" s="26"/>
      <c r="B187" s="14" t="str">
        <f>CONCATENATE("     ","Employees' Appreciation                           ")</f>
        <v xml:space="preserve">     Employees' Appreciation                           </v>
      </c>
      <c r="C187" s="14"/>
      <c r="D187" s="2">
        <f>SUM(OSRRefD22_8x_0)</f>
        <v>21.5</v>
      </c>
      <c r="E187" s="2"/>
      <c r="F187" s="6">
        <f t="shared" si="36"/>
        <v>1.6908699761176018E-5</v>
      </c>
      <c r="G187" s="2"/>
      <c r="H187" s="2">
        <f>SUM(OSRRefH22_8x_0)</f>
        <v>0</v>
      </c>
      <c r="I187" s="2"/>
      <c r="J187" s="6">
        <f t="shared" si="37"/>
        <v>0</v>
      </c>
      <c r="K187" s="2"/>
      <c r="L187" s="2">
        <f t="shared" si="38"/>
        <v>21.5</v>
      </c>
      <c r="M187" s="2"/>
      <c r="N187" s="6">
        <f t="shared" si="39"/>
        <v>0</v>
      </c>
      <c r="O187" s="14"/>
      <c r="P187" s="2">
        <f>SUM(OSRRefP22_8x_0)</f>
        <v>4341.38</v>
      </c>
      <c r="Q187" s="2"/>
      <c r="R187" s="6">
        <f t="shared" si="40"/>
        <v>4.3397673294410778E-4</v>
      </c>
      <c r="S187" s="2"/>
      <c r="T187" s="2">
        <f>SUM(OSRRefT22_8x_0)</f>
        <v>186.03</v>
      </c>
      <c r="U187" s="2"/>
      <c r="V187" s="6">
        <f t="shared" si="41"/>
        <v>2.390526941194937E-5</v>
      </c>
      <c r="W187" s="2"/>
      <c r="X187" s="2">
        <f t="shared" si="42"/>
        <v>4155.3500000000004</v>
      </c>
      <c r="Y187" s="2"/>
      <c r="Z187" s="6">
        <f t="shared" si="43"/>
        <v>22.336988657743376</v>
      </c>
    </row>
    <row r="188" spans="1:26" s="69" customFormat="1" ht="15" hidden="1" customHeight="1" outlineLevel="2" x14ac:dyDescent="0.25">
      <c r="A188" s="25"/>
      <c r="B188" s="12" t="str">
        <f>CONCATENATE("          ","6277"," - ","EMPLOYEE APPRECIATION")</f>
        <v xml:space="preserve">          6277 - EMPLOYEE APPRECIATION</v>
      </c>
      <c r="C188" s="12"/>
      <c r="D188" s="7">
        <v>21.5</v>
      </c>
      <c r="E188" s="3"/>
      <c r="F188" s="8">
        <f t="shared" si="36"/>
        <v>1.6908699761176018E-5</v>
      </c>
      <c r="G188" s="3"/>
      <c r="H188" s="7"/>
      <c r="I188" s="3"/>
      <c r="J188" s="8">
        <f t="shared" si="37"/>
        <v>0</v>
      </c>
      <c r="K188" s="3"/>
      <c r="L188" s="7">
        <f t="shared" si="38"/>
        <v>21.5</v>
      </c>
      <c r="M188" s="3"/>
      <c r="N188" s="8">
        <f t="shared" si="39"/>
        <v>0</v>
      </c>
      <c r="O188" s="12"/>
      <c r="P188" s="7">
        <v>4341.38</v>
      </c>
      <c r="Q188" s="3"/>
      <c r="R188" s="8">
        <f t="shared" si="40"/>
        <v>4.3397673294410778E-4</v>
      </c>
      <c r="S188" s="3"/>
      <c r="T188" s="7">
        <v>186.03</v>
      </c>
      <c r="U188" s="3"/>
      <c r="V188" s="8">
        <f t="shared" si="41"/>
        <v>2.390526941194937E-5</v>
      </c>
      <c r="W188" s="3"/>
      <c r="X188" s="7">
        <f t="shared" si="42"/>
        <v>4155.3500000000004</v>
      </c>
      <c r="Y188" s="3"/>
      <c r="Z188" s="8">
        <f t="shared" si="43"/>
        <v>22.336988657743376</v>
      </c>
    </row>
    <row r="189" spans="1:26" s="68" customFormat="1" ht="15" customHeight="1" outlineLevel="1" collapsed="1" x14ac:dyDescent="0.25">
      <c r="A189" s="26"/>
      <c r="B189" s="14" t="str">
        <f>CONCATENATE("     ","Equipment Rental                                  ")</f>
        <v xml:space="preserve">     Equipment Rental                                  </v>
      </c>
      <c r="C189" s="14"/>
      <c r="D189" s="2">
        <f>SUM(OSRRefD22_9x_0)</f>
        <v>1712.05</v>
      </c>
      <c r="E189" s="2"/>
      <c r="F189" s="6">
        <f t="shared" si="36"/>
        <v>1.3464436942382048E-3</v>
      </c>
      <c r="G189" s="2"/>
      <c r="H189" s="2">
        <f>SUM(OSRRefH22_9x_0)</f>
        <v>1712.05</v>
      </c>
      <c r="I189" s="2"/>
      <c r="J189" s="6">
        <f t="shared" si="37"/>
        <v>2.6076740692695601E-3</v>
      </c>
      <c r="K189" s="2"/>
      <c r="L189" s="2">
        <f t="shared" si="38"/>
        <v>0</v>
      </c>
      <c r="M189" s="2"/>
      <c r="N189" s="6">
        <f t="shared" si="39"/>
        <v>0</v>
      </c>
      <c r="O189" s="14"/>
      <c r="P189" s="2">
        <f>SUM(OSRRefP22_9x_0)</f>
        <v>17510.36</v>
      </c>
      <c r="Q189" s="2"/>
      <c r="R189" s="6">
        <f t="shared" si="40"/>
        <v>1.7503855514779143E-3</v>
      </c>
      <c r="S189" s="2"/>
      <c r="T189" s="2">
        <f>SUM(OSRRefT22_9x_0)</f>
        <v>16546.22</v>
      </c>
      <c r="U189" s="2"/>
      <c r="V189" s="6">
        <f t="shared" si="41"/>
        <v>2.1262261293844269E-3</v>
      </c>
      <c r="W189" s="2"/>
      <c r="X189" s="2">
        <f t="shared" si="42"/>
        <v>964.13999999999942</v>
      </c>
      <c r="Y189" s="2"/>
      <c r="Z189" s="6">
        <f t="shared" si="43"/>
        <v>5.8269502037323291E-2</v>
      </c>
    </row>
    <row r="190" spans="1:26" s="69" customFormat="1" ht="15" hidden="1" customHeight="1" outlineLevel="2" x14ac:dyDescent="0.25">
      <c r="A190" s="25"/>
      <c r="B190" s="12" t="str">
        <f>CONCATENATE("          ","6351"," - ","EQUIPMENT RENTAL")</f>
        <v xml:space="preserve">          6351 - EQUIPMENT RENTAL</v>
      </c>
      <c r="C190" s="12"/>
      <c r="D190" s="7">
        <v>1712.05</v>
      </c>
      <c r="E190" s="3"/>
      <c r="F190" s="8">
        <f t="shared" si="36"/>
        <v>1.3464436942382048E-3</v>
      </c>
      <c r="G190" s="3"/>
      <c r="H190" s="7">
        <v>1712.05</v>
      </c>
      <c r="I190" s="3"/>
      <c r="J190" s="8">
        <f t="shared" si="37"/>
        <v>2.6076740692695601E-3</v>
      </c>
      <c r="K190" s="3"/>
      <c r="L190" s="7">
        <f t="shared" si="38"/>
        <v>0</v>
      </c>
      <c r="M190" s="3"/>
      <c r="N190" s="8">
        <f t="shared" si="39"/>
        <v>0</v>
      </c>
      <c r="O190" s="12"/>
      <c r="P190" s="7">
        <v>17510.36</v>
      </c>
      <c r="Q190" s="3"/>
      <c r="R190" s="8">
        <f t="shared" si="40"/>
        <v>1.7503855514779143E-3</v>
      </c>
      <c r="S190" s="3"/>
      <c r="T190" s="7">
        <v>16546.22</v>
      </c>
      <c r="U190" s="3"/>
      <c r="V190" s="8">
        <f t="shared" si="41"/>
        <v>2.1262261293844269E-3</v>
      </c>
      <c r="W190" s="3"/>
      <c r="X190" s="7">
        <f t="shared" si="42"/>
        <v>964.13999999999942</v>
      </c>
      <c r="Y190" s="3"/>
      <c r="Z190" s="8">
        <f t="shared" si="43"/>
        <v>5.8269502037323291E-2</v>
      </c>
    </row>
    <row r="191" spans="1:26" s="68" customFormat="1" ht="15" customHeight="1" outlineLevel="1" collapsed="1" x14ac:dyDescent="0.25">
      <c r="A191" s="26"/>
      <c r="B191" s="14" t="str">
        <f>CONCATENATE("     ","Freight out/Postage                               ")</f>
        <v xml:space="preserve">     Freight out/Postage                               </v>
      </c>
      <c r="C191" s="14"/>
      <c r="D191" s="2">
        <f>SUM(OSRRefD22_10x_0)</f>
        <v>-1240.0600000000004</v>
      </c>
      <c r="E191" s="2"/>
      <c r="F191" s="6">
        <f t="shared" si="36"/>
        <v>-9.7524661515553212E-4</v>
      </c>
      <c r="G191" s="2"/>
      <c r="H191" s="2">
        <f>SUM(OSRRefH22_10x_0)</f>
        <v>-19807.939999999999</v>
      </c>
      <c r="I191" s="2"/>
      <c r="J191" s="6">
        <f t="shared" si="37"/>
        <v>-3.0170060163924706E-2</v>
      </c>
      <c r="K191" s="2"/>
      <c r="L191" s="2">
        <f t="shared" si="38"/>
        <v>18567.879999999997</v>
      </c>
      <c r="M191" s="2"/>
      <c r="N191" s="6">
        <f t="shared" si="39"/>
        <v>-0.93739581198246757</v>
      </c>
      <c r="O191" s="14"/>
      <c r="P191" s="2">
        <f>SUM(OSRRefP22_10x_0)</f>
        <v>-45096.51999999999</v>
      </c>
      <c r="Q191" s="2"/>
      <c r="R191" s="6">
        <f t="shared" si="40"/>
        <v>-4.5079768222889066E-3</v>
      </c>
      <c r="S191" s="2"/>
      <c r="T191" s="2">
        <f>SUM(OSRRefT22_10x_0)</f>
        <v>-65188.209999999992</v>
      </c>
      <c r="U191" s="2"/>
      <c r="V191" s="6">
        <f t="shared" si="41"/>
        <v>-8.3768302022938865E-3</v>
      </c>
      <c r="W191" s="2"/>
      <c r="X191" s="2">
        <f t="shared" si="42"/>
        <v>20091.690000000002</v>
      </c>
      <c r="Y191" s="2"/>
      <c r="Z191" s="6">
        <f t="shared" si="43"/>
        <v>-0.3082104877553779</v>
      </c>
    </row>
    <row r="192" spans="1:26" s="69" customFormat="1" ht="15" hidden="1" customHeight="1" outlineLevel="2" x14ac:dyDescent="0.25">
      <c r="A192" s="25"/>
      <c r="B192" s="12" t="str">
        <f>CONCATENATE("          ","6305"," - ","FREIGHT OUT")</f>
        <v xml:space="preserve">          6305 - FREIGHT OUT</v>
      </c>
      <c r="C192" s="12"/>
      <c r="D192" s="7">
        <v>8082.94</v>
      </c>
      <c r="E192" s="3"/>
      <c r="F192" s="8">
        <f t="shared" si="36"/>
        <v>6.356837471981399E-3</v>
      </c>
      <c r="G192" s="3"/>
      <c r="H192" s="7">
        <v>23540.09</v>
      </c>
      <c r="I192" s="3"/>
      <c r="J192" s="8">
        <f t="shared" si="37"/>
        <v>3.5854608382507334E-2</v>
      </c>
      <c r="K192" s="3"/>
      <c r="L192" s="7">
        <f t="shared" si="38"/>
        <v>-15457.150000000001</v>
      </c>
      <c r="M192" s="3"/>
      <c r="N192" s="8">
        <f t="shared" si="39"/>
        <v>-0.65663087949111498</v>
      </c>
      <c r="O192" s="12"/>
      <c r="P192" s="7">
        <v>134542.25</v>
      </c>
      <c r="Q192" s="3"/>
      <c r="R192" s="8">
        <f t="shared" si="40"/>
        <v>1.3449227226814835E-2</v>
      </c>
      <c r="S192" s="3"/>
      <c r="T192" s="7">
        <v>227069.6</v>
      </c>
      <c r="U192" s="3"/>
      <c r="V192" s="8">
        <f t="shared" si="41"/>
        <v>2.9178949434304029E-2</v>
      </c>
      <c r="W192" s="3"/>
      <c r="X192" s="7">
        <f t="shared" si="42"/>
        <v>-92527.35</v>
      </c>
      <c r="Y192" s="3"/>
      <c r="Z192" s="8">
        <f t="shared" si="43"/>
        <v>-0.40748453337655066</v>
      </c>
    </row>
    <row r="193" spans="1:26" s="69" customFormat="1" ht="15" hidden="1" customHeight="1" outlineLevel="2" x14ac:dyDescent="0.25">
      <c r="A193" s="25"/>
      <c r="B193" s="12" t="str">
        <f>CONCATENATE("          ","6307"," - ","POSTAGE")</f>
        <v xml:space="preserve">          6307 - POSTAGE</v>
      </c>
      <c r="C193" s="12"/>
      <c r="D193" s="7">
        <v>-9323</v>
      </c>
      <c r="E193" s="3"/>
      <c r="F193" s="8">
        <f t="shared" si="36"/>
        <v>-7.3320840871369313E-3</v>
      </c>
      <c r="G193" s="3"/>
      <c r="H193" s="7">
        <v>-43348.03</v>
      </c>
      <c r="I193" s="3"/>
      <c r="J193" s="8">
        <f t="shared" si="37"/>
        <v>-6.6024668546432033E-2</v>
      </c>
      <c r="K193" s="3"/>
      <c r="L193" s="7">
        <f t="shared" si="38"/>
        <v>34025.03</v>
      </c>
      <c r="M193" s="3"/>
      <c r="N193" s="8">
        <f t="shared" si="39"/>
        <v>-0.78492678906054092</v>
      </c>
      <c r="O193" s="12"/>
      <c r="P193" s="7">
        <v>-179638.77</v>
      </c>
      <c r="Q193" s="3"/>
      <c r="R193" s="8">
        <f t="shared" si="40"/>
        <v>-1.7957204049103739E-2</v>
      </c>
      <c r="S193" s="3"/>
      <c r="T193" s="7">
        <v>-292257.81</v>
      </c>
      <c r="U193" s="3"/>
      <c r="V193" s="8">
        <f t="shared" si="41"/>
        <v>-3.7555779636597918E-2</v>
      </c>
      <c r="W193" s="3"/>
      <c r="X193" s="7">
        <f t="shared" si="42"/>
        <v>112619.04000000001</v>
      </c>
      <c r="Y193" s="3"/>
      <c r="Z193" s="8">
        <f t="shared" si="43"/>
        <v>-0.38534142167150304</v>
      </c>
    </row>
    <row r="194" spans="1:26" s="68" customFormat="1" ht="15" customHeight="1" outlineLevel="1" collapsed="1" x14ac:dyDescent="0.25">
      <c r="A194" s="26"/>
      <c r="B194" s="14" t="str">
        <f>CONCATENATE("     ","General                                           ")</f>
        <v xml:space="preserve">     General                                           </v>
      </c>
      <c r="C194" s="14"/>
      <c r="D194" s="2">
        <f>SUM(OSRRefD22_11x_0)</f>
        <v>45.45</v>
      </c>
      <c r="E194" s="2"/>
      <c r="F194" s="6">
        <f t="shared" si="36"/>
        <v>3.5744204843974426E-5</v>
      </c>
      <c r="G194" s="2"/>
      <c r="H194" s="2">
        <f>SUM(OSRRefH22_11x_0)</f>
        <v>285</v>
      </c>
      <c r="I194" s="2"/>
      <c r="J194" s="6">
        <f t="shared" si="37"/>
        <v>4.3409194225742514E-4</v>
      </c>
      <c r="K194" s="2"/>
      <c r="L194" s="2">
        <f t="shared" si="38"/>
        <v>-239.55</v>
      </c>
      <c r="M194" s="2"/>
      <c r="N194" s="6">
        <f t="shared" si="39"/>
        <v>-0.84052631578947368</v>
      </c>
      <c r="O194" s="14"/>
      <c r="P194" s="2">
        <f>SUM(OSRRefP22_11x_0)</f>
        <v>6770.51</v>
      </c>
      <c r="Q194" s="2"/>
      <c r="R194" s="6">
        <f t="shared" si="40"/>
        <v>6.7679949927567078E-4</v>
      </c>
      <c r="S194" s="2"/>
      <c r="T194" s="2">
        <f>SUM(OSRRefT22_11x_0)</f>
        <v>2858.48</v>
      </c>
      <c r="U194" s="2"/>
      <c r="V194" s="6">
        <f t="shared" si="41"/>
        <v>3.6732104772708182E-4</v>
      </c>
      <c r="W194" s="2"/>
      <c r="X194" s="2">
        <f t="shared" si="42"/>
        <v>3912.03</v>
      </c>
      <c r="Y194" s="2"/>
      <c r="Z194" s="6">
        <f t="shared" si="43"/>
        <v>1.3685700092356778</v>
      </c>
    </row>
    <row r="195" spans="1:26" s="69" customFormat="1" ht="15" hidden="1" customHeight="1" outlineLevel="2" x14ac:dyDescent="0.25">
      <c r="A195" s="25"/>
      <c r="B195" s="12" t="str">
        <f>CONCATENATE("          ","6279"," - ","GENERAL EXPENSE")</f>
        <v xml:space="preserve">          6279 - GENERAL EXPENSE</v>
      </c>
      <c r="C195" s="12"/>
      <c r="D195" s="7">
        <v>45.45</v>
      </c>
      <c r="E195" s="3"/>
      <c r="F195" s="8">
        <f t="shared" si="36"/>
        <v>3.5744204843974426E-5</v>
      </c>
      <c r="G195" s="3"/>
      <c r="H195" s="7">
        <v>285</v>
      </c>
      <c r="I195" s="3"/>
      <c r="J195" s="8">
        <f t="shared" si="37"/>
        <v>4.3409194225742514E-4</v>
      </c>
      <c r="K195" s="3"/>
      <c r="L195" s="7">
        <f t="shared" si="38"/>
        <v>-239.55</v>
      </c>
      <c r="M195" s="3"/>
      <c r="N195" s="8">
        <f t="shared" si="39"/>
        <v>-0.84052631578947368</v>
      </c>
      <c r="O195" s="12"/>
      <c r="P195" s="7">
        <v>6770.51</v>
      </c>
      <c r="Q195" s="3"/>
      <c r="R195" s="8">
        <f t="shared" si="40"/>
        <v>6.7679949927567078E-4</v>
      </c>
      <c r="S195" s="3"/>
      <c r="T195" s="7">
        <v>2858.48</v>
      </c>
      <c r="U195" s="3"/>
      <c r="V195" s="8">
        <f t="shared" si="41"/>
        <v>3.6732104772708182E-4</v>
      </c>
      <c r="W195" s="3"/>
      <c r="X195" s="7">
        <f t="shared" si="42"/>
        <v>3912.03</v>
      </c>
      <c r="Y195" s="3"/>
      <c r="Z195" s="8">
        <f t="shared" si="43"/>
        <v>1.3685700092356778</v>
      </c>
    </row>
    <row r="196" spans="1:26" s="68" customFormat="1" ht="15" customHeight="1" outlineLevel="1" collapsed="1" x14ac:dyDescent="0.25">
      <c r="A196" s="26"/>
      <c r="B196" s="14" t="str">
        <f>CONCATENATE("     ","Insurance                                         ")</f>
        <v xml:space="preserve">     Insurance                                         </v>
      </c>
      <c r="C196" s="14"/>
      <c r="D196" s="2">
        <f>SUM(OSRRefD22_12x_0)</f>
        <v>5494.57</v>
      </c>
      <c r="E196" s="2"/>
      <c r="F196" s="6">
        <f t="shared" si="36"/>
        <v>4.3212109045006938E-3</v>
      </c>
      <c r="G196" s="2"/>
      <c r="H196" s="2">
        <f>SUM(OSRRefH22_12x_0)</f>
        <v>4044.74</v>
      </c>
      <c r="I196" s="2"/>
      <c r="J196" s="6">
        <f t="shared" si="37"/>
        <v>6.1606633071098161E-3</v>
      </c>
      <c r="K196" s="2"/>
      <c r="L196" s="2">
        <f t="shared" si="38"/>
        <v>1449.83</v>
      </c>
      <c r="M196" s="2"/>
      <c r="N196" s="6">
        <f t="shared" si="39"/>
        <v>0.35844825625380122</v>
      </c>
      <c r="O196" s="14"/>
      <c r="P196" s="2">
        <f>SUM(OSRRefP22_12x_0)</f>
        <v>60440.27</v>
      </c>
      <c r="Q196" s="2"/>
      <c r="R196" s="6">
        <f t="shared" si="40"/>
        <v>6.0417818557370623E-3</v>
      </c>
      <c r="S196" s="2"/>
      <c r="T196" s="2">
        <f>SUM(OSRRefT22_12x_0)</f>
        <v>44492.14</v>
      </c>
      <c r="U196" s="2"/>
      <c r="V196" s="6">
        <f t="shared" si="41"/>
        <v>5.7173391034465891E-3</v>
      </c>
      <c r="W196" s="2"/>
      <c r="X196" s="2">
        <f t="shared" si="42"/>
        <v>15948.129999999997</v>
      </c>
      <c r="Y196" s="2"/>
      <c r="Z196" s="6">
        <f t="shared" si="43"/>
        <v>0.35844825625380117</v>
      </c>
    </row>
    <row r="197" spans="1:26" s="69" customFormat="1" ht="15" hidden="1" customHeight="1" outlineLevel="2" x14ac:dyDescent="0.25">
      <c r="A197" s="25"/>
      <c r="B197" s="12" t="str">
        <f>CONCATENATE("          ","6314"," - ","LIABILITY INSURANCE")</f>
        <v xml:space="preserve">          6314 - LIABILITY INSURANCE</v>
      </c>
      <c r="C197" s="12"/>
      <c r="D197" s="7">
        <v>5494.57</v>
      </c>
      <c r="E197" s="3"/>
      <c r="F197" s="8">
        <f t="shared" si="36"/>
        <v>4.3212109045006938E-3</v>
      </c>
      <c r="G197" s="3"/>
      <c r="H197" s="7">
        <v>4044.74</v>
      </c>
      <c r="I197" s="3"/>
      <c r="J197" s="8">
        <f t="shared" si="37"/>
        <v>6.1606633071098161E-3</v>
      </c>
      <c r="K197" s="3"/>
      <c r="L197" s="7">
        <f t="shared" si="38"/>
        <v>1449.83</v>
      </c>
      <c r="M197" s="3"/>
      <c r="N197" s="8">
        <f t="shared" si="39"/>
        <v>0.35844825625380122</v>
      </c>
      <c r="O197" s="12"/>
      <c r="P197" s="7">
        <v>60440.27</v>
      </c>
      <c r="Q197" s="3"/>
      <c r="R197" s="8">
        <f t="shared" si="40"/>
        <v>6.0417818557370623E-3</v>
      </c>
      <c r="S197" s="3"/>
      <c r="T197" s="7">
        <v>44492.14</v>
      </c>
      <c r="U197" s="3"/>
      <c r="V197" s="8">
        <f t="shared" si="41"/>
        <v>5.7173391034465891E-3</v>
      </c>
      <c r="W197" s="3"/>
      <c r="X197" s="7">
        <f t="shared" si="42"/>
        <v>15948.129999999997</v>
      </c>
      <c r="Y197" s="3"/>
      <c r="Z197" s="8">
        <f t="shared" si="43"/>
        <v>0.35844825625380117</v>
      </c>
    </row>
    <row r="198" spans="1:26" s="68" customFormat="1" ht="15" customHeight="1" outlineLevel="1" collapsed="1" x14ac:dyDescent="0.25">
      <c r="A198" s="26"/>
      <c r="B198" s="14" t="str">
        <f>CONCATENATE("     ","Inventory Adjustment                              ")</f>
        <v xml:space="preserve">     Inventory Adjustment                              </v>
      </c>
      <c r="C198" s="14"/>
      <c r="D198" s="2">
        <f>SUM(OSRRefD22_13x_0)</f>
        <v>7200</v>
      </c>
      <c r="E198" s="2"/>
      <c r="F198" s="6">
        <f t="shared" si="36"/>
        <v>5.6624482921147599E-3</v>
      </c>
      <c r="G198" s="2"/>
      <c r="H198" s="2">
        <f>SUM(OSRRefH22_13x_0)</f>
        <v>3350</v>
      </c>
      <c r="I198" s="2"/>
      <c r="J198" s="6">
        <f t="shared" si="37"/>
        <v>5.1024842335521898E-3</v>
      </c>
      <c r="K198" s="2"/>
      <c r="L198" s="2">
        <f t="shared" si="38"/>
        <v>3850</v>
      </c>
      <c r="M198" s="2"/>
      <c r="N198" s="6">
        <f t="shared" si="39"/>
        <v>1.1492537313432836</v>
      </c>
      <c r="O198" s="14"/>
      <c r="P198" s="2">
        <f>SUM(OSRRefP22_13x_0)</f>
        <v>70840</v>
      </c>
      <c r="Q198" s="2"/>
      <c r="R198" s="6">
        <f t="shared" si="40"/>
        <v>7.0813685422056113E-3</v>
      </c>
      <c r="S198" s="2"/>
      <c r="T198" s="2">
        <f>SUM(OSRRefT22_13x_0)</f>
        <v>41850</v>
      </c>
      <c r="U198" s="2"/>
      <c r="V198" s="6">
        <f t="shared" si="41"/>
        <v>5.3778182276518899E-3</v>
      </c>
      <c r="W198" s="2"/>
      <c r="X198" s="2">
        <f t="shared" si="42"/>
        <v>28990</v>
      </c>
      <c r="Y198" s="2"/>
      <c r="Z198" s="6">
        <f t="shared" si="43"/>
        <v>0.69271206690561526</v>
      </c>
    </row>
    <row r="199" spans="1:26" s="69" customFormat="1" ht="15" hidden="1" customHeight="1" outlineLevel="2" x14ac:dyDescent="0.25">
      <c r="A199" s="25"/>
      <c r="B199" s="12" t="str">
        <f>CONCATENATE("          ","6408"," - ","INVENTORY ADJUSTMENT")</f>
        <v xml:space="preserve">          6408 - INVENTORY ADJUSTMENT</v>
      </c>
      <c r="C199" s="12"/>
      <c r="D199" s="7">
        <v>7200</v>
      </c>
      <c r="E199" s="3"/>
      <c r="F199" s="8">
        <f t="shared" si="36"/>
        <v>5.6624482921147599E-3</v>
      </c>
      <c r="G199" s="3"/>
      <c r="H199" s="7">
        <v>3350</v>
      </c>
      <c r="I199" s="3"/>
      <c r="J199" s="8">
        <f t="shared" si="37"/>
        <v>5.1024842335521898E-3</v>
      </c>
      <c r="K199" s="3"/>
      <c r="L199" s="7">
        <f t="shared" si="38"/>
        <v>3850</v>
      </c>
      <c r="M199" s="3"/>
      <c r="N199" s="8">
        <f t="shared" si="39"/>
        <v>1.1492537313432836</v>
      </c>
      <c r="O199" s="12"/>
      <c r="P199" s="7">
        <v>70840</v>
      </c>
      <c r="Q199" s="3"/>
      <c r="R199" s="8">
        <f t="shared" si="40"/>
        <v>7.0813685422056113E-3</v>
      </c>
      <c r="S199" s="3"/>
      <c r="T199" s="7">
        <v>41850</v>
      </c>
      <c r="U199" s="3"/>
      <c r="V199" s="8">
        <f t="shared" si="41"/>
        <v>5.3778182276518899E-3</v>
      </c>
      <c r="W199" s="3"/>
      <c r="X199" s="7">
        <f t="shared" si="42"/>
        <v>28990</v>
      </c>
      <c r="Y199" s="3"/>
      <c r="Z199" s="8">
        <f t="shared" si="43"/>
        <v>0.69271206690561526</v>
      </c>
    </row>
    <row r="200" spans="1:26" s="69" customFormat="1" ht="15" hidden="1" customHeight="1" outlineLevel="2" x14ac:dyDescent="0.25">
      <c r="A200" s="25"/>
      <c r="B200" s="12" t="str">
        <f>CONCATENATE("          ","7741"," - ","INV. SHRINKAGE-LOGO GIFTS")</f>
        <v xml:space="preserve">          7741 - INV. SHRINKAGE-LOGO GIFTS</v>
      </c>
      <c r="C200" s="12"/>
      <c r="D200" s="7"/>
      <c r="E200" s="3"/>
      <c r="F200" s="8">
        <f t="shared" si="36"/>
        <v>0</v>
      </c>
      <c r="G200" s="3"/>
      <c r="H200" s="7"/>
      <c r="I200" s="3"/>
      <c r="J200" s="8">
        <f t="shared" si="37"/>
        <v>0</v>
      </c>
      <c r="K200" s="3"/>
      <c r="L200" s="7">
        <f t="shared" si="38"/>
        <v>0</v>
      </c>
      <c r="M200" s="3"/>
      <c r="N200" s="8">
        <f t="shared" si="39"/>
        <v>0</v>
      </c>
      <c r="O200" s="12"/>
      <c r="P200" s="7"/>
      <c r="Q200" s="3"/>
      <c r="R200" s="8">
        <f t="shared" si="40"/>
        <v>0</v>
      </c>
      <c r="S200" s="3"/>
      <c r="T200" s="7">
        <v>0</v>
      </c>
      <c r="U200" s="3"/>
      <c r="V200" s="8">
        <f t="shared" si="41"/>
        <v>0</v>
      </c>
      <c r="W200" s="3"/>
      <c r="X200" s="7">
        <f t="shared" si="42"/>
        <v>0</v>
      </c>
      <c r="Y200" s="3"/>
      <c r="Z200" s="8">
        <f t="shared" si="43"/>
        <v>0</v>
      </c>
    </row>
    <row r="201" spans="1:26" s="68" customFormat="1" ht="15" customHeight="1" outlineLevel="1" collapsed="1" x14ac:dyDescent="0.25">
      <c r="A201" s="26"/>
      <c r="B201" s="14" t="str">
        <f>CONCATENATE("     ","Professional Services                             ")</f>
        <v xml:space="preserve">     Professional Services                             </v>
      </c>
      <c r="C201" s="14"/>
      <c r="D201" s="2">
        <f>SUM(OSRRefD22_14x_0)</f>
        <v>0</v>
      </c>
      <c r="E201" s="2"/>
      <c r="F201" s="6">
        <f t="shared" si="36"/>
        <v>0</v>
      </c>
      <c r="G201" s="2"/>
      <c r="H201" s="2">
        <f>SUM(OSRRefH22_14x_0)</f>
        <v>0</v>
      </c>
      <c r="I201" s="2"/>
      <c r="J201" s="6">
        <f t="shared" si="37"/>
        <v>0</v>
      </c>
      <c r="K201" s="2"/>
      <c r="L201" s="2">
        <f t="shared" si="38"/>
        <v>0</v>
      </c>
      <c r="M201" s="2"/>
      <c r="N201" s="6">
        <f t="shared" si="39"/>
        <v>0</v>
      </c>
      <c r="O201" s="14"/>
      <c r="P201" s="2">
        <f>SUM(OSRRefP22_14x_0)</f>
        <v>9626.5300000000007</v>
      </c>
      <c r="Q201" s="2"/>
      <c r="R201" s="6">
        <f t="shared" si="40"/>
        <v>9.6229540813944927E-4</v>
      </c>
      <c r="S201" s="2"/>
      <c r="T201" s="2">
        <f>SUM(OSRRefT22_14x_0)</f>
        <v>0</v>
      </c>
      <c r="U201" s="2"/>
      <c r="V201" s="6">
        <f t="shared" si="41"/>
        <v>0</v>
      </c>
      <c r="W201" s="2"/>
      <c r="X201" s="2">
        <f t="shared" si="42"/>
        <v>9626.5300000000007</v>
      </c>
      <c r="Y201" s="2"/>
      <c r="Z201" s="6">
        <f t="shared" si="43"/>
        <v>0</v>
      </c>
    </row>
    <row r="202" spans="1:26" s="69" customFormat="1" ht="15" hidden="1" customHeight="1" outlineLevel="2" x14ac:dyDescent="0.25">
      <c r="A202" s="25"/>
      <c r="B202" s="12" t="str">
        <f>CONCATENATE("          ","6336"," - ","PROFESSIONAL SERVICES")</f>
        <v xml:space="preserve">          6336 - PROFESSIONAL SERVICES</v>
      </c>
      <c r="C202" s="12"/>
      <c r="D202" s="7"/>
      <c r="E202" s="3"/>
      <c r="F202" s="8">
        <f t="shared" si="36"/>
        <v>0</v>
      </c>
      <c r="G202" s="3"/>
      <c r="H202" s="7"/>
      <c r="I202" s="3"/>
      <c r="J202" s="8">
        <f t="shared" si="37"/>
        <v>0</v>
      </c>
      <c r="K202" s="3"/>
      <c r="L202" s="7">
        <f t="shared" si="38"/>
        <v>0</v>
      </c>
      <c r="M202" s="3"/>
      <c r="N202" s="8">
        <f t="shared" si="39"/>
        <v>0</v>
      </c>
      <c r="O202" s="12"/>
      <c r="P202" s="7">
        <v>9626.5300000000007</v>
      </c>
      <c r="Q202" s="3"/>
      <c r="R202" s="8">
        <f t="shared" si="40"/>
        <v>9.6229540813944927E-4</v>
      </c>
      <c r="S202" s="3"/>
      <c r="T202" s="7"/>
      <c r="U202" s="3"/>
      <c r="V202" s="8">
        <f t="shared" si="41"/>
        <v>0</v>
      </c>
      <c r="W202" s="3"/>
      <c r="X202" s="7">
        <f t="shared" si="42"/>
        <v>9626.5300000000007</v>
      </c>
      <c r="Y202" s="3"/>
      <c r="Z202" s="8">
        <f t="shared" si="43"/>
        <v>0</v>
      </c>
    </row>
    <row r="203" spans="1:26" s="68" customFormat="1" ht="15" customHeight="1" outlineLevel="1" collapsed="1" x14ac:dyDescent="0.25">
      <c r="A203" s="26"/>
      <c r="B203" s="14" t="str">
        <f>CONCATENATE("     ","Rent                                              ")</f>
        <v xml:space="preserve">     Rent                                              </v>
      </c>
      <c r="C203" s="14"/>
      <c r="D203" s="2">
        <f>SUM(OSRRefD22_15x_0)</f>
        <v>6100</v>
      </c>
      <c r="E203" s="2"/>
      <c r="F203" s="6">
        <f t="shared" si="36"/>
        <v>4.7973520252638938E-3</v>
      </c>
      <c r="G203" s="2"/>
      <c r="H203" s="2">
        <f>SUM(OSRRefH22_15x_0)</f>
        <v>6100</v>
      </c>
      <c r="I203" s="2"/>
      <c r="J203" s="6">
        <f t="shared" si="37"/>
        <v>9.2910906939308539E-3</v>
      </c>
      <c r="K203" s="2"/>
      <c r="L203" s="2">
        <f t="shared" si="38"/>
        <v>0</v>
      </c>
      <c r="M203" s="2"/>
      <c r="N203" s="6">
        <f t="shared" si="39"/>
        <v>0</v>
      </c>
      <c r="O203" s="14"/>
      <c r="P203" s="2">
        <f>SUM(OSRRefP22_15x_0)</f>
        <v>67100</v>
      </c>
      <c r="Q203" s="2"/>
      <c r="R203" s="6">
        <f t="shared" si="40"/>
        <v>6.7075074701015884E-3</v>
      </c>
      <c r="S203" s="2"/>
      <c r="T203" s="2">
        <f>SUM(OSRRefT22_15x_0)</f>
        <v>67100</v>
      </c>
      <c r="U203" s="2"/>
      <c r="V203" s="6">
        <f t="shared" si="41"/>
        <v>8.6224994761156942E-3</v>
      </c>
      <c r="W203" s="2"/>
      <c r="X203" s="2">
        <f t="shared" si="42"/>
        <v>0</v>
      </c>
      <c r="Y203" s="2"/>
      <c r="Z203" s="6">
        <f t="shared" si="43"/>
        <v>0</v>
      </c>
    </row>
    <row r="204" spans="1:26" s="69" customFormat="1" ht="15" hidden="1" customHeight="1" outlineLevel="2" x14ac:dyDescent="0.25">
      <c r="A204" s="25"/>
      <c r="B204" s="12" t="str">
        <f>CONCATENATE("          ","6273"," - ","RENT")</f>
        <v xml:space="preserve">          6273 - RENT</v>
      </c>
      <c r="C204" s="12"/>
      <c r="D204" s="7">
        <v>6100</v>
      </c>
      <c r="E204" s="3"/>
      <c r="F204" s="8">
        <f t="shared" si="36"/>
        <v>4.7973520252638938E-3</v>
      </c>
      <c r="G204" s="3"/>
      <c r="H204" s="7">
        <v>6100</v>
      </c>
      <c r="I204" s="3"/>
      <c r="J204" s="8">
        <f t="shared" si="37"/>
        <v>9.2910906939308539E-3</v>
      </c>
      <c r="K204" s="3"/>
      <c r="L204" s="7">
        <f t="shared" si="38"/>
        <v>0</v>
      </c>
      <c r="M204" s="3"/>
      <c r="N204" s="8">
        <f t="shared" si="39"/>
        <v>0</v>
      </c>
      <c r="O204" s="12"/>
      <c r="P204" s="7">
        <v>67100</v>
      </c>
      <c r="Q204" s="3"/>
      <c r="R204" s="8">
        <f t="shared" si="40"/>
        <v>6.7075074701015884E-3</v>
      </c>
      <c r="S204" s="3"/>
      <c r="T204" s="7">
        <v>67100</v>
      </c>
      <c r="U204" s="3"/>
      <c r="V204" s="8">
        <f t="shared" si="41"/>
        <v>8.6224994761156942E-3</v>
      </c>
      <c r="W204" s="3"/>
      <c r="X204" s="7">
        <f t="shared" si="42"/>
        <v>0</v>
      </c>
      <c r="Y204" s="3"/>
      <c r="Z204" s="8">
        <f t="shared" si="43"/>
        <v>0</v>
      </c>
    </row>
    <row r="205" spans="1:26" s="68" customFormat="1" ht="15" customHeight="1" outlineLevel="1" collapsed="1" x14ac:dyDescent="0.25">
      <c r="A205" s="26"/>
      <c r="B205" s="14" t="str">
        <f>CONCATENATE("     ","Repair and Maintenance                            ")</f>
        <v xml:space="preserve">     Repair and Maintenance                            </v>
      </c>
      <c r="C205" s="14"/>
      <c r="D205" s="2">
        <f>SUM(OSRRefD22_16x_0)</f>
        <v>5559.93</v>
      </c>
      <c r="E205" s="2"/>
      <c r="F205" s="6">
        <f t="shared" si="36"/>
        <v>4.3726133517746693E-3</v>
      </c>
      <c r="G205" s="2"/>
      <c r="H205" s="2">
        <f>SUM(OSRRefH22_16x_0)</f>
        <v>9239.2199999999993</v>
      </c>
      <c r="I205" s="2"/>
      <c r="J205" s="6">
        <f t="shared" si="37"/>
        <v>1.4072529665767183E-2</v>
      </c>
      <c r="K205" s="2"/>
      <c r="L205" s="2">
        <f t="shared" si="38"/>
        <v>-3679.2899999999991</v>
      </c>
      <c r="M205" s="2"/>
      <c r="N205" s="6">
        <f t="shared" si="39"/>
        <v>-0.39822517485242254</v>
      </c>
      <c r="O205" s="14"/>
      <c r="P205" s="2">
        <f>SUM(OSRRefP22_16x_0)</f>
        <v>144120.39000000001</v>
      </c>
      <c r="Q205" s="2"/>
      <c r="R205" s="6">
        <f t="shared" si="40"/>
        <v>1.4406685432473238E-2</v>
      </c>
      <c r="S205" s="2"/>
      <c r="T205" s="2">
        <f>SUM(OSRRefT22_16x_0)</f>
        <v>143704.91</v>
      </c>
      <c r="U205" s="2"/>
      <c r="V205" s="6">
        <f t="shared" si="41"/>
        <v>1.8466401060957573E-2</v>
      </c>
      <c r="W205" s="2"/>
      <c r="X205" s="2">
        <f t="shared" si="42"/>
        <v>415.48000000001048</v>
      </c>
      <c r="Y205" s="2"/>
      <c r="Z205" s="6">
        <f t="shared" si="43"/>
        <v>2.8912025344159115E-3</v>
      </c>
    </row>
    <row r="206" spans="1:26" s="69" customFormat="1" ht="15" hidden="1" customHeight="1" outlineLevel="2" x14ac:dyDescent="0.25">
      <c r="A206" s="25"/>
      <c r="B206" s="12" t="str">
        <f>CONCATENATE("          ","6371"," - ","COMPUTER SOFTWARE MAINTENANCE")</f>
        <v xml:space="preserve">          6371 - COMPUTER SOFTWARE MAINTENANCE</v>
      </c>
      <c r="C206" s="12"/>
      <c r="D206" s="7"/>
      <c r="E206" s="3"/>
      <c r="F206" s="8">
        <f t="shared" si="36"/>
        <v>0</v>
      </c>
      <c r="G206" s="3"/>
      <c r="H206" s="7"/>
      <c r="I206" s="3"/>
      <c r="J206" s="8">
        <f t="shared" si="37"/>
        <v>0</v>
      </c>
      <c r="K206" s="3"/>
      <c r="L206" s="7">
        <f t="shared" si="38"/>
        <v>0</v>
      </c>
      <c r="M206" s="3"/>
      <c r="N206" s="8">
        <f t="shared" si="39"/>
        <v>0</v>
      </c>
      <c r="O206" s="12"/>
      <c r="P206" s="7">
        <v>64061</v>
      </c>
      <c r="Q206" s="3"/>
      <c r="R206" s="8">
        <f t="shared" si="40"/>
        <v>6.4037203583036939E-3</v>
      </c>
      <c r="S206" s="3"/>
      <c r="T206" s="7">
        <v>61317.72</v>
      </c>
      <c r="U206" s="3"/>
      <c r="V206" s="8">
        <f t="shared" si="41"/>
        <v>7.8794636151506541E-3</v>
      </c>
      <c r="W206" s="3"/>
      <c r="X206" s="7">
        <f t="shared" si="42"/>
        <v>2743.2799999999988</v>
      </c>
      <c r="Y206" s="3"/>
      <c r="Z206" s="8">
        <f t="shared" si="43"/>
        <v>4.4738780241665846E-2</v>
      </c>
    </row>
    <row r="207" spans="1:26" s="69" customFormat="1" ht="15" hidden="1" customHeight="1" outlineLevel="2" x14ac:dyDescent="0.25">
      <c r="A207" s="25"/>
      <c r="B207" s="12" t="str">
        <f>CONCATENATE("          ","6372"," - ","COMPUTER HARDWARE MAINTENANCE")</f>
        <v xml:space="preserve">          6372 - COMPUTER HARDWARE MAINTENANCE</v>
      </c>
      <c r="C207" s="12"/>
      <c r="D207" s="7"/>
      <c r="E207" s="3"/>
      <c r="F207" s="8">
        <f t="shared" si="36"/>
        <v>0</v>
      </c>
      <c r="G207" s="3"/>
      <c r="H207" s="7"/>
      <c r="I207" s="3"/>
      <c r="J207" s="8">
        <f t="shared" si="37"/>
        <v>0</v>
      </c>
      <c r="K207" s="3"/>
      <c r="L207" s="7">
        <f t="shared" si="38"/>
        <v>0</v>
      </c>
      <c r="M207" s="3"/>
      <c r="N207" s="8">
        <f t="shared" si="39"/>
        <v>0</v>
      </c>
      <c r="O207" s="12"/>
      <c r="P207" s="7"/>
      <c r="Q207" s="3"/>
      <c r="R207" s="8">
        <f t="shared" si="40"/>
        <v>0</v>
      </c>
      <c r="S207" s="3"/>
      <c r="T207" s="7">
        <v>-1.1499999999999999</v>
      </c>
      <c r="U207" s="3"/>
      <c r="V207" s="8">
        <f t="shared" si="41"/>
        <v>-1.4777756181122276E-7</v>
      </c>
      <c r="W207" s="3"/>
      <c r="X207" s="7">
        <f t="shared" si="42"/>
        <v>1.1499999999999999</v>
      </c>
      <c r="Y207" s="3"/>
      <c r="Z207" s="8">
        <f t="shared" si="43"/>
        <v>-1</v>
      </c>
    </row>
    <row r="208" spans="1:26" s="69" customFormat="1" ht="15" hidden="1" customHeight="1" outlineLevel="2" x14ac:dyDescent="0.25">
      <c r="A208" s="25"/>
      <c r="B208" s="12" t="str">
        <f>CONCATENATE("          ","6373"," - ","MAINTENANCE CONTRACTS")</f>
        <v xml:space="preserve">          6373 - MAINTENANCE CONTRACTS</v>
      </c>
      <c r="C208" s="12"/>
      <c r="D208" s="7">
        <v>1648.79</v>
      </c>
      <c r="E208" s="3"/>
      <c r="F208" s="8">
        <f t="shared" si="36"/>
        <v>1.2966927943827632E-3</v>
      </c>
      <c r="G208" s="3"/>
      <c r="H208" s="7">
        <v>3187.44</v>
      </c>
      <c r="I208" s="3"/>
      <c r="J208" s="8">
        <f t="shared" si="37"/>
        <v>4.8548842822070427E-3</v>
      </c>
      <c r="K208" s="3"/>
      <c r="L208" s="7">
        <f t="shared" si="38"/>
        <v>-1538.65</v>
      </c>
      <c r="M208" s="3"/>
      <c r="N208" s="8">
        <f t="shared" si="39"/>
        <v>-0.48272281203724621</v>
      </c>
      <c r="O208" s="12"/>
      <c r="P208" s="7">
        <v>24020.49</v>
      </c>
      <c r="Q208" s="3"/>
      <c r="R208" s="8">
        <f t="shared" si="40"/>
        <v>2.401156722958279E-3</v>
      </c>
      <c r="S208" s="3"/>
      <c r="T208" s="7">
        <v>49306.02</v>
      </c>
      <c r="U208" s="3"/>
      <c r="V208" s="8">
        <f t="shared" si="41"/>
        <v>6.3359334071438136E-3</v>
      </c>
      <c r="W208" s="3"/>
      <c r="X208" s="7">
        <f t="shared" si="42"/>
        <v>-25285.529999999995</v>
      </c>
      <c r="Y208" s="3"/>
      <c r="Z208" s="8">
        <f t="shared" si="43"/>
        <v>-0.512828453807466</v>
      </c>
    </row>
    <row r="209" spans="1:26" s="69" customFormat="1" ht="15" hidden="1" customHeight="1" outlineLevel="2" x14ac:dyDescent="0.25">
      <c r="A209" s="25"/>
      <c r="B209" s="12" t="str">
        <f>CONCATENATE("          ","6375"," - ","OUTSIDE REPAIRS &amp; MAINTENANCE")</f>
        <v xml:space="preserve">          6375 - OUTSIDE REPAIRS &amp; MAINTENANCE</v>
      </c>
      <c r="C209" s="12"/>
      <c r="D209" s="7">
        <v>3911.14</v>
      </c>
      <c r="E209" s="3"/>
      <c r="F209" s="8">
        <f t="shared" si="36"/>
        <v>3.0759205573919059E-3</v>
      </c>
      <c r="G209" s="3"/>
      <c r="H209" s="7">
        <v>6051.78</v>
      </c>
      <c r="I209" s="3"/>
      <c r="J209" s="8">
        <f t="shared" si="37"/>
        <v>9.2176453835601403E-3</v>
      </c>
      <c r="K209" s="3"/>
      <c r="L209" s="7">
        <f t="shared" si="38"/>
        <v>-2140.64</v>
      </c>
      <c r="M209" s="3"/>
      <c r="N209" s="8">
        <f t="shared" si="39"/>
        <v>-0.35372072348961792</v>
      </c>
      <c r="O209" s="12"/>
      <c r="P209" s="7">
        <v>56038.9</v>
      </c>
      <c r="Q209" s="3"/>
      <c r="R209" s="8">
        <f t="shared" si="40"/>
        <v>5.6018083512112656E-3</v>
      </c>
      <c r="S209" s="3"/>
      <c r="T209" s="7">
        <v>33082.32</v>
      </c>
      <c r="U209" s="3"/>
      <c r="V209" s="8">
        <f t="shared" si="41"/>
        <v>4.2511518162249148E-3</v>
      </c>
      <c r="W209" s="3"/>
      <c r="X209" s="7">
        <f t="shared" si="42"/>
        <v>22956.58</v>
      </c>
      <c r="Y209" s="3"/>
      <c r="Z209" s="8">
        <f t="shared" si="43"/>
        <v>0.69392291713519494</v>
      </c>
    </row>
    <row r="210" spans="1:26" s="68" customFormat="1" ht="15" customHeight="1" outlineLevel="1" collapsed="1" x14ac:dyDescent="0.25">
      <c r="A210" s="26"/>
      <c r="B210" s="14" t="str">
        <f>CONCATENATE("     ","Royalty &amp; Commissions                             ")</f>
        <v xml:space="preserve">     Royalty &amp; Commissions                             </v>
      </c>
      <c r="C210" s="14"/>
      <c r="D210" s="2">
        <f>SUM(OSRRefD22_17x_0)</f>
        <v>3844.9400000000005</v>
      </c>
      <c r="E210" s="2"/>
      <c r="F210" s="6">
        <f t="shared" si="36"/>
        <v>3.0238574911505178E-3</v>
      </c>
      <c r="G210" s="2"/>
      <c r="H210" s="2">
        <f>SUM(OSRRefH22_17x_0)</f>
        <v>393.98</v>
      </c>
      <c r="I210" s="2"/>
      <c r="J210" s="6">
        <f t="shared" si="37"/>
        <v>6.0008260845817668E-4</v>
      </c>
      <c r="K210" s="2"/>
      <c r="L210" s="2">
        <f t="shared" si="38"/>
        <v>3450.9600000000005</v>
      </c>
      <c r="M210" s="2"/>
      <c r="N210" s="6">
        <f t="shared" si="39"/>
        <v>8.7592263566678525</v>
      </c>
      <c r="O210" s="14"/>
      <c r="P210" s="2">
        <f>SUM(OSRRefP22_17x_0)</f>
        <v>85467.47</v>
      </c>
      <c r="Q210" s="2"/>
      <c r="R210" s="6">
        <f t="shared" si="40"/>
        <v>8.543572182946102E-3</v>
      </c>
      <c r="S210" s="2"/>
      <c r="T210" s="2">
        <f>SUM(OSRRefT22_17x_0)</f>
        <v>48786.93</v>
      </c>
      <c r="U210" s="2"/>
      <c r="V210" s="6">
        <f t="shared" si="41"/>
        <v>6.2692291857867821E-3</v>
      </c>
      <c r="W210" s="2"/>
      <c r="X210" s="2">
        <f t="shared" si="42"/>
        <v>36680.54</v>
      </c>
      <c r="Y210" s="2"/>
      <c r="Z210" s="6">
        <f t="shared" si="43"/>
        <v>0.75185177669511072</v>
      </c>
    </row>
    <row r="211" spans="1:26" s="69" customFormat="1" ht="15" hidden="1" customHeight="1" outlineLevel="2" x14ac:dyDescent="0.25">
      <c r="A211" s="25"/>
      <c r="B211" s="12" t="str">
        <f>CONCATENATE("          ","6253"," - ","ROYALTY DUE ATHLETICS-LRG")</f>
        <v xml:space="preserve">          6253 - ROYALTY DUE ATHLETICS-LRG</v>
      </c>
      <c r="C211" s="12"/>
      <c r="D211" s="7">
        <v>-3708.97</v>
      </c>
      <c r="E211" s="3"/>
      <c r="F211" s="8">
        <f t="shared" si="36"/>
        <v>-2.9169237280562334E-3</v>
      </c>
      <c r="G211" s="3"/>
      <c r="H211" s="7"/>
      <c r="I211" s="3"/>
      <c r="J211" s="8">
        <f t="shared" si="37"/>
        <v>0</v>
      </c>
      <c r="K211" s="3"/>
      <c r="L211" s="7">
        <f t="shared" si="38"/>
        <v>-3708.97</v>
      </c>
      <c r="M211" s="3"/>
      <c r="N211" s="8">
        <f t="shared" si="39"/>
        <v>0</v>
      </c>
      <c r="O211" s="12"/>
      <c r="P211" s="7">
        <v>51456.52</v>
      </c>
      <c r="Q211" s="3"/>
      <c r="R211" s="8">
        <f t="shared" si="40"/>
        <v>5.1437405705727531E-3</v>
      </c>
      <c r="S211" s="3"/>
      <c r="T211" s="7">
        <v>35159.06</v>
      </c>
      <c r="U211" s="3"/>
      <c r="V211" s="8">
        <f t="shared" si="41"/>
        <v>4.5180175324995566E-3</v>
      </c>
      <c r="W211" s="3"/>
      <c r="X211" s="7">
        <f t="shared" si="42"/>
        <v>16297.46</v>
      </c>
      <c r="Y211" s="3"/>
      <c r="Z211" s="8">
        <f t="shared" si="43"/>
        <v>0.46353514570639831</v>
      </c>
    </row>
    <row r="212" spans="1:26" s="69" customFormat="1" ht="15" hidden="1" customHeight="1" outlineLevel="2" x14ac:dyDescent="0.25">
      <c r="A212" s="25"/>
      <c r="B212" s="12" t="str">
        <f>CONCATENATE("          ","6254"," - ","ROYALTY &amp; COMMISSIONS")</f>
        <v xml:space="preserve">          6254 - ROYALTY &amp; COMMISSIONS</v>
      </c>
      <c r="C212" s="12"/>
      <c r="D212" s="7">
        <v>6293.1</v>
      </c>
      <c r="E212" s="3"/>
      <c r="F212" s="8">
        <f t="shared" si="36"/>
        <v>4.9492157426538055E-3</v>
      </c>
      <c r="G212" s="3"/>
      <c r="H212" s="7"/>
      <c r="I212" s="3"/>
      <c r="J212" s="8">
        <f t="shared" si="37"/>
        <v>0</v>
      </c>
      <c r="K212" s="3"/>
      <c r="L212" s="7">
        <f t="shared" si="38"/>
        <v>6293.1</v>
      </c>
      <c r="M212" s="3"/>
      <c r="N212" s="8">
        <f t="shared" si="39"/>
        <v>0</v>
      </c>
      <c r="O212" s="12"/>
      <c r="P212" s="7">
        <v>20699.490000000002</v>
      </c>
      <c r="Q212" s="3"/>
      <c r="R212" s="8">
        <f t="shared" si="40"/>
        <v>2.069180086472327E-3</v>
      </c>
      <c r="S212" s="3"/>
      <c r="T212" s="7"/>
      <c r="U212" s="3"/>
      <c r="V212" s="8">
        <f t="shared" si="41"/>
        <v>0</v>
      </c>
      <c r="W212" s="3"/>
      <c r="X212" s="7">
        <f t="shared" si="42"/>
        <v>20699.490000000002</v>
      </c>
      <c r="Y212" s="3"/>
      <c r="Z212" s="8">
        <f t="shared" si="43"/>
        <v>0</v>
      </c>
    </row>
    <row r="213" spans="1:26" s="69" customFormat="1" ht="15" hidden="1" customHeight="1" outlineLevel="2" x14ac:dyDescent="0.25">
      <c r="A213" s="25"/>
      <c r="B213" s="12" t="str">
        <f>CONCATENATE("          ","6259"," - ","ROYALTY &amp; COMMISSIONS")</f>
        <v xml:space="preserve">          6259 - ROYALTY &amp; COMMISSIONS</v>
      </c>
      <c r="C213" s="12"/>
      <c r="D213" s="7">
        <v>1260.81</v>
      </c>
      <c r="E213" s="3"/>
      <c r="F213" s="8">
        <f t="shared" si="36"/>
        <v>9.9156547655294578E-4</v>
      </c>
      <c r="G213" s="3"/>
      <c r="H213" s="7">
        <v>393.98</v>
      </c>
      <c r="I213" s="3"/>
      <c r="J213" s="8">
        <f t="shared" si="37"/>
        <v>6.0008260845817668E-4</v>
      </c>
      <c r="K213" s="3"/>
      <c r="L213" s="7">
        <f t="shared" si="38"/>
        <v>866.82999999999993</v>
      </c>
      <c r="M213" s="3"/>
      <c r="N213" s="8">
        <f t="shared" si="39"/>
        <v>2.200187826793238</v>
      </c>
      <c r="O213" s="12"/>
      <c r="P213" s="7">
        <v>13311.46</v>
      </c>
      <c r="Q213" s="3"/>
      <c r="R213" s="8">
        <f t="shared" si="40"/>
        <v>1.3306515259010206E-3</v>
      </c>
      <c r="S213" s="3"/>
      <c r="T213" s="7">
        <v>13627.87</v>
      </c>
      <c r="U213" s="3"/>
      <c r="V213" s="8">
        <f t="shared" si="41"/>
        <v>1.751211653287225E-3</v>
      </c>
      <c r="W213" s="3"/>
      <c r="X213" s="7">
        <f t="shared" si="42"/>
        <v>-316.41000000000167</v>
      </c>
      <c r="Y213" s="3"/>
      <c r="Z213" s="8">
        <f t="shared" si="43"/>
        <v>-2.3217861632082025E-2</v>
      </c>
    </row>
    <row r="214" spans="1:26" s="68" customFormat="1" ht="15" customHeight="1" outlineLevel="1" collapsed="1" x14ac:dyDescent="0.25">
      <c r="A214" s="26"/>
      <c r="B214" s="14" t="str">
        <f>CONCATENATE("     ","Services                                          ")</f>
        <v xml:space="preserve">     Services                                          </v>
      </c>
      <c r="C214" s="14"/>
      <c r="D214" s="2">
        <f>SUM(OSRRefD22_18x_0)</f>
        <v>5084.1499999999996</v>
      </c>
      <c r="E214" s="2"/>
      <c r="F214" s="6">
        <f t="shared" si="36"/>
        <v>3.9984356228271187E-3</v>
      </c>
      <c r="G214" s="2"/>
      <c r="H214" s="2">
        <f>SUM(OSRRefH22_18x_0)</f>
        <v>4297.32</v>
      </c>
      <c r="I214" s="2"/>
      <c r="J214" s="6">
        <f t="shared" si="37"/>
        <v>6.5453753870234315E-3</v>
      </c>
      <c r="K214" s="2"/>
      <c r="L214" s="2">
        <f t="shared" si="38"/>
        <v>786.82999999999993</v>
      </c>
      <c r="M214" s="2"/>
      <c r="N214" s="6">
        <f t="shared" si="39"/>
        <v>0.18309783772211519</v>
      </c>
      <c r="O214" s="14"/>
      <c r="P214" s="2">
        <f>SUM(OSRRefP22_18x_0)</f>
        <v>61594.909999999996</v>
      </c>
      <c r="Q214" s="2"/>
      <c r="R214" s="6">
        <f t="shared" si="40"/>
        <v>6.1572029649066317E-3</v>
      </c>
      <c r="S214" s="2"/>
      <c r="T214" s="2">
        <f>SUM(OSRRefT22_18x_0)</f>
        <v>44441.3</v>
      </c>
      <c r="U214" s="2"/>
      <c r="V214" s="6">
        <f t="shared" si="41"/>
        <v>5.7108060501922572E-3</v>
      </c>
      <c r="W214" s="2"/>
      <c r="X214" s="2">
        <f t="shared" si="42"/>
        <v>17153.609999999993</v>
      </c>
      <c r="Y214" s="2"/>
      <c r="Z214" s="6">
        <f t="shared" si="43"/>
        <v>0.38598353333498325</v>
      </c>
    </row>
    <row r="215" spans="1:26" s="69" customFormat="1" ht="15" hidden="1" customHeight="1" outlineLevel="2" x14ac:dyDescent="0.25">
      <c r="A215" s="25"/>
      <c r="B215" s="12" t="str">
        <f>CONCATENATE("          ","6282"," - ","JANITORIAL/EXTERMINATOR EXPENS")</f>
        <v xml:space="preserve">          6282 - JANITORIAL/EXTERMINATOR EXPENS</v>
      </c>
      <c r="C215" s="12"/>
      <c r="D215" s="7">
        <v>236.05</v>
      </c>
      <c r="E215" s="3"/>
      <c r="F215" s="8">
        <f t="shared" si="36"/>
        <v>1.8564179435467905E-4</v>
      </c>
      <c r="G215" s="3"/>
      <c r="H215" s="7">
        <v>291</v>
      </c>
      <c r="I215" s="3"/>
      <c r="J215" s="8">
        <f t="shared" si="37"/>
        <v>4.4323071998916038E-4</v>
      </c>
      <c r="K215" s="3"/>
      <c r="L215" s="7">
        <f t="shared" si="38"/>
        <v>-54.949999999999989</v>
      </c>
      <c r="M215" s="3"/>
      <c r="N215" s="8">
        <f t="shared" si="39"/>
        <v>-0.18883161512027488</v>
      </c>
      <c r="O215" s="12"/>
      <c r="P215" s="7">
        <v>3199.33</v>
      </c>
      <c r="Q215" s="3"/>
      <c r="R215" s="8">
        <f t="shared" si="40"/>
        <v>3.1981415610015073E-4</v>
      </c>
      <c r="S215" s="3"/>
      <c r="T215" s="7">
        <v>7697.12</v>
      </c>
      <c r="U215" s="3"/>
      <c r="V215" s="8">
        <f t="shared" si="41"/>
        <v>9.8909706658121665E-4</v>
      </c>
      <c r="W215" s="3"/>
      <c r="X215" s="7">
        <f t="shared" si="42"/>
        <v>-4497.79</v>
      </c>
      <c r="Y215" s="3"/>
      <c r="Z215" s="8">
        <f t="shared" si="43"/>
        <v>-0.58434713243394931</v>
      </c>
    </row>
    <row r="216" spans="1:26" s="69" customFormat="1" ht="15" hidden="1" customHeight="1" outlineLevel="2" x14ac:dyDescent="0.25">
      <c r="A216" s="25"/>
      <c r="B216" s="12" t="str">
        <f>CONCATENATE("          ","6283"," - ","PLANT SERVICE")</f>
        <v xml:space="preserve">          6283 - PLANT SERVICE</v>
      </c>
      <c r="C216" s="12"/>
      <c r="D216" s="7"/>
      <c r="E216" s="3"/>
      <c r="F216" s="8">
        <f t="shared" ref="F216:F240" si="44">IF(D$12=0,0,D216/D$12)</f>
        <v>0</v>
      </c>
      <c r="G216" s="3"/>
      <c r="H216" s="7"/>
      <c r="I216" s="3"/>
      <c r="J216" s="8">
        <f t="shared" ref="J216:J240" si="45">IF(H$12=0,0,H216/H$12)</f>
        <v>0</v>
      </c>
      <c r="K216" s="3"/>
      <c r="L216" s="7">
        <f t="shared" ref="L216:L240" si="46">+D216-H216</f>
        <v>0</v>
      </c>
      <c r="M216" s="3"/>
      <c r="N216" s="8">
        <f t="shared" ref="N216:N240" si="47">IF(H216=0,0,L216/H216)</f>
        <v>0</v>
      </c>
      <c r="O216" s="12"/>
      <c r="P216" s="7"/>
      <c r="Q216" s="3"/>
      <c r="R216" s="8">
        <f t="shared" ref="R216:R240" si="48">IF(P$12=0,0,P216/P$12)</f>
        <v>0</v>
      </c>
      <c r="S216" s="3"/>
      <c r="T216" s="7">
        <v>171.31</v>
      </c>
      <c r="U216" s="3"/>
      <c r="V216" s="8">
        <f t="shared" ref="V216:V240" si="49">IF(T$12=0,0,T216/T$12)</f>
        <v>2.2013716620765716E-5</v>
      </c>
      <c r="W216" s="3"/>
      <c r="X216" s="7">
        <f t="shared" ref="X216:X240" si="50">+P216-T216</f>
        <v>-171.31</v>
      </c>
      <c r="Y216" s="3"/>
      <c r="Z216" s="8">
        <f t="shared" ref="Z216:Z240" si="51">IF(T216=0,0,X216/T216)</f>
        <v>-1</v>
      </c>
    </row>
    <row r="217" spans="1:26" s="69" customFormat="1" ht="15" hidden="1" customHeight="1" outlineLevel="2" x14ac:dyDescent="0.25">
      <c r="A217" s="25"/>
      <c r="B217" s="12" t="str">
        <f>CONCATENATE("          ","6284"," - ","TRASH REMOVAL EXPENSE")</f>
        <v xml:space="preserve">          6284 - TRASH REMOVAL EXPENSE</v>
      </c>
      <c r="C217" s="12"/>
      <c r="D217" s="7">
        <v>149.69999999999999</v>
      </c>
      <c r="E217" s="3"/>
      <c r="F217" s="8">
        <f t="shared" si="44"/>
        <v>1.1773173740688604E-4</v>
      </c>
      <c r="G217" s="3"/>
      <c r="H217" s="7">
        <v>142.57</v>
      </c>
      <c r="I217" s="3"/>
      <c r="J217" s="8">
        <f t="shared" si="45"/>
        <v>2.1715259020224946E-4</v>
      </c>
      <c r="K217" s="3"/>
      <c r="L217" s="7">
        <f t="shared" si="46"/>
        <v>7.1299999999999955</v>
      </c>
      <c r="M217" s="3"/>
      <c r="N217" s="8">
        <f t="shared" si="47"/>
        <v>5.0010521147506461E-2</v>
      </c>
      <c r="O217" s="12"/>
      <c r="P217" s="7">
        <v>1489.87</v>
      </c>
      <c r="Q217" s="3"/>
      <c r="R217" s="8">
        <f t="shared" si="48"/>
        <v>1.4893165654963119E-4</v>
      </c>
      <c r="S217" s="3"/>
      <c r="T217" s="7">
        <v>1583.29</v>
      </c>
      <c r="U217" s="3"/>
      <c r="V217" s="8">
        <f t="shared" si="49"/>
        <v>2.0345629203486165E-4</v>
      </c>
      <c r="W217" s="3"/>
      <c r="X217" s="7">
        <f t="shared" si="50"/>
        <v>-93.420000000000073</v>
      </c>
      <c r="Y217" s="3"/>
      <c r="Z217" s="8">
        <f t="shared" si="51"/>
        <v>-5.9003720101813359E-2</v>
      </c>
    </row>
    <row r="218" spans="1:26" s="69" customFormat="1" ht="15" hidden="1" customHeight="1" outlineLevel="2" x14ac:dyDescent="0.25">
      <c r="A218" s="25"/>
      <c r="B218" s="12" t="str">
        <f>CONCATENATE("          ","6285"," - ","JANITORIAL SERVICES")</f>
        <v xml:space="preserve">          6285 - JANITORIAL SERVICES</v>
      </c>
      <c r="C218" s="12"/>
      <c r="D218" s="7">
        <v>4698.3999999999996</v>
      </c>
      <c r="E218" s="3"/>
      <c r="F218" s="8">
        <f t="shared" si="44"/>
        <v>3.6950620910655534E-3</v>
      </c>
      <c r="G218" s="3"/>
      <c r="H218" s="7">
        <v>3863.75</v>
      </c>
      <c r="I218" s="3"/>
      <c r="J218" s="8">
        <f t="shared" si="45"/>
        <v>5.884992076832022E-3</v>
      </c>
      <c r="K218" s="3"/>
      <c r="L218" s="7">
        <f t="shared" si="46"/>
        <v>834.64999999999964</v>
      </c>
      <c r="M218" s="3"/>
      <c r="N218" s="8">
        <f t="shared" si="47"/>
        <v>0.21602070527337422</v>
      </c>
      <c r="O218" s="12"/>
      <c r="P218" s="7">
        <v>56905.71</v>
      </c>
      <c r="Q218" s="3"/>
      <c r="R218" s="8">
        <f t="shared" si="48"/>
        <v>5.6884571522568504E-3</v>
      </c>
      <c r="S218" s="3"/>
      <c r="T218" s="7">
        <v>34989.58</v>
      </c>
      <c r="U218" s="3"/>
      <c r="V218" s="8">
        <f t="shared" si="49"/>
        <v>4.4962389749554129E-3</v>
      </c>
      <c r="W218" s="3"/>
      <c r="X218" s="7">
        <f t="shared" si="50"/>
        <v>21916.129999999997</v>
      </c>
      <c r="Y218" s="3"/>
      <c r="Z218" s="8">
        <f t="shared" si="51"/>
        <v>0.62636161965933845</v>
      </c>
    </row>
    <row r="219" spans="1:26" s="68" customFormat="1" ht="15" customHeight="1" outlineLevel="1" collapsed="1" x14ac:dyDescent="0.25">
      <c r="A219" s="26"/>
      <c r="B219" s="14" t="str">
        <f>CONCATENATE("     ","Subscriptions &amp; Dues                              ")</f>
        <v xml:space="preserve">     Subscriptions &amp; Dues                              </v>
      </c>
      <c r="C219" s="14"/>
      <c r="D219" s="2">
        <f>SUM(OSRRefD22_19x_0)</f>
        <v>2287.59</v>
      </c>
      <c r="E219" s="2"/>
      <c r="F219" s="6">
        <f t="shared" si="44"/>
        <v>1.7990777900776117E-3</v>
      </c>
      <c r="G219" s="2"/>
      <c r="H219" s="2">
        <f>SUM(OSRRefH22_19x_0)</f>
        <v>611.22</v>
      </c>
      <c r="I219" s="2"/>
      <c r="J219" s="6">
        <f t="shared" si="45"/>
        <v>9.3096728753187157E-4</v>
      </c>
      <c r="K219" s="2"/>
      <c r="L219" s="2">
        <f t="shared" si="46"/>
        <v>1676.3700000000001</v>
      </c>
      <c r="M219" s="2"/>
      <c r="N219" s="6">
        <f t="shared" si="47"/>
        <v>2.7426622165505057</v>
      </c>
      <c r="O219" s="14"/>
      <c r="P219" s="2">
        <f>SUM(OSRRefP22_19x_0)</f>
        <v>7183.53</v>
      </c>
      <c r="Q219" s="2"/>
      <c r="R219" s="6">
        <f t="shared" si="48"/>
        <v>7.1808615702978929E-4</v>
      </c>
      <c r="S219" s="2"/>
      <c r="T219" s="2">
        <f>SUM(OSRRefT22_19x_0)</f>
        <v>7431.3499999999995</v>
      </c>
      <c r="U219" s="2"/>
      <c r="V219" s="6">
        <f t="shared" si="49"/>
        <v>9.5494502953550459E-4</v>
      </c>
      <c r="W219" s="2"/>
      <c r="X219" s="2">
        <f t="shared" si="50"/>
        <v>-247.81999999999971</v>
      </c>
      <c r="Y219" s="2"/>
      <c r="Z219" s="6">
        <f t="shared" si="51"/>
        <v>-3.3347911213978579E-2</v>
      </c>
    </row>
    <row r="220" spans="1:26" s="69" customFormat="1" ht="15" hidden="1" customHeight="1" outlineLevel="2" x14ac:dyDescent="0.25">
      <c r="A220" s="25"/>
      <c r="B220" s="12" t="str">
        <f>CONCATENATE("          ","6258"," - ","MEMBERSHIP DUES")</f>
        <v xml:space="preserve">          6258 - MEMBERSHIP DUES</v>
      </c>
      <c r="C220" s="12"/>
      <c r="D220" s="7">
        <v>843.84</v>
      </c>
      <c r="E220" s="3"/>
      <c r="F220" s="8">
        <f t="shared" si="44"/>
        <v>6.6363893983584991E-4</v>
      </c>
      <c r="G220" s="3"/>
      <c r="H220" s="7">
        <v>611.22</v>
      </c>
      <c r="I220" s="3"/>
      <c r="J220" s="8">
        <f t="shared" si="45"/>
        <v>9.3096728753187157E-4</v>
      </c>
      <c r="K220" s="3"/>
      <c r="L220" s="7">
        <f t="shared" si="46"/>
        <v>232.62</v>
      </c>
      <c r="M220" s="3"/>
      <c r="N220" s="8">
        <f t="shared" si="47"/>
        <v>0.38058309610287622</v>
      </c>
      <c r="O220" s="12"/>
      <c r="P220" s="7">
        <v>3832.14</v>
      </c>
      <c r="Q220" s="3"/>
      <c r="R220" s="8">
        <f t="shared" si="48"/>
        <v>3.8307164942585843E-4</v>
      </c>
      <c r="S220" s="3"/>
      <c r="T220" s="7">
        <v>3046.45</v>
      </c>
      <c r="U220" s="3"/>
      <c r="V220" s="8">
        <f t="shared" si="49"/>
        <v>3.914756114606953E-4</v>
      </c>
      <c r="W220" s="3"/>
      <c r="X220" s="7">
        <f t="shared" si="50"/>
        <v>785.69</v>
      </c>
      <c r="Y220" s="3"/>
      <c r="Z220" s="8">
        <f t="shared" si="51"/>
        <v>0.2579034614058987</v>
      </c>
    </row>
    <row r="221" spans="1:26" s="69" customFormat="1" ht="15" hidden="1" customHeight="1" outlineLevel="2" x14ac:dyDescent="0.25">
      <c r="A221" s="25"/>
      <c r="B221" s="12" t="str">
        <f>CONCATENATE("          ","6275"," - ","SUBSCRIPTIONS")</f>
        <v xml:space="preserve">          6275 - SUBSCRIPTIONS</v>
      </c>
      <c r="C221" s="12"/>
      <c r="D221" s="7">
        <v>1443.75</v>
      </c>
      <c r="E221" s="3"/>
      <c r="F221" s="8">
        <f t="shared" si="44"/>
        <v>1.1354388502417617E-3</v>
      </c>
      <c r="G221" s="3"/>
      <c r="H221" s="7"/>
      <c r="I221" s="3"/>
      <c r="J221" s="8">
        <f t="shared" si="45"/>
        <v>0</v>
      </c>
      <c r="K221" s="3"/>
      <c r="L221" s="7">
        <f t="shared" si="46"/>
        <v>1443.75</v>
      </c>
      <c r="M221" s="3"/>
      <c r="N221" s="8">
        <f t="shared" si="47"/>
        <v>0</v>
      </c>
      <c r="O221" s="12"/>
      <c r="P221" s="7">
        <v>3351.39</v>
      </c>
      <c r="Q221" s="3"/>
      <c r="R221" s="8">
        <f t="shared" si="48"/>
        <v>3.3501450760393085E-4</v>
      </c>
      <c r="S221" s="3"/>
      <c r="T221" s="7">
        <v>4384.8999999999996</v>
      </c>
      <c r="U221" s="3"/>
      <c r="V221" s="8">
        <f t="shared" si="49"/>
        <v>5.6346941807480929E-4</v>
      </c>
      <c r="W221" s="3"/>
      <c r="X221" s="7">
        <f t="shared" si="50"/>
        <v>-1033.5099999999998</v>
      </c>
      <c r="Y221" s="3"/>
      <c r="Z221" s="8">
        <f t="shared" si="51"/>
        <v>-0.2356975073547857</v>
      </c>
    </row>
    <row r="222" spans="1:26" s="68" customFormat="1" ht="15" customHeight="1" outlineLevel="1" collapsed="1" x14ac:dyDescent="0.25">
      <c r="A222" s="26"/>
      <c r="B222" s="14" t="str">
        <f>CONCATENATE("     ","Supplies                                          ")</f>
        <v xml:space="preserve">     Supplies                                          </v>
      </c>
      <c r="C222" s="14"/>
      <c r="D222" s="2">
        <f>SUM(OSRRefD22_20x_0)</f>
        <v>18444.620000000003</v>
      </c>
      <c r="E222" s="2"/>
      <c r="F222" s="6">
        <f t="shared" si="44"/>
        <v>1.4505792641348022E-2</v>
      </c>
      <c r="G222" s="2"/>
      <c r="H222" s="2">
        <f>SUM(OSRRefH22_20x_0)</f>
        <v>10402.73</v>
      </c>
      <c r="I222" s="2"/>
      <c r="J222" s="6">
        <f t="shared" si="45"/>
        <v>1.5844706212209066E-2</v>
      </c>
      <c r="K222" s="2"/>
      <c r="L222" s="2">
        <f t="shared" si="46"/>
        <v>8041.8900000000031</v>
      </c>
      <c r="M222" s="2"/>
      <c r="N222" s="6">
        <f t="shared" si="47"/>
        <v>0.77305572671789069</v>
      </c>
      <c r="O222" s="14"/>
      <c r="P222" s="2">
        <f>SUM(OSRRefP22_20x_0)</f>
        <v>121189.04000000001</v>
      </c>
      <c r="Q222" s="2"/>
      <c r="R222" s="6">
        <f t="shared" si="48"/>
        <v>1.2114402251780034E-2</v>
      </c>
      <c r="S222" s="2"/>
      <c r="T222" s="2">
        <f>SUM(OSRRefT22_20x_0)</f>
        <v>125931.07</v>
      </c>
      <c r="U222" s="2"/>
      <c r="V222" s="6">
        <f t="shared" si="49"/>
        <v>1.6182423026850804E-2</v>
      </c>
      <c r="W222" s="2"/>
      <c r="X222" s="2">
        <f t="shared" si="50"/>
        <v>-4742.0299999999988</v>
      </c>
      <c r="Y222" s="2"/>
      <c r="Z222" s="6">
        <f t="shared" si="51"/>
        <v>-3.7655758821075677E-2</v>
      </c>
    </row>
    <row r="223" spans="1:26" s="69" customFormat="1" ht="15" hidden="1" customHeight="1" outlineLevel="2" x14ac:dyDescent="0.25">
      <c r="A223" s="25"/>
      <c r="B223" s="12" t="str">
        <f>CONCATENATE("          ","6234"," - ","EXPENDABLE SUPPLIES &amp; EQUIPMEN")</f>
        <v xml:space="preserve">          6234 - EXPENDABLE SUPPLIES &amp; EQUIPMEN</v>
      </c>
      <c r="C223" s="12"/>
      <c r="D223" s="7"/>
      <c r="E223" s="3"/>
      <c r="F223" s="8">
        <f t="shared" si="44"/>
        <v>0</v>
      </c>
      <c r="G223" s="3"/>
      <c r="H223" s="7"/>
      <c r="I223" s="3"/>
      <c r="J223" s="8">
        <f t="shared" si="45"/>
        <v>0</v>
      </c>
      <c r="K223" s="3"/>
      <c r="L223" s="7">
        <f t="shared" si="46"/>
        <v>0</v>
      </c>
      <c r="M223" s="3"/>
      <c r="N223" s="8">
        <f t="shared" si="47"/>
        <v>0</v>
      </c>
      <c r="O223" s="12"/>
      <c r="P223" s="7">
        <v>10282.879999999999</v>
      </c>
      <c r="Q223" s="3"/>
      <c r="R223" s="8">
        <f t="shared" si="48"/>
        <v>1.0279060270366352E-3</v>
      </c>
      <c r="S223" s="3"/>
      <c r="T223" s="7">
        <v>1733.65</v>
      </c>
      <c r="U223" s="3"/>
      <c r="V223" s="8">
        <f t="shared" si="49"/>
        <v>2.227778869861099E-4</v>
      </c>
      <c r="W223" s="3"/>
      <c r="X223" s="7">
        <f t="shared" si="50"/>
        <v>8549.23</v>
      </c>
      <c r="Y223" s="3"/>
      <c r="Z223" s="8">
        <f t="shared" si="51"/>
        <v>4.9313471577307988</v>
      </c>
    </row>
    <row r="224" spans="1:26" s="69" customFormat="1" ht="15" hidden="1" customHeight="1" outlineLevel="2" x14ac:dyDescent="0.25">
      <c r="A224" s="25"/>
      <c r="B224" s="12" t="str">
        <f>CONCATENATE("          ","6235"," - ","COVID-19 EXPENSES")</f>
        <v xml:space="preserve">          6235 - COVID-19 EXPENSES</v>
      </c>
      <c r="C224" s="12"/>
      <c r="D224" s="7">
        <v>156</v>
      </c>
      <c r="E224" s="3"/>
      <c r="F224" s="8">
        <f t="shared" si="44"/>
        <v>1.2268637966248645E-4</v>
      </c>
      <c r="G224" s="3"/>
      <c r="H224" s="7">
        <v>2928.27</v>
      </c>
      <c r="I224" s="3"/>
      <c r="J224" s="8">
        <f t="shared" si="45"/>
        <v>4.4601347780847374E-3</v>
      </c>
      <c r="K224" s="3"/>
      <c r="L224" s="7">
        <f t="shared" si="46"/>
        <v>-2772.27</v>
      </c>
      <c r="M224" s="3"/>
      <c r="N224" s="8">
        <f t="shared" si="47"/>
        <v>-0.94672622401622797</v>
      </c>
      <c r="O224" s="12"/>
      <c r="P224" s="7">
        <v>3586.32</v>
      </c>
      <c r="Q224" s="3"/>
      <c r="R224" s="8">
        <f t="shared" si="48"/>
        <v>3.5849878077756674E-4</v>
      </c>
      <c r="S224" s="3"/>
      <c r="T224" s="7">
        <v>44666.18</v>
      </c>
      <c r="U224" s="3"/>
      <c r="V224" s="8">
        <f t="shared" si="49"/>
        <v>5.7397036311488724E-3</v>
      </c>
      <c r="W224" s="3"/>
      <c r="X224" s="7">
        <f t="shared" si="50"/>
        <v>-41079.86</v>
      </c>
      <c r="Y224" s="3"/>
      <c r="Z224" s="8">
        <f t="shared" si="51"/>
        <v>-0.91970837891218815</v>
      </c>
    </row>
    <row r="225" spans="1:26" s="69" customFormat="1" ht="15" hidden="1" customHeight="1" outlineLevel="2" x14ac:dyDescent="0.25">
      <c r="A225" s="25"/>
      <c r="B225" s="12" t="str">
        <f>CONCATENATE("          ","6237"," - ","JANITORIAL SUPPLIES")</f>
        <v xml:space="preserve">          6237 - JANITORIAL SUPPLIES</v>
      </c>
      <c r="C225" s="12"/>
      <c r="D225" s="7">
        <v>452.35</v>
      </c>
      <c r="E225" s="3"/>
      <c r="F225" s="8">
        <f t="shared" si="44"/>
        <v>3.5575117846362665E-4</v>
      </c>
      <c r="G225" s="3"/>
      <c r="H225" s="7">
        <v>390.73</v>
      </c>
      <c r="I225" s="3"/>
      <c r="J225" s="8">
        <f t="shared" si="45"/>
        <v>5.9513243718682012E-4</v>
      </c>
      <c r="K225" s="3"/>
      <c r="L225" s="7">
        <f t="shared" si="46"/>
        <v>61.620000000000005</v>
      </c>
      <c r="M225" s="3"/>
      <c r="N225" s="8">
        <f t="shared" si="47"/>
        <v>0.15770480894735495</v>
      </c>
      <c r="O225" s="12"/>
      <c r="P225" s="7">
        <v>6648.25</v>
      </c>
      <c r="Q225" s="3"/>
      <c r="R225" s="8">
        <f t="shared" si="48"/>
        <v>6.6457804080630233E-4</v>
      </c>
      <c r="S225" s="3"/>
      <c r="T225" s="7">
        <v>3880.28</v>
      </c>
      <c r="U225" s="3"/>
      <c r="V225" s="8">
        <f t="shared" si="49"/>
        <v>4.9862462395204479E-4</v>
      </c>
      <c r="W225" s="3"/>
      <c r="X225" s="7">
        <f t="shared" si="50"/>
        <v>2767.97</v>
      </c>
      <c r="Y225" s="3"/>
      <c r="Z225" s="8">
        <f t="shared" si="51"/>
        <v>0.71334285154679555</v>
      </c>
    </row>
    <row r="226" spans="1:26" s="69" customFormat="1" ht="15" hidden="1" customHeight="1" outlineLevel="2" x14ac:dyDescent="0.25">
      <c r="A226" s="25"/>
      <c r="B226" s="12" t="str">
        <f>CONCATENATE("          ","6241"," - ","OFFICE EXPENSE")</f>
        <v xml:space="preserve">          6241 - OFFICE EXPENSE</v>
      </c>
      <c r="C226" s="12"/>
      <c r="D226" s="7">
        <v>828.66</v>
      </c>
      <c r="E226" s="3"/>
      <c r="F226" s="8">
        <f t="shared" si="44"/>
        <v>6.5170061135330789E-4</v>
      </c>
      <c r="G226" s="3"/>
      <c r="H226" s="7">
        <v>338.38</v>
      </c>
      <c r="I226" s="3"/>
      <c r="J226" s="8">
        <f t="shared" si="45"/>
        <v>5.1539660147742982E-4</v>
      </c>
      <c r="K226" s="3"/>
      <c r="L226" s="7">
        <f t="shared" si="46"/>
        <v>490.28</v>
      </c>
      <c r="M226" s="3"/>
      <c r="N226" s="8">
        <f t="shared" si="47"/>
        <v>1.4489035995035167</v>
      </c>
      <c r="O226" s="12"/>
      <c r="P226" s="7">
        <v>19855.45</v>
      </c>
      <c r="Q226" s="3"/>
      <c r="R226" s="8">
        <f t="shared" si="48"/>
        <v>1.9848074396010221E-3</v>
      </c>
      <c r="S226" s="3"/>
      <c r="T226" s="7">
        <v>12636.13</v>
      </c>
      <c r="U226" s="3"/>
      <c r="V226" s="8">
        <f t="shared" si="49"/>
        <v>1.6237708540257794E-3</v>
      </c>
      <c r="W226" s="3"/>
      <c r="X226" s="7">
        <f t="shared" si="50"/>
        <v>7219.3200000000015</v>
      </c>
      <c r="Y226" s="3"/>
      <c r="Z226" s="8">
        <f t="shared" si="51"/>
        <v>0.57132365684746844</v>
      </c>
    </row>
    <row r="227" spans="1:26" s="69" customFormat="1" ht="15" hidden="1" customHeight="1" outlineLevel="2" x14ac:dyDescent="0.25">
      <c r="A227" s="25"/>
      <c r="B227" s="12" t="str">
        <f>CONCATENATE("          ","6243"," - ","PAPER SUPPLIES")</f>
        <v xml:space="preserve">          6243 - PAPER SUPPLIES</v>
      </c>
      <c r="C227" s="12"/>
      <c r="D227" s="7">
        <v>2845.58</v>
      </c>
      <c r="E227" s="3"/>
      <c r="F227" s="8">
        <f t="shared" si="44"/>
        <v>2.2379096682049885E-3</v>
      </c>
      <c r="G227" s="3"/>
      <c r="H227" s="7"/>
      <c r="I227" s="3"/>
      <c r="J227" s="8">
        <f t="shared" si="45"/>
        <v>0</v>
      </c>
      <c r="K227" s="3"/>
      <c r="L227" s="7">
        <f t="shared" si="46"/>
        <v>2845.58</v>
      </c>
      <c r="M227" s="3"/>
      <c r="N227" s="8">
        <f t="shared" si="47"/>
        <v>0</v>
      </c>
      <c r="O227" s="12"/>
      <c r="P227" s="7">
        <v>10090.94</v>
      </c>
      <c r="Q227" s="3"/>
      <c r="R227" s="8">
        <f t="shared" si="48"/>
        <v>1.0087191569351256E-3</v>
      </c>
      <c r="S227" s="3"/>
      <c r="T227" s="7">
        <v>6682.58</v>
      </c>
      <c r="U227" s="3"/>
      <c r="V227" s="8">
        <f t="shared" si="49"/>
        <v>8.5872641652907922E-4</v>
      </c>
      <c r="W227" s="3"/>
      <c r="X227" s="7">
        <f t="shared" si="50"/>
        <v>3408.3600000000006</v>
      </c>
      <c r="Y227" s="3"/>
      <c r="Z227" s="8">
        <f t="shared" si="51"/>
        <v>0.5100365427724024</v>
      </c>
    </row>
    <row r="228" spans="1:26" s="69" customFormat="1" ht="15" hidden="1" customHeight="1" outlineLevel="2" x14ac:dyDescent="0.25">
      <c r="A228" s="25"/>
      <c r="B228" s="12" t="str">
        <f>CONCATENATE("          ","6245"," - ","PRINTING")</f>
        <v xml:space="preserve">          6245 - PRINTING</v>
      </c>
      <c r="C228" s="12"/>
      <c r="D228" s="7">
        <v>4762.72</v>
      </c>
      <c r="E228" s="3"/>
      <c r="F228" s="8">
        <f t="shared" si="44"/>
        <v>3.7456466291417791E-3</v>
      </c>
      <c r="G228" s="3"/>
      <c r="H228" s="7">
        <v>5963.79</v>
      </c>
      <c r="I228" s="3"/>
      <c r="J228" s="8">
        <f t="shared" si="45"/>
        <v>9.0836252081242432E-3</v>
      </c>
      <c r="K228" s="3"/>
      <c r="L228" s="7">
        <f t="shared" si="46"/>
        <v>-1201.0699999999997</v>
      </c>
      <c r="M228" s="3"/>
      <c r="N228" s="8">
        <f t="shared" si="47"/>
        <v>-0.20139374458188497</v>
      </c>
      <c r="O228" s="12"/>
      <c r="P228" s="7">
        <v>11703.4</v>
      </c>
      <c r="Q228" s="3"/>
      <c r="R228" s="8">
        <f t="shared" si="48"/>
        <v>1.1699052596957813E-3</v>
      </c>
      <c r="S228" s="3"/>
      <c r="T228" s="7">
        <v>9084.3799999999992</v>
      </c>
      <c r="U228" s="3"/>
      <c r="V228" s="8">
        <f t="shared" si="49"/>
        <v>1.1673630669275094E-3</v>
      </c>
      <c r="W228" s="3"/>
      <c r="X228" s="7">
        <f t="shared" si="50"/>
        <v>2619.0200000000004</v>
      </c>
      <c r="Y228" s="3"/>
      <c r="Z228" s="8">
        <f t="shared" si="51"/>
        <v>0.28829925652603705</v>
      </c>
    </row>
    <row r="229" spans="1:26" s="69" customFormat="1" ht="15" hidden="1" customHeight="1" outlineLevel="2" x14ac:dyDescent="0.25">
      <c r="A229" s="25"/>
      <c r="B229" s="12" t="str">
        <f>CONCATENATE("          ","6247"," - ","STORE SUPPLIES")</f>
        <v xml:space="preserve">          6247 - STORE SUPPLIES</v>
      </c>
      <c r="C229" s="12"/>
      <c r="D229" s="7">
        <v>9399.31</v>
      </c>
      <c r="E229" s="3"/>
      <c r="F229" s="8">
        <f t="shared" si="44"/>
        <v>7.3920981745218307E-3</v>
      </c>
      <c r="G229" s="3"/>
      <c r="H229" s="7">
        <v>781.56</v>
      </c>
      <c r="I229" s="3"/>
      <c r="J229" s="8">
        <f t="shared" si="45"/>
        <v>1.1904171873358357E-3</v>
      </c>
      <c r="K229" s="3"/>
      <c r="L229" s="7">
        <f t="shared" si="46"/>
        <v>8617.75</v>
      </c>
      <c r="M229" s="3"/>
      <c r="N229" s="8">
        <f t="shared" si="47"/>
        <v>11.026344746404627</v>
      </c>
      <c r="O229" s="12"/>
      <c r="P229" s="7">
        <v>59021.8</v>
      </c>
      <c r="Q229" s="3"/>
      <c r="R229" s="8">
        <f t="shared" si="48"/>
        <v>5.8999875469275993E-3</v>
      </c>
      <c r="S229" s="3"/>
      <c r="T229" s="7">
        <v>47247.87</v>
      </c>
      <c r="U229" s="3"/>
      <c r="V229" s="8">
        <f t="shared" si="49"/>
        <v>6.0714565472814079E-3</v>
      </c>
      <c r="W229" s="3"/>
      <c r="X229" s="7">
        <f t="shared" si="50"/>
        <v>11773.93</v>
      </c>
      <c r="Y229" s="3"/>
      <c r="Z229" s="8">
        <f t="shared" si="51"/>
        <v>0.24919493725325606</v>
      </c>
    </row>
    <row r="230" spans="1:26" s="68" customFormat="1" ht="15" customHeight="1" outlineLevel="1" collapsed="1" x14ac:dyDescent="0.25">
      <c r="A230" s="26"/>
      <c r="B230" s="14" t="str">
        <f>CONCATENATE("     ","Telephone/Data Lines                              ")</f>
        <v xml:space="preserve">     Telephone/Data Lines                              </v>
      </c>
      <c r="C230" s="14"/>
      <c r="D230" s="2">
        <f>SUM(OSRRefD22_21x_0)</f>
        <v>1750.64</v>
      </c>
      <c r="E230" s="2"/>
      <c r="F230" s="6">
        <f t="shared" si="44"/>
        <v>1.3767928441816367E-3</v>
      </c>
      <c r="G230" s="2"/>
      <c r="H230" s="2">
        <f>SUM(OSRRefH22_21x_0)</f>
        <v>2234.5500000000002</v>
      </c>
      <c r="I230" s="2"/>
      <c r="J230" s="6">
        <f t="shared" si="45"/>
        <v>3.4035092967415067E-3</v>
      </c>
      <c r="K230" s="2"/>
      <c r="L230" s="2">
        <f t="shared" si="46"/>
        <v>-483.91000000000008</v>
      </c>
      <c r="M230" s="2"/>
      <c r="N230" s="6">
        <f t="shared" si="47"/>
        <v>-0.21655814369783627</v>
      </c>
      <c r="O230" s="14"/>
      <c r="P230" s="2">
        <f>SUM(OSRRefP22_21x_0)</f>
        <v>22163.71</v>
      </c>
      <c r="Q230" s="2"/>
      <c r="R230" s="6">
        <f t="shared" si="48"/>
        <v>2.2155476958295867E-3</v>
      </c>
      <c r="S230" s="2"/>
      <c r="T230" s="2">
        <f>SUM(OSRRefT22_21x_0)</f>
        <v>26943.53</v>
      </c>
      <c r="U230" s="2"/>
      <c r="V230" s="6">
        <f t="shared" si="49"/>
        <v>3.4623036260761175E-3</v>
      </c>
      <c r="W230" s="2"/>
      <c r="X230" s="2">
        <f t="shared" si="50"/>
        <v>-4779.82</v>
      </c>
      <c r="Y230" s="2"/>
      <c r="Z230" s="6">
        <f t="shared" si="51"/>
        <v>-0.17740140211768837</v>
      </c>
    </row>
    <row r="231" spans="1:26" s="69" customFormat="1" ht="15" hidden="1" customHeight="1" outlineLevel="2" x14ac:dyDescent="0.25">
      <c r="A231" s="25"/>
      <c r="B231" s="12" t="str">
        <f>CONCATENATE("          ","6303"," - ","DATA PHONE LINES")</f>
        <v xml:space="preserve">          6303 - DATA PHONE LINES</v>
      </c>
      <c r="C231" s="12"/>
      <c r="D231" s="7"/>
      <c r="E231" s="3"/>
      <c r="F231" s="8">
        <f t="shared" si="44"/>
        <v>0</v>
      </c>
      <c r="G231" s="3"/>
      <c r="H231" s="7"/>
      <c r="I231" s="3"/>
      <c r="J231" s="8">
        <f t="shared" si="45"/>
        <v>0</v>
      </c>
      <c r="K231" s="3"/>
      <c r="L231" s="7">
        <f t="shared" si="46"/>
        <v>0</v>
      </c>
      <c r="M231" s="3"/>
      <c r="N231" s="8">
        <f t="shared" si="47"/>
        <v>0</v>
      </c>
      <c r="O231" s="12"/>
      <c r="P231" s="7">
        <v>295</v>
      </c>
      <c r="Q231" s="3"/>
      <c r="R231" s="8">
        <f t="shared" si="48"/>
        <v>2.9489041783606087E-5</v>
      </c>
      <c r="S231" s="3"/>
      <c r="T231" s="7">
        <v>3540</v>
      </c>
      <c r="U231" s="3"/>
      <c r="V231" s="8">
        <f t="shared" si="49"/>
        <v>4.5489788592324232E-4</v>
      </c>
      <c r="W231" s="3"/>
      <c r="X231" s="7">
        <f t="shared" si="50"/>
        <v>-3245</v>
      </c>
      <c r="Y231" s="3"/>
      <c r="Z231" s="8">
        <f t="shared" si="51"/>
        <v>-0.91666666666666663</v>
      </c>
    </row>
    <row r="232" spans="1:26" s="69" customFormat="1" ht="15" hidden="1" customHeight="1" outlineLevel="2" x14ac:dyDescent="0.25">
      <c r="A232" s="25"/>
      <c r="B232" s="12" t="str">
        <f>CONCATENATE("          ","6309"," - ","TELEPHONE")</f>
        <v xml:space="preserve">          6309 - TELEPHONE</v>
      </c>
      <c r="C232" s="12"/>
      <c r="D232" s="7">
        <v>1750.64</v>
      </c>
      <c r="E232" s="3"/>
      <c r="F232" s="8">
        <f t="shared" si="44"/>
        <v>1.3767928441816367E-3</v>
      </c>
      <c r="G232" s="3"/>
      <c r="H232" s="7">
        <v>2234.5500000000002</v>
      </c>
      <c r="I232" s="3"/>
      <c r="J232" s="8">
        <f t="shared" si="45"/>
        <v>3.4035092967415067E-3</v>
      </c>
      <c r="K232" s="3"/>
      <c r="L232" s="7">
        <f t="shared" si="46"/>
        <v>-483.91000000000008</v>
      </c>
      <c r="M232" s="3"/>
      <c r="N232" s="8">
        <f t="shared" si="47"/>
        <v>-0.21655814369783627</v>
      </c>
      <c r="O232" s="12"/>
      <c r="P232" s="7">
        <v>21868.71</v>
      </c>
      <c r="Q232" s="3"/>
      <c r="R232" s="8">
        <f t="shared" si="48"/>
        <v>2.1860586540459804E-3</v>
      </c>
      <c r="S232" s="3"/>
      <c r="T232" s="7">
        <v>23403.53</v>
      </c>
      <c r="U232" s="3"/>
      <c r="V232" s="8">
        <f t="shared" si="49"/>
        <v>3.0074057401528751E-3</v>
      </c>
      <c r="W232" s="3"/>
      <c r="X232" s="7">
        <f t="shared" si="50"/>
        <v>-1534.8199999999997</v>
      </c>
      <c r="Y232" s="3"/>
      <c r="Z232" s="8">
        <f t="shared" si="51"/>
        <v>-6.5580705132943617E-2</v>
      </c>
    </row>
    <row r="233" spans="1:26" s="68" customFormat="1" ht="15" customHeight="1" outlineLevel="1" collapsed="1" x14ac:dyDescent="0.25">
      <c r="A233" s="26"/>
      <c r="B233" s="14" t="str">
        <f>CONCATENATE("     ","Training                                          ")</f>
        <v xml:space="preserve">     Training                                          </v>
      </c>
      <c r="C233" s="14"/>
      <c r="D233" s="2">
        <f>SUM(OSRRefD22_22x_0)</f>
        <v>5700</v>
      </c>
      <c r="E233" s="2"/>
      <c r="F233" s="6">
        <f t="shared" si="44"/>
        <v>4.4827715645908515E-3</v>
      </c>
      <c r="G233" s="2"/>
      <c r="H233" s="2">
        <f>SUM(OSRRefH22_22x_0)</f>
        <v>0</v>
      </c>
      <c r="I233" s="2"/>
      <c r="J233" s="6">
        <f t="shared" si="45"/>
        <v>0</v>
      </c>
      <c r="K233" s="2"/>
      <c r="L233" s="2">
        <f t="shared" si="46"/>
        <v>5700</v>
      </c>
      <c r="M233" s="2"/>
      <c r="N233" s="6">
        <f t="shared" si="47"/>
        <v>0</v>
      </c>
      <c r="O233" s="14"/>
      <c r="P233" s="2">
        <f>SUM(OSRRefP22_22x_0)</f>
        <v>6919</v>
      </c>
      <c r="Q233" s="2"/>
      <c r="R233" s="6">
        <f t="shared" si="48"/>
        <v>6.9164298339244247E-4</v>
      </c>
      <c r="S233" s="2"/>
      <c r="T233" s="2">
        <f>SUM(OSRRefT22_22x_0)</f>
        <v>995.63</v>
      </c>
      <c r="U233" s="2"/>
      <c r="V233" s="6">
        <f t="shared" si="49"/>
        <v>1.2794067292705021E-4</v>
      </c>
      <c r="W233" s="2"/>
      <c r="X233" s="2">
        <f t="shared" si="50"/>
        <v>5923.37</v>
      </c>
      <c r="Y233" s="2"/>
      <c r="Z233" s="6">
        <f t="shared" si="51"/>
        <v>5.9493687413999172</v>
      </c>
    </row>
    <row r="234" spans="1:26" s="69" customFormat="1" ht="15" hidden="1" customHeight="1" outlineLevel="2" x14ac:dyDescent="0.25">
      <c r="A234" s="25"/>
      <c r="B234" s="12" t="str">
        <f>CONCATENATE("          ","6376"," - ","TRAINING")</f>
        <v xml:space="preserve">          6376 - TRAINING</v>
      </c>
      <c r="C234" s="12"/>
      <c r="D234" s="7">
        <v>5700</v>
      </c>
      <c r="E234" s="3"/>
      <c r="F234" s="8">
        <f t="shared" si="44"/>
        <v>4.4827715645908515E-3</v>
      </c>
      <c r="G234" s="3"/>
      <c r="H234" s="7"/>
      <c r="I234" s="3"/>
      <c r="J234" s="8">
        <f t="shared" si="45"/>
        <v>0</v>
      </c>
      <c r="K234" s="3"/>
      <c r="L234" s="7">
        <f t="shared" si="46"/>
        <v>5700</v>
      </c>
      <c r="M234" s="3"/>
      <c r="N234" s="8">
        <f t="shared" si="47"/>
        <v>0</v>
      </c>
      <c r="O234" s="12"/>
      <c r="P234" s="7">
        <v>6919</v>
      </c>
      <c r="Q234" s="3"/>
      <c r="R234" s="8">
        <f t="shared" si="48"/>
        <v>6.9164298339244247E-4</v>
      </c>
      <c r="S234" s="3"/>
      <c r="T234" s="7">
        <v>995.63</v>
      </c>
      <c r="U234" s="3"/>
      <c r="V234" s="8">
        <f t="shared" si="49"/>
        <v>1.2794067292705021E-4</v>
      </c>
      <c r="W234" s="3"/>
      <c r="X234" s="7">
        <f t="shared" si="50"/>
        <v>5923.37</v>
      </c>
      <c r="Y234" s="3"/>
      <c r="Z234" s="8">
        <f t="shared" si="51"/>
        <v>5.9493687413999172</v>
      </c>
    </row>
    <row r="235" spans="1:26" s="68" customFormat="1" ht="15" customHeight="1" outlineLevel="1" collapsed="1" x14ac:dyDescent="0.25">
      <c r="A235" s="26"/>
      <c r="B235" s="14" t="str">
        <f>CONCATENATE("     ","Travel                                            ")</f>
        <v xml:space="preserve">     Travel                                            </v>
      </c>
      <c r="C235" s="14"/>
      <c r="D235" s="2">
        <f>SUM(OSRRefD22_23x_0)</f>
        <v>320.27</v>
      </c>
      <c r="E235" s="2"/>
      <c r="F235" s="6">
        <f t="shared" si="44"/>
        <v>2.5187671034938803E-4</v>
      </c>
      <c r="G235" s="2"/>
      <c r="H235" s="2">
        <f>SUM(OSRRefH22_23x_0)</f>
        <v>0</v>
      </c>
      <c r="I235" s="2"/>
      <c r="J235" s="6">
        <f t="shared" si="45"/>
        <v>0</v>
      </c>
      <c r="K235" s="2"/>
      <c r="L235" s="2">
        <f t="shared" si="46"/>
        <v>320.27</v>
      </c>
      <c r="M235" s="2"/>
      <c r="N235" s="6">
        <f t="shared" si="47"/>
        <v>0</v>
      </c>
      <c r="O235" s="14"/>
      <c r="P235" s="2">
        <f>SUM(OSRRefP22_23x_0)</f>
        <v>1605.25</v>
      </c>
      <c r="Q235" s="2"/>
      <c r="R235" s="6">
        <f t="shared" si="48"/>
        <v>1.6046537058689382E-4</v>
      </c>
      <c r="S235" s="2"/>
      <c r="T235" s="2">
        <f>SUM(OSRRefT22_23x_0)</f>
        <v>972.4</v>
      </c>
      <c r="U235" s="2"/>
      <c r="V235" s="6">
        <f t="shared" si="49"/>
        <v>1.2495556617846351E-4</v>
      </c>
      <c r="W235" s="2"/>
      <c r="X235" s="2">
        <f t="shared" si="50"/>
        <v>632.85</v>
      </c>
      <c r="Y235" s="2"/>
      <c r="Z235" s="6">
        <f t="shared" si="51"/>
        <v>0.65081242287124641</v>
      </c>
    </row>
    <row r="236" spans="1:26" s="69" customFormat="1" ht="15" hidden="1" customHeight="1" outlineLevel="2" x14ac:dyDescent="0.25">
      <c r="A236" s="25"/>
      <c r="B236" s="12" t="str">
        <f>CONCATENATE("          ","6292"," - ","TRAVEL/CONFERENCE")</f>
        <v xml:space="preserve">          6292 - TRAVEL/CONFERENCE</v>
      </c>
      <c r="C236" s="12"/>
      <c r="D236" s="7"/>
      <c r="E236" s="3"/>
      <c r="F236" s="8">
        <f t="shared" si="44"/>
        <v>0</v>
      </c>
      <c r="G236" s="3"/>
      <c r="H236" s="7"/>
      <c r="I236" s="3"/>
      <c r="J236" s="8">
        <f t="shared" si="45"/>
        <v>0</v>
      </c>
      <c r="K236" s="3"/>
      <c r="L236" s="7">
        <f t="shared" si="46"/>
        <v>0</v>
      </c>
      <c r="M236" s="3"/>
      <c r="N236" s="8">
        <f t="shared" si="47"/>
        <v>0</v>
      </c>
      <c r="O236" s="12"/>
      <c r="P236" s="7">
        <v>495</v>
      </c>
      <c r="Q236" s="3"/>
      <c r="R236" s="8">
        <f t="shared" si="48"/>
        <v>4.9481612484355981E-5</v>
      </c>
      <c r="S236" s="3"/>
      <c r="T236" s="7">
        <v>299.16000000000003</v>
      </c>
      <c r="U236" s="3"/>
      <c r="V236" s="8">
        <f t="shared" si="49"/>
        <v>3.8442726427343838E-5</v>
      </c>
      <c r="W236" s="3"/>
      <c r="X236" s="7">
        <f t="shared" si="50"/>
        <v>195.83999999999997</v>
      </c>
      <c r="Y236" s="3"/>
      <c r="Z236" s="8">
        <f t="shared" si="51"/>
        <v>0.65463297232250284</v>
      </c>
    </row>
    <row r="237" spans="1:26" s="69" customFormat="1" ht="15" hidden="1" customHeight="1" outlineLevel="2" x14ac:dyDescent="0.25">
      <c r="A237" s="25"/>
      <c r="B237" s="12" t="str">
        <f>CONCATENATE("          ","6294"," - ","TRAVEL OPERATIONAL")</f>
        <v xml:space="preserve">          6294 - TRAVEL OPERATIONAL</v>
      </c>
      <c r="C237" s="12"/>
      <c r="D237" s="7">
        <v>207.39</v>
      </c>
      <c r="E237" s="3"/>
      <c r="F237" s="8">
        <f t="shared" si="44"/>
        <v>1.6310210434745555E-4</v>
      </c>
      <c r="G237" s="3"/>
      <c r="H237" s="7"/>
      <c r="I237" s="3"/>
      <c r="J237" s="8">
        <f t="shared" si="45"/>
        <v>0</v>
      </c>
      <c r="K237" s="3"/>
      <c r="L237" s="7">
        <f t="shared" si="46"/>
        <v>207.39</v>
      </c>
      <c r="M237" s="3"/>
      <c r="N237" s="8">
        <f t="shared" si="47"/>
        <v>0</v>
      </c>
      <c r="O237" s="12"/>
      <c r="P237" s="7">
        <v>610.87</v>
      </c>
      <c r="Q237" s="3"/>
      <c r="R237" s="8">
        <f t="shared" si="48"/>
        <v>6.1064308319835425E-5</v>
      </c>
      <c r="S237" s="3"/>
      <c r="T237" s="7">
        <v>613.35</v>
      </c>
      <c r="U237" s="3"/>
      <c r="V237" s="8">
        <f t="shared" si="49"/>
        <v>7.8816841336446514E-5</v>
      </c>
      <c r="W237" s="3"/>
      <c r="X237" s="7">
        <f t="shared" si="50"/>
        <v>-2.4800000000000182</v>
      </c>
      <c r="Y237" s="3"/>
      <c r="Z237" s="8">
        <f t="shared" si="51"/>
        <v>-4.0433683867286511E-3</v>
      </c>
    </row>
    <row r="238" spans="1:26" s="69" customFormat="1" ht="15" hidden="1" customHeight="1" outlineLevel="2" x14ac:dyDescent="0.25">
      <c r="A238" s="25"/>
      <c r="B238" s="12" t="str">
        <f>CONCATENATE("          ","6298"," - ","VEHICLE MILEAGE")</f>
        <v xml:space="preserve">          6298 - VEHICLE MILEAGE</v>
      </c>
      <c r="C238" s="12"/>
      <c r="D238" s="7">
        <v>112.88</v>
      </c>
      <c r="E238" s="3"/>
      <c r="F238" s="8">
        <f t="shared" si="44"/>
        <v>8.8774606001932514E-5</v>
      </c>
      <c r="G238" s="3"/>
      <c r="H238" s="7"/>
      <c r="I238" s="3"/>
      <c r="J238" s="8">
        <f t="shared" si="45"/>
        <v>0</v>
      </c>
      <c r="K238" s="3"/>
      <c r="L238" s="7">
        <f t="shared" si="46"/>
        <v>112.88</v>
      </c>
      <c r="M238" s="3"/>
      <c r="N238" s="8">
        <f t="shared" si="47"/>
        <v>0</v>
      </c>
      <c r="O238" s="12"/>
      <c r="P238" s="7">
        <v>499.38</v>
      </c>
      <c r="Q238" s="3"/>
      <c r="R238" s="8">
        <f t="shared" si="48"/>
        <v>4.9919449782702403E-5</v>
      </c>
      <c r="S238" s="3"/>
      <c r="T238" s="7">
        <v>59.89</v>
      </c>
      <c r="U238" s="3"/>
      <c r="V238" s="8">
        <f t="shared" si="49"/>
        <v>7.6959984146731583E-6</v>
      </c>
      <c r="W238" s="3"/>
      <c r="X238" s="7">
        <f t="shared" si="50"/>
        <v>439.49</v>
      </c>
      <c r="Y238" s="3"/>
      <c r="Z238" s="8">
        <f t="shared" si="51"/>
        <v>7.3382868592419435</v>
      </c>
    </row>
    <row r="239" spans="1:26" s="68" customFormat="1" ht="15" customHeight="1" outlineLevel="1" collapsed="1" x14ac:dyDescent="0.25">
      <c r="A239" s="26"/>
      <c r="B239" s="14" t="str">
        <f>CONCATENATE("     ","Utilities                                         ")</f>
        <v xml:space="preserve">     Utilities                                         </v>
      </c>
      <c r="C239" s="14"/>
      <c r="D239" s="2">
        <f>SUM(OSRRefD22_24x_0)</f>
        <v>29715.67</v>
      </c>
      <c r="E239" s="2"/>
      <c r="F239" s="6">
        <f t="shared" si="44"/>
        <v>2.3369922894520251E-2</v>
      </c>
      <c r="G239" s="2"/>
      <c r="H239" s="2">
        <f>SUM(OSRRefH22_24x_0)</f>
        <v>6162.9</v>
      </c>
      <c r="I239" s="2"/>
      <c r="J239" s="6">
        <f t="shared" si="45"/>
        <v>9.3868955471518769E-3</v>
      </c>
      <c r="K239" s="2"/>
      <c r="L239" s="2">
        <f t="shared" si="46"/>
        <v>23552.769999999997</v>
      </c>
      <c r="M239" s="2"/>
      <c r="N239" s="6">
        <f t="shared" si="47"/>
        <v>3.8217024452773853</v>
      </c>
      <c r="O239" s="14"/>
      <c r="P239" s="2">
        <f>SUM(OSRRefP22_24x_0)</f>
        <v>85002.89</v>
      </c>
      <c r="Q239" s="2"/>
      <c r="R239" s="6">
        <f t="shared" si="48"/>
        <v>8.4971314404653289E-3</v>
      </c>
      <c r="S239" s="2"/>
      <c r="T239" s="2">
        <f>SUM(OSRRefT22_24x_0)</f>
        <v>64842.45</v>
      </c>
      <c r="U239" s="2"/>
      <c r="V239" s="6">
        <f t="shared" si="49"/>
        <v>8.3323992720574971E-3</v>
      </c>
      <c r="W239" s="2"/>
      <c r="X239" s="2">
        <f t="shared" si="50"/>
        <v>20160.440000000002</v>
      </c>
      <c r="Y239" s="2"/>
      <c r="Z239" s="6">
        <f t="shared" si="51"/>
        <v>0.31091422362973642</v>
      </c>
    </row>
    <row r="240" spans="1:26" s="69" customFormat="1" ht="15" hidden="1" customHeight="1" outlineLevel="2" x14ac:dyDescent="0.25">
      <c r="A240" s="25"/>
      <c r="B240" s="12" t="str">
        <f>CONCATENATE("          ","6274"," - ","UTILITIES")</f>
        <v xml:space="preserve">          6274 - UTILITIES</v>
      </c>
      <c r="C240" s="12"/>
      <c r="D240" s="7">
        <v>29715.67</v>
      </c>
      <c r="E240" s="3"/>
      <c r="F240" s="8">
        <f t="shared" si="44"/>
        <v>2.3369922894520251E-2</v>
      </c>
      <c r="G240" s="3"/>
      <c r="H240" s="7">
        <v>6162.9</v>
      </c>
      <c r="I240" s="3"/>
      <c r="J240" s="8">
        <f t="shared" si="45"/>
        <v>9.3868955471518769E-3</v>
      </c>
      <c r="K240" s="3"/>
      <c r="L240" s="7">
        <f t="shared" si="46"/>
        <v>23552.769999999997</v>
      </c>
      <c r="M240" s="3"/>
      <c r="N240" s="8">
        <f t="shared" si="47"/>
        <v>3.8217024452773853</v>
      </c>
      <c r="O240" s="12"/>
      <c r="P240" s="7">
        <v>85002.89</v>
      </c>
      <c r="Q240" s="3"/>
      <c r="R240" s="8">
        <f t="shared" si="48"/>
        <v>8.4971314404653289E-3</v>
      </c>
      <c r="S240" s="3"/>
      <c r="T240" s="7">
        <v>64842.45</v>
      </c>
      <c r="U240" s="3"/>
      <c r="V240" s="8">
        <f t="shared" si="49"/>
        <v>8.3323992720574971E-3</v>
      </c>
      <c r="W240" s="3"/>
      <c r="X240" s="7">
        <f t="shared" si="50"/>
        <v>20160.440000000002</v>
      </c>
      <c r="Y240" s="3"/>
      <c r="Z240" s="8">
        <f t="shared" si="51"/>
        <v>0.31091422362973642</v>
      </c>
    </row>
    <row r="241" spans="1:26" s="64" customFormat="1" ht="15" customHeight="1" x14ac:dyDescent="0.25">
      <c r="A241" s="36"/>
      <c r="B241" s="36"/>
      <c r="C241" s="36"/>
      <c r="D241" s="2"/>
      <c r="E241" s="2"/>
      <c r="F241" s="6"/>
      <c r="G241" s="2"/>
      <c r="H241" s="2"/>
      <c r="I241" s="2"/>
      <c r="J241" s="6"/>
      <c r="K241" s="2"/>
      <c r="L241" s="2"/>
      <c r="M241" s="2"/>
      <c r="N241" s="6"/>
      <c r="O241" s="36"/>
      <c r="P241" s="2"/>
      <c r="Q241" s="2"/>
      <c r="R241" s="6"/>
      <c r="S241" s="2"/>
      <c r="T241" s="2"/>
      <c r="U241" s="2"/>
      <c r="V241" s="6"/>
      <c r="W241" s="2"/>
      <c r="X241" s="2"/>
      <c r="Y241" s="2"/>
      <c r="Z241" s="6"/>
    </row>
    <row r="242" spans="1:26" s="62" customFormat="1" ht="15" customHeight="1" collapsed="1" x14ac:dyDescent="0.25">
      <c r="A242" s="11"/>
      <c r="B242" s="28" t="s">
        <v>290</v>
      </c>
      <c r="C242" s="11"/>
      <c r="D242" s="5">
        <f>SUM(OSRRefD25x_0)</f>
        <v>439266.19</v>
      </c>
      <c r="E242" s="5"/>
      <c r="F242" s="13">
        <f t="shared" ref="F242:F249" si="52">IF(D$12=0,0,D242/D$12)</f>
        <v>0.3454614010207302</v>
      </c>
      <c r="G242" s="5"/>
      <c r="H242" s="5">
        <f>SUM(OSRRefH25x_0)</f>
        <v>60395.18</v>
      </c>
      <c r="I242" s="5"/>
      <c r="J242" s="13">
        <f t="shared" ref="J242:J249" si="53">IF(H$12=0,0,H242/H$12)</f>
        <v>9.198968768135718E-2</v>
      </c>
      <c r="K242" s="5"/>
      <c r="L242" s="5">
        <f t="shared" ref="L242:L249" si="54">+D242-H242</f>
        <v>378871.01</v>
      </c>
      <c r="M242" s="5"/>
      <c r="N242" s="13">
        <f t="shared" ref="N242:N249" si="55">IF(H242=0,0,L242/H242)</f>
        <v>6.2731994506846407</v>
      </c>
      <c r="O242" s="11"/>
      <c r="P242" s="5">
        <f>SUM(OSRRefP25x_0)</f>
        <v>1410065.38</v>
      </c>
      <c r="Q242" s="5"/>
      <c r="R242" s="13">
        <f t="shared" ref="R242:R249" si="56">IF(P$12=0,0,P242/P$12)</f>
        <v>0.14095415901164879</v>
      </c>
      <c r="S242" s="5"/>
      <c r="T242" s="5">
        <f>SUM(OSRRefT25x_0)</f>
        <v>1057124.6099999999</v>
      </c>
      <c r="U242" s="5"/>
      <c r="V242" s="13">
        <f t="shared" ref="V242:V249" si="57">IF(T$12=0,0,T242/T$12)</f>
        <v>0.13584286730125197</v>
      </c>
      <c r="W242" s="5"/>
      <c r="X242" s="5">
        <f t="shared" ref="X242:X249" si="58">+P242-T242</f>
        <v>352940.77</v>
      </c>
      <c r="Y242" s="5"/>
      <c r="Z242" s="13">
        <f t="shared" ref="Z242:Z249" si="59">IF(T242=0,0,X242/T242)</f>
        <v>0.33386865338420235</v>
      </c>
    </row>
    <row r="243" spans="1:26" s="69" customFormat="1" ht="15" hidden="1" customHeight="1" outlineLevel="1" x14ac:dyDescent="0.25">
      <c r="A243" s="42"/>
      <c r="B243" s="12" t="str">
        <f>CONCATENATE("          ","4098"," - ","TAXABLE SALES-GRAD RENTALS")</f>
        <v xml:space="preserve">          4098 - TAXABLE SALES-GRAD RENTALS</v>
      </c>
      <c r="C243" s="12"/>
      <c r="D243" s="3">
        <f>0</f>
        <v>0</v>
      </c>
      <c r="E243" s="3"/>
      <c r="F243" s="20">
        <f t="shared" si="52"/>
        <v>0</v>
      </c>
      <c r="G243" s="3"/>
      <c r="H243" s="3">
        <f>0</f>
        <v>0</v>
      </c>
      <c r="I243" s="3"/>
      <c r="J243" s="20">
        <f t="shared" si="53"/>
        <v>0</v>
      </c>
      <c r="K243" s="3"/>
      <c r="L243" s="3">
        <f t="shared" si="54"/>
        <v>0</v>
      </c>
      <c r="M243" s="3"/>
      <c r="N243" s="20">
        <f t="shared" si="55"/>
        <v>0</v>
      </c>
      <c r="O243" s="12"/>
      <c r="P243" s="3">
        <f>0</f>
        <v>0</v>
      </c>
      <c r="Q243" s="3"/>
      <c r="R243" s="20">
        <f t="shared" si="56"/>
        <v>0</v>
      </c>
      <c r="S243" s="3"/>
      <c r="T243" s="3">
        <f>--49.95</f>
        <v>49.95</v>
      </c>
      <c r="U243" s="3"/>
      <c r="V243" s="20">
        <f t="shared" si="57"/>
        <v>6.4186862717135464E-6</v>
      </c>
      <c r="W243" s="3"/>
      <c r="X243" s="3">
        <f t="shared" si="58"/>
        <v>-49.95</v>
      </c>
      <c r="Y243" s="3"/>
      <c r="Z243" s="20">
        <f t="shared" si="59"/>
        <v>-1</v>
      </c>
    </row>
    <row r="244" spans="1:26" s="69" customFormat="1" ht="15" hidden="1" customHeight="1" outlineLevel="1" x14ac:dyDescent="0.25">
      <c r="A244" s="42"/>
      <c r="B244" s="12" t="str">
        <f>CONCATENATE("          ","4187"," - ","NON-TAXABLE SALES-COMPUTER REP")</f>
        <v xml:space="preserve">          4187 - NON-TAXABLE SALES-COMPUTER REP</v>
      </c>
      <c r="C244" s="12"/>
      <c r="D244" s="3">
        <f>0</f>
        <v>0</v>
      </c>
      <c r="E244" s="3"/>
      <c r="F244" s="20">
        <f t="shared" si="52"/>
        <v>0</v>
      </c>
      <c r="G244" s="3"/>
      <c r="H244" s="3">
        <f>--264.48</f>
        <v>264.48</v>
      </c>
      <c r="I244" s="3"/>
      <c r="J244" s="20">
        <f t="shared" si="53"/>
        <v>4.0283732241489054E-4</v>
      </c>
      <c r="K244" s="3"/>
      <c r="L244" s="3">
        <f t="shared" si="54"/>
        <v>-264.48</v>
      </c>
      <c r="M244" s="3"/>
      <c r="N244" s="20">
        <f t="shared" si="55"/>
        <v>-1</v>
      </c>
      <c r="O244" s="12"/>
      <c r="P244" s="3">
        <f>0</f>
        <v>0</v>
      </c>
      <c r="Q244" s="3"/>
      <c r="R244" s="20">
        <f t="shared" si="56"/>
        <v>0</v>
      </c>
      <c r="S244" s="3"/>
      <c r="T244" s="3">
        <f>--3580.44</f>
        <v>3580.44</v>
      </c>
      <c r="U244" s="3"/>
      <c r="V244" s="20">
        <f t="shared" si="57"/>
        <v>4.6009451600989088E-4</v>
      </c>
      <c r="W244" s="3"/>
      <c r="X244" s="3">
        <f t="shared" si="58"/>
        <v>-3580.44</v>
      </c>
      <c r="Y244" s="3"/>
      <c r="Z244" s="20">
        <f t="shared" si="59"/>
        <v>-1</v>
      </c>
    </row>
    <row r="245" spans="1:26" s="69" customFormat="1" ht="15" hidden="1" customHeight="1" outlineLevel="1" x14ac:dyDescent="0.25">
      <c r="A245" s="42"/>
      <c r="B245" s="12" t="str">
        <f>CONCATENATE("          ","9087"," - ","")</f>
        <v xml:space="preserve">          9087 - </v>
      </c>
      <c r="C245" s="12"/>
      <c r="D245" s="3">
        <f>-1290.36</f>
        <v>-1290.3599999999999</v>
      </c>
      <c r="E245" s="3"/>
      <c r="F245" s="20">
        <f t="shared" si="52"/>
        <v>-1.0148051080851668E-3</v>
      </c>
      <c r="G245" s="3"/>
      <c r="H245" s="3">
        <f>0</f>
        <v>0</v>
      </c>
      <c r="I245" s="3"/>
      <c r="J245" s="20">
        <f t="shared" si="53"/>
        <v>0</v>
      </c>
      <c r="K245" s="3"/>
      <c r="L245" s="3">
        <f t="shared" si="54"/>
        <v>-1290.3599999999999</v>
      </c>
      <c r="M245" s="3"/>
      <c r="N245" s="20">
        <f t="shared" si="55"/>
        <v>0</v>
      </c>
      <c r="O245" s="12"/>
      <c r="P245" s="3">
        <f>--705.64</f>
        <v>705.64</v>
      </c>
      <c r="Q245" s="3"/>
      <c r="R245" s="20">
        <f t="shared" si="56"/>
        <v>7.0537787946385757E-5</v>
      </c>
      <c r="S245" s="3"/>
      <c r="T245" s="3">
        <f>0</f>
        <v>0</v>
      </c>
      <c r="U245" s="3"/>
      <c r="V245" s="20">
        <f t="shared" si="57"/>
        <v>0</v>
      </c>
      <c r="W245" s="3"/>
      <c r="X245" s="3">
        <f t="shared" si="58"/>
        <v>705.64</v>
      </c>
      <c r="Y245" s="3"/>
      <c r="Z245" s="20">
        <f t="shared" si="59"/>
        <v>0</v>
      </c>
    </row>
    <row r="246" spans="1:26" s="69" customFormat="1" ht="15" hidden="1" customHeight="1" outlineLevel="1" x14ac:dyDescent="0.25">
      <c r="A246" s="42"/>
      <c r="B246" s="12" t="str">
        <f>CONCATENATE("          ","9150"," - ","MISC. INCOME")</f>
        <v xml:space="preserve">          9150 - MISC. INCOME</v>
      </c>
      <c r="C246" s="12"/>
      <c r="D246" s="3">
        <f>--53921.83</f>
        <v>53921.83</v>
      </c>
      <c r="E246" s="3"/>
      <c r="F246" s="20">
        <f t="shared" si="52"/>
        <v>4.2406885304333668E-2</v>
      </c>
      <c r="G246" s="3"/>
      <c r="H246" s="3">
        <f>--56832.63</f>
        <v>56832.63</v>
      </c>
      <c r="I246" s="3"/>
      <c r="J246" s="20">
        <f t="shared" si="53"/>
        <v>8.6563462246658271E-2</v>
      </c>
      <c r="K246" s="3"/>
      <c r="L246" s="3">
        <f t="shared" si="54"/>
        <v>-2910.7999999999956</v>
      </c>
      <c r="M246" s="3"/>
      <c r="N246" s="20">
        <f t="shared" si="55"/>
        <v>-5.1217056117233983E-2</v>
      </c>
      <c r="O246" s="12"/>
      <c r="P246" s="3">
        <f>--438255.19</f>
        <v>438255.19</v>
      </c>
      <c r="Q246" s="3"/>
      <c r="R246" s="20">
        <f t="shared" si="56"/>
        <v>4.3809239355227882E-2</v>
      </c>
      <c r="S246" s="3"/>
      <c r="T246" s="3">
        <f>--403872.63</f>
        <v>403872.63</v>
      </c>
      <c r="U246" s="3"/>
      <c r="V246" s="20">
        <f t="shared" si="57"/>
        <v>5.1898532646683572E-2</v>
      </c>
      <c r="W246" s="3"/>
      <c r="X246" s="3">
        <f t="shared" si="58"/>
        <v>34382.559999999998</v>
      </c>
      <c r="Y246" s="3"/>
      <c r="Z246" s="20">
        <f t="shared" si="59"/>
        <v>8.5132186352910311E-2</v>
      </c>
    </row>
    <row r="247" spans="1:26" s="69" customFormat="1" ht="15" hidden="1" customHeight="1" outlineLevel="1" x14ac:dyDescent="0.25">
      <c r="A247" s="42"/>
      <c r="B247" s="12" t="str">
        <f>CONCATENATE("          ","9151"," - ","MISC. INCOME")</f>
        <v xml:space="preserve">          9151 - MISC. INCOME</v>
      </c>
      <c r="C247" s="12"/>
      <c r="D247" s="3">
        <f>--626.04</f>
        <v>626.04</v>
      </c>
      <c r="E247" s="3"/>
      <c r="F247" s="20">
        <f t="shared" si="52"/>
        <v>4.9234987899937838E-4</v>
      </c>
      <c r="G247" s="3"/>
      <c r="H247" s="3">
        <f>0</f>
        <v>0</v>
      </c>
      <c r="I247" s="3"/>
      <c r="J247" s="20">
        <f t="shared" si="53"/>
        <v>0</v>
      </c>
      <c r="K247" s="3"/>
      <c r="L247" s="3">
        <f t="shared" si="54"/>
        <v>626.04</v>
      </c>
      <c r="M247" s="3"/>
      <c r="N247" s="20">
        <f t="shared" si="55"/>
        <v>0</v>
      </c>
      <c r="O247" s="12"/>
      <c r="P247" s="3">
        <f>--324387.74</f>
        <v>324387.74</v>
      </c>
      <c r="Q247" s="3"/>
      <c r="R247" s="20">
        <f t="shared" si="56"/>
        <v>3.2426724132032368E-2</v>
      </c>
      <c r="S247" s="3"/>
      <c r="T247" s="3">
        <f>--295628.46</f>
        <v>295628.46000000002</v>
      </c>
      <c r="U247" s="3"/>
      <c r="V247" s="20">
        <f t="shared" si="57"/>
        <v>3.7988915670266611E-2</v>
      </c>
      <c r="W247" s="3"/>
      <c r="X247" s="3">
        <f t="shared" si="58"/>
        <v>28759.27999999997</v>
      </c>
      <c r="Y247" s="3"/>
      <c r="Z247" s="20">
        <f t="shared" si="59"/>
        <v>9.7281838155906797E-2</v>
      </c>
    </row>
    <row r="248" spans="1:26" s="69" customFormat="1" ht="15" hidden="1" customHeight="1" outlineLevel="1" x14ac:dyDescent="0.25">
      <c r="A248" s="42"/>
      <c r="B248" s="12" t="str">
        <f>CONCATENATE("          ","9152"," - ","MISC. INCOME")</f>
        <v xml:space="preserve">          9152 - MISC. INCOME</v>
      </c>
      <c r="C248" s="12"/>
      <c r="D248" s="3">
        <f>--1358.68</f>
        <v>1358.68</v>
      </c>
      <c r="E248" s="3"/>
      <c r="F248" s="20">
        <f t="shared" si="52"/>
        <v>1.0685354507681225E-3</v>
      </c>
      <c r="G248" s="3"/>
      <c r="H248" s="3">
        <f>--1436.07</f>
        <v>1436.07</v>
      </c>
      <c r="I248" s="3"/>
      <c r="J248" s="20">
        <f t="shared" si="53"/>
        <v>2.1873207562021772E-3</v>
      </c>
      <c r="K248" s="3"/>
      <c r="L248" s="3">
        <f t="shared" si="54"/>
        <v>-77.389999999999873</v>
      </c>
      <c r="M248" s="3"/>
      <c r="N248" s="20">
        <f t="shared" si="55"/>
        <v>-5.389013070393496E-2</v>
      </c>
      <c r="O248" s="12"/>
      <c r="P248" s="3">
        <f>--5247.11</f>
        <v>5247.11</v>
      </c>
      <c r="Q248" s="3"/>
      <c r="R248" s="20">
        <f t="shared" si="56"/>
        <v>5.2451608824805875E-4</v>
      </c>
      <c r="S248" s="3"/>
      <c r="T248" s="3">
        <f>--5652.57</f>
        <v>5652.57</v>
      </c>
      <c r="U248" s="3"/>
      <c r="V248" s="20">
        <f t="shared" si="57"/>
        <v>7.2636783701501178E-4</v>
      </c>
      <c r="W248" s="3"/>
      <c r="X248" s="3">
        <f t="shared" si="58"/>
        <v>-405.46000000000004</v>
      </c>
      <c r="Y248" s="3"/>
      <c r="Z248" s="20">
        <f t="shared" si="59"/>
        <v>-7.1730204137233161E-2</v>
      </c>
    </row>
    <row r="249" spans="1:26" s="69" customFormat="1" ht="15" hidden="1" customHeight="1" outlineLevel="1" x14ac:dyDescent="0.25">
      <c r="A249" s="42"/>
      <c r="B249" s="12" t="str">
        <f>CONCATENATE("          ","9163"," - ","MISC. INCOME")</f>
        <v xml:space="preserve">          9163 - MISC. INCOME</v>
      </c>
      <c r="C249" s="12"/>
      <c r="D249" s="3">
        <f>--384650</f>
        <v>384650</v>
      </c>
      <c r="E249" s="3"/>
      <c r="F249" s="20">
        <f t="shared" si="52"/>
        <v>0.30250843549471423</v>
      </c>
      <c r="G249" s="3"/>
      <c r="H249" s="3">
        <f>--1862</f>
        <v>1862</v>
      </c>
      <c r="I249" s="3"/>
      <c r="J249" s="20">
        <f t="shared" si="53"/>
        <v>2.836067356081844E-3</v>
      </c>
      <c r="K249" s="3"/>
      <c r="L249" s="3">
        <f t="shared" si="54"/>
        <v>382788</v>
      </c>
      <c r="M249" s="3"/>
      <c r="N249" s="20">
        <f t="shared" si="55"/>
        <v>205.57894736842104</v>
      </c>
      <c r="O249" s="12"/>
      <c r="P249" s="3">
        <f>--641469.7</f>
        <v>641469.69999999995</v>
      </c>
      <c r="Q249" s="3"/>
      <c r="R249" s="20">
        <f t="shared" si="56"/>
        <v>6.4123141648194104E-2</v>
      </c>
      <c r="S249" s="3"/>
      <c r="T249" s="3">
        <f>--348340.56</f>
        <v>348340.56</v>
      </c>
      <c r="U249" s="3"/>
      <c r="V249" s="20">
        <f t="shared" si="57"/>
        <v>4.4762537945005183E-2</v>
      </c>
      <c r="W249" s="3"/>
      <c r="X249" s="3">
        <f t="shared" si="58"/>
        <v>293129.13999999996</v>
      </c>
      <c r="Y249" s="3"/>
      <c r="Z249" s="20">
        <f t="shared" si="59"/>
        <v>0.84150160406241514</v>
      </c>
    </row>
    <row r="250" spans="1:26" ht="15" customHeight="1" x14ac:dyDescent="0.25">
      <c r="A250" s="10"/>
      <c r="B250" s="11"/>
      <c r="C250" s="11"/>
      <c r="D250" s="4"/>
      <c r="E250" s="4"/>
      <c r="F250" s="9"/>
      <c r="G250" s="4"/>
      <c r="H250" s="4"/>
      <c r="I250" s="4"/>
      <c r="J250" s="9"/>
      <c r="K250" s="4"/>
      <c r="L250" s="4"/>
      <c r="M250" s="4"/>
      <c r="N250" s="9"/>
      <c r="O250" s="11"/>
      <c r="P250" s="4"/>
      <c r="Q250" s="4"/>
      <c r="R250" s="9"/>
      <c r="S250" s="4"/>
      <c r="T250" s="4"/>
      <c r="U250" s="4"/>
      <c r="V250" s="9"/>
      <c r="W250" s="4"/>
      <c r="X250" s="4"/>
      <c r="Y250" s="4"/>
      <c r="Z250" s="9"/>
    </row>
    <row r="251" spans="1:26" s="62" customFormat="1" ht="15" customHeight="1" x14ac:dyDescent="0.25">
      <c r="A251" s="11"/>
      <c r="B251" s="27" t="s">
        <v>291</v>
      </c>
      <c r="C251" s="27"/>
      <c r="D251" s="22">
        <f>+D150-D152+D242</f>
        <v>653085.66</v>
      </c>
      <c r="E251" s="15"/>
      <c r="F251" s="23">
        <f>IF(D$12=0,0,D251/D$12)</f>
        <v>0.51361996945439459</v>
      </c>
      <c r="G251" s="15"/>
      <c r="H251" s="22">
        <f>+H150-H152+H242</f>
        <v>167277.21999999971</v>
      </c>
      <c r="I251" s="15"/>
      <c r="J251" s="23">
        <f>IF(H$12=0,0,H251/H$12)</f>
        <v>0.25478488886042971</v>
      </c>
      <c r="K251" s="16"/>
      <c r="L251" s="22">
        <f>+D251-H251</f>
        <v>485808.44000000029</v>
      </c>
      <c r="M251" s="16"/>
      <c r="N251" s="23">
        <f>IF(H251=0,0,L251/H251)</f>
        <v>2.9042115836214943</v>
      </c>
      <c r="O251" s="28"/>
      <c r="P251" s="22">
        <f>+P150-P152+P242</f>
        <v>1521599.5199999986</v>
      </c>
      <c r="Q251" s="15"/>
      <c r="R251" s="23">
        <f>IF(P$12=0,0,P251/P$12)</f>
        <v>0.15210342990913533</v>
      </c>
      <c r="S251" s="15"/>
      <c r="T251" s="22">
        <f>+T150-T152+T242</f>
        <v>335309.94999999693</v>
      </c>
      <c r="U251" s="15"/>
      <c r="V251" s="23">
        <f>IF(T$12=0,0,T251/T$12)</f>
        <v>4.3088075532210925E-2</v>
      </c>
      <c r="W251" s="16"/>
      <c r="X251" s="22">
        <f>+P251-T251</f>
        <v>1186289.5700000017</v>
      </c>
      <c r="Y251" s="16"/>
      <c r="Z251" s="23">
        <f>IF(T251=0,0,X251/T251)</f>
        <v>3.5378895556186523</v>
      </c>
    </row>
    <row r="252" spans="1:26" ht="15" customHeight="1" x14ac:dyDescent="0.25">
      <c r="A252" s="10"/>
      <c r="B252" s="11"/>
      <c r="C252" s="10"/>
      <c r="D252" s="4"/>
      <c r="E252" s="4"/>
      <c r="F252" s="9"/>
      <c r="G252" s="4"/>
      <c r="H252" s="4"/>
      <c r="I252" s="4"/>
      <c r="J252" s="9"/>
      <c r="K252" s="4"/>
      <c r="L252" s="4"/>
      <c r="M252" s="4"/>
      <c r="N252" s="9"/>
      <c r="P252" s="4"/>
      <c r="Q252" s="4"/>
      <c r="R252" s="9"/>
      <c r="S252" s="4"/>
      <c r="T252" s="4"/>
      <c r="U252" s="4"/>
      <c r="V252" s="9"/>
      <c r="W252" s="4"/>
      <c r="X252" s="4"/>
      <c r="Y252" s="4"/>
      <c r="Z252" s="9"/>
    </row>
    <row r="253" spans="1:26" s="62" customFormat="1" ht="15" customHeight="1" x14ac:dyDescent="0.25">
      <c r="A253" s="48"/>
      <c r="B253" s="11" t="s">
        <v>292</v>
      </c>
      <c r="C253" s="11"/>
      <c r="D253" s="5">
        <v>135455.96</v>
      </c>
      <c r="E253" s="5"/>
      <c r="F253" s="13">
        <f>IF(D$12=0,0,D253/D$12)</f>
        <v>0.10652949574427294</v>
      </c>
      <c r="G253" s="5"/>
      <c r="H253" s="5">
        <v>172264.93</v>
      </c>
      <c r="I253" s="5"/>
      <c r="J253" s="13">
        <f>IF(H$12=0,0,H253/H$12)</f>
        <v>0.26238181770715568</v>
      </c>
      <c r="K253" s="5"/>
      <c r="L253" s="5">
        <f>+D253-H253</f>
        <v>-36808.97</v>
      </c>
      <c r="M253" s="5"/>
      <c r="N253" s="13">
        <f>IF(H253=0,0,L253/H253)</f>
        <v>-0.21367651558561573</v>
      </c>
      <c r="O253" s="11"/>
      <c r="P253" s="5">
        <v>1124671.32</v>
      </c>
      <c r="Q253" s="5"/>
      <c r="R253" s="13">
        <f>IF(P$12=0,0,P253/P$12)</f>
        <v>0.11242535440102853</v>
      </c>
      <c r="S253" s="5"/>
      <c r="T253" s="5">
        <v>1662932.41</v>
      </c>
      <c r="U253" s="5"/>
      <c r="V253" s="13">
        <f>IF(T$12=0,0,T253/T$12)</f>
        <v>0.21369051913622666</v>
      </c>
      <c r="W253" s="5"/>
      <c r="X253" s="5">
        <f>+P253-T253</f>
        <v>-538261.08999999985</v>
      </c>
      <c r="Y253" s="5"/>
      <c r="Z253" s="13">
        <f>IF(T253=0,0,X253/T253)</f>
        <v>-0.3236818807326029</v>
      </c>
    </row>
    <row r="254" spans="1:26" ht="15" customHeight="1" x14ac:dyDescent="0.25">
      <c r="A254" s="10"/>
      <c r="B254" s="11"/>
      <c r="C254" s="11"/>
      <c r="D254" s="4"/>
      <c r="E254" s="4"/>
      <c r="F254" s="9"/>
      <c r="G254" s="4"/>
      <c r="H254" s="4"/>
      <c r="I254" s="4"/>
      <c r="J254" s="9"/>
      <c r="K254" s="4"/>
      <c r="L254" s="4"/>
      <c r="M254" s="4"/>
      <c r="N254" s="9"/>
      <c r="O254" s="11"/>
      <c r="P254" s="4"/>
      <c r="Q254" s="4"/>
      <c r="R254" s="9"/>
      <c r="S254" s="4"/>
      <c r="T254" s="4"/>
      <c r="U254" s="4"/>
      <c r="V254" s="9"/>
      <c r="W254" s="4"/>
      <c r="X254" s="4"/>
      <c r="Y254" s="4"/>
      <c r="Z254" s="9"/>
    </row>
    <row r="255" spans="1:26" s="62" customFormat="1" ht="15" customHeight="1" x14ac:dyDescent="0.25">
      <c r="A255" s="11"/>
      <c r="B255" s="27" t="s">
        <v>293</v>
      </c>
      <c r="C255" s="27"/>
      <c r="D255" s="35">
        <f>+D251-D253</f>
        <v>517629.70000000007</v>
      </c>
      <c r="E255" s="15"/>
      <c r="F255" s="30">
        <f>IF(D$12=0,0,D255/D$12)</f>
        <v>0.40709047371012164</v>
      </c>
      <c r="G255" s="15"/>
      <c r="H255" s="35">
        <f>+H251-H253</f>
        <v>-4987.7100000002829</v>
      </c>
      <c r="I255" s="15"/>
      <c r="J255" s="30">
        <f>IF(H$12=0,0,H255/H$12)</f>
        <v>-7.5969288467259812E-3</v>
      </c>
      <c r="K255" s="16"/>
      <c r="L255" s="35">
        <f>D255-H255</f>
        <v>522617.41000000038</v>
      </c>
      <c r="M255" s="16"/>
      <c r="N255" s="30">
        <f>IF(H255=0,0,L255/H255)</f>
        <v>-104.78103378102792</v>
      </c>
      <c r="O255" s="28"/>
      <c r="P255" s="35">
        <f>+P251-P253</f>
        <v>396928.19999999856</v>
      </c>
      <c r="Q255" s="15"/>
      <c r="R255" s="30">
        <f>IF(P$12=0,0,P255/P$12)</f>
        <v>3.9678075508106821E-2</v>
      </c>
      <c r="S255" s="15"/>
      <c r="T255" s="35">
        <f>+T251-T253</f>
        <v>-1327622.460000003</v>
      </c>
      <c r="U255" s="15"/>
      <c r="V255" s="30">
        <f>IF(T$12=0,0,T255/T$12)</f>
        <v>-0.17060244360401572</v>
      </c>
      <c r="W255" s="16"/>
      <c r="X255" s="35">
        <f>P255-T255</f>
        <v>1724550.6600000015</v>
      </c>
      <c r="Y255" s="16"/>
      <c r="Z255" s="30">
        <f>IF(T255=0,0,X255/T255)</f>
        <v>-1.2989767136057624</v>
      </c>
    </row>
    <row r="256" spans="1:26" ht="15" customHeight="1" x14ac:dyDescent="0.25">
      <c r="A256" s="10"/>
      <c r="B256" s="10"/>
      <c r="C256" s="10"/>
      <c r="D256" s="4"/>
      <c r="E256" s="4"/>
      <c r="F256" s="9"/>
      <c r="G256" s="4"/>
      <c r="H256" s="4"/>
      <c r="I256" s="4"/>
      <c r="J256" s="9"/>
      <c r="K256" s="4"/>
      <c r="L256" s="4"/>
      <c r="M256" s="4"/>
      <c r="N256" s="9"/>
      <c r="P256" s="4"/>
      <c r="Q256" s="4"/>
      <c r="R256" s="9"/>
      <c r="S256" s="4"/>
      <c r="T256" s="4"/>
      <c r="U256" s="4"/>
      <c r="V256" s="9"/>
      <c r="W256" s="4"/>
      <c r="X256" s="4"/>
      <c r="Y256" s="4"/>
      <c r="Z256" s="9"/>
    </row>
    <row r="257" spans="1:26" ht="15" customHeight="1" x14ac:dyDescent="0.25">
      <c r="A257" s="10"/>
      <c r="B257" s="10"/>
      <c r="C257" s="10"/>
      <c r="D257" s="4"/>
      <c r="E257" s="4"/>
      <c r="F257" s="9"/>
      <c r="G257" s="4"/>
      <c r="H257" s="4"/>
      <c r="I257" s="4"/>
      <c r="J257" s="9"/>
      <c r="K257" s="4"/>
      <c r="L257" s="4"/>
      <c r="M257" s="4"/>
      <c r="N257" s="9"/>
      <c r="P257" s="4"/>
      <c r="Q257" s="4"/>
      <c r="R257" s="9"/>
      <c r="S257" s="4"/>
      <c r="T257" s="4"/>
      <c r="U257" s="4"/>
      <c r="V257" s="9"/>
      <c r="W257" s="4"/>
      <c r="X257" s="4"/>
      <c r="Y257" s="4"/>
      <c r="Z257" s="9"/>
    </row>
    <row r="258" spans="1:26" s="62" customFormat="1" ht="15" customHeight="1" x14ac:dyDescent="0.25">
      <c r="A258" s="11"/>
      <c r="B258" s="27" t="s">
        <v>296</v>
      </c>
      <c r="C258" s="27"/>
      <c r="D258" s="32">
        <f>SUM(D255:D257)</f>
        <v>517629.70000000007</v>
      </c>
      <c r="E258" s="15"/>
      <c r="F258" s="34">
        <f>IF(D$12=0,0,D258/D$12)</f>
        <v>0.40709047371012164</v>
      </c>
      <c r="G258" s="15"/>
      <c r="H258" s="32">
        <f>SUM(H255:H257)</f>
        <v>-4987.7100000002829</v>
      </c>
      <c r="I258" s="15"/>
      <c r="J258" s="34">
        <f>IF(H$12=0,0,H258/H$12)</f>
        <v>-7.5969288467259812E-3</v>
      </c>
      <c r="K258" s="16"/>
      <c r="L258" s="32">
        <f>+D258-H258</f>
        <v>522617.41000000038</v>
      </c>
      <c r="M258" s="16"/>
      <c r="N258" s="34">
        <f>IF(H258=0,0,L258/H258)</f>
        <v>-104.78103378102792</v>
      </c>
      <c r="O258" s="28"/>
      <c r="P258" s="32">
        <f>SUM(P255:P257)</f>
        <v>396928.19999999856</v>
      </c>
      <c r="Q258" s="15"/>
      <c r="R258" s="34">
        <f>IF(P$12=0,0,P258/P$12)</f>
        <v>3.9678075508106821E-2</v>
      </c>
      <c r="S258" s="15"/>
      <c r="T258" s="32">
        <f>SUM(T255:T257)</f>
        <v>-1327622.460000003</v>
      </c>
      <c r="U258" s="15"/>
      <c r="V258" s="34">
        <f>IF(T$12=0,0,T258/T$12)</f>
        <v>-0.17060244360401572</v>
      </c>
      <c r="W258" s="16"/>
      <c r="X258" s="32">
        <f>+P258-T258</f>
        <v>1724550.6600000015</v>
      </c>
      <c r="Y258" s="16"/>
      <c r="Z258" s="34">
        <f>IF(T258=0,0,X258/T258)</f>
        <v>-1.2989767136057624</v>
      </c>
    </row>
    <row r="259" spans="1:26" ht="15" customHeight="1" x14ac:dyDescent="0.25">
      <c r="A259" s="10"/>
      <c r="C259" s="10"/>
      <c r="D259" s="18"/>
      <c r="E259" s="18"/>
      <c r="G259" s="18"/>
      <c r="H259" s="18"/>
      <c r="I259" s="18"/>
      <c r="J259" s="41"/>
      <c r="K259" s="18"/>
      <c r="L259" s="18"/>
      <c r="M259" s="18"/>
      <c r="P259" s="18"/>
      <c r="Q259" s="18"/>
      <c r="R259" s="41"/>
      <c r="S259" s="18"/>
      <c r="T259" s="18"/>
      <c r="U259" s="18"/>
      <c r="V259" s="41"/>
      <c r="W259" s="18"/>
      <c r="X259" s="18"/>
    </row>
    <row r="260" spans="1:26" ht="15" customHeight="1" x14ac:dyDescent="0.25">
      <c r="A260" s="10"/>
      <c r="B260" s="50">
        <v>44727.879646145833</v>
      </c>
      <c r="D260" s="18"/>
      <c r="E260" s="18"/>
      <c r="G260" s="18"/>
      <c r="H260" s="18"/>
      <c r="I260" s="18"/>
      <c r="J260" s="41"/>
      <c r="K260" s="18"/>
      <c r="L260" s="18"/>
      <c r="M260" s="18"/>
      <c r="P260" s="18"/>
      <c r="Q260" s="18"/>
      <c r="R260" s="41"/>
      <c r="S260" s="18"/>
      <c r="T260" s="18"/>
      <c r="U260" s="18"/>
      <c r="V260" s="41"/>
      <c r="W260" s="18"/>
      <c r="X260" s="18"/>
    </row>
    <row r="261" spans="1:26" ht="15" customHeight="1" x14ac:dyDescent="0.25">
      <c r="A261" s="10"/>
      <c r="B261" s="53" t="s">
        <v>297</v>
      </c>
      <c r="D261" s="18"/>
      <c r="E261" s="18"/>
      <c r="G261" s="18"/>
      <c r="H261" s="18"/>
      <c r="I261" s="18"/>
      <c r="J261" s="41"/>
      <c r="K261" s="18"/>
      <c r="L261" s="18"/>
      <c r="M261" s="18"/>
      <c r="P261" s="18"/>
      <c r="Q261" s="18"/>
      <c r="R261" s="41"/>
      <c r="S261" s="18"/>
      <c r="T261" s="18"/>
      <c r="U261" s="18"/>
      <c r="V261" s="41"/>
      <c r="W261" s="18"/>
      <c r="X261" s="18"/>
    </row>
    <row r="262" spans="1:26" ht="15" customHeight="1" x14ac:dyDescent="0.25">
      <c r="A262" s="10"/>
      <c r="B262" s="55"/>
      <c r="D262" s="18"/>
      <c r="E262" s="18"/>
      <c r="G262" s="18"/>
      <c r="H262" s="18"/>
      <c r="I262" s="18"/>
      <c r="J262" s="41"/>
      <c r="K262" s="18"/>
      <c r="L262" s="18"/>
      <c r="M262" s="18"/>
      <c r="P262" s="18"/>
      <c r="Q262" s="18"/>
      <c r="R262" s="41"/>
      <c r="S262" s="18"/>
      <c r="T262" s="18"/>
      <c r="U262" s="18"/>
      <c r="V262" s="41"/>
      <c r="W262" s="18"/>
      <c r="X262" s="18"/>
    </row>
    <row r="263" spans="1:26" ht="15" customHeight="1" x14ac:dyDescent="0.25">
      <c r="D263" s="18"/>
      <c r="E263" s="18"/>
      <c r="G263" s="18"/>
      <c r="H263" s="18"/>
      <c r="I263" s="18"/>
      <c r="J263" s="41"/>
      <c r="K263" s="18"/>
      <c r="L263" s="18"/>
      <c r="M263" s="18"/>
      <c r="P263" s="18"/>
      <c r="Q263" s="18"/>
      <c r="R263" s="41"/>
      <c r="S263" s="18"/>
      <c r="T263" s="18"/>
      <c r="U263" s="18"/>
      <c r="V263" s="41"/>
      <c r="W263" s="18"/>
      <c r="X263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64B03-EA9B-33C5-9BCC-CCBB8AFC2CFE}">
  <sheetPr>
    <tabColor rgb="FF92D050"/>
    <outlinePr summaryBelow="0" summaryRight="0"/>
  </sheetPr>
  <dimension ref="A2:Z11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","301"," - ","Bookstore Operations")</f>
        <v>Department 301 - Bookstore Operations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25">
      <c r="A14" s="11"/>
      <c r="B14" s="28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69" customFormat="1" ht="15" hidden="1" customHeight="1" outlineLevel="1" x14ac:dyDescent="0.25">
      <c r="A15" s="42"/>
      <c r="B15" s="12" t="str">
        <f>CONCATENATE("          ","5000"," - ","PURCHASES @ COST")</f>
        <v xml:space="preserve">          5000 - PURCHASES @ COST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0</v>
      </c>
      <c r="Q15" s="3"/>
      <c r="R15" s="20">
        <f>IF(P$12=0,0,P15/P$12)</f>
        <v>0</v>
      </c>
      <c r="S15" s="3"/>
      <c r="T15" s="3"/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s="69" customFormat="1" ht="15" hidden="1" customHeight="1" outlineLevel="1" x14ac:dyDescent="0.25">
      <c r="A16" s="42"/>
      <c r="B16" s="12" t="str">
        <f>CONCATENATE("          ","5501"," - ","FREIGHT-IN-NEW TEXT")</f>
        <v xml:space="preserve">          5501 - FREIGHT-IN-NEW TEXT</v>
      </c>
      <c r="C16" s="12"/>
      <c r="D16" s="3"/>
      <c r="E16" s="3"/>
      <c r="F16" s="20">
        <f>IF(D$12=0,0,D16/D$12)</f>
        <v>0</v>
      </c>
      <c r="G16" s="3"/>
      <c r="H16" s="3"/>
      <c r="I16" s="3"/>
      <c r="J16" s="20">
        <f>IF(H$12=0,0,H16/H$12)</f>
        <v>0</v>
      </c>
      <c r="K16" s="3"/>
      <c r="L16" s="3">
        <f>+D16-H16</f>
        <v>0</v>
      </c>
      <c r="M16" s="3"/>
      <c r="N16" s="20">
        <f>IF(H16=0,0,L16/H16)</f>
        <v>0</v>
      </c>
      <c r="O16" s="12"/>
      <c r="P16" s="3"/>
      <c r="Q16" s="3"/>
      <c r="R16" s="20">
        <f>IF(P$12=0,0,P16/P$12)</f>
        <v>0</v>
      </c>
      <c r="S16" s="3"/>
      <c r="T16" s="3">
        <v>0</v>
      </c>
      <c r="U16" s="3"/>
      <c r="V16" s="20">
        <f>IF(T$12=0,0,T16/T$12)</f>
        <v>0</v>
      </c>
      <c r="W16" s="3"/>
      <c r="X16" s="3">
        <f>+P16-T16</f>
        <v>0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>
        <f>D12-D14</f>
        <v>0</v>
      </c>
      <c r="E18" s="15"/>
      <c r="F18" s="23">
        <f>IF(D$12=0,0,D18/D$12)</f>
        <v>0</v>
      </c>
      <c r="G18" s="15"/>
      <c r="H18" s="22">
        <f>H12-H14</f>
        <v>0</v>
      </c>
      <c r="I18" s="15"/>
      <c r="J18" s="23">
        <f>IF(H$12=0,0,H18/H$12)</f>
        <v>0</v>
      </c>
      <c r="K18" s="16"/>
      <c r="L18" s="22">
        <f>+D18-H18</f>
        <v>0</v>
      </c>
      <c r="M18" s="16"/>
      <c r="N18" s="23">
        <f>IF(H18=0,0,L18/H18)</f>
        <v>0</v>
      </c>
      <c r="O18" s="28"/>
      <c r="P18" s="22">
        <f>P12-P14</f>
        <v>0</v>
      </c>
      <c r="Q18" s="15"/>
      <c r="R18" s="23">
        <f>IF(P$12=0,0,P18/P$12)</f>
        <v>0</v>
      </c>
      <c r="S18" s="15"/>
      <c r="T18" s="22">
        <f>T12-T14</f>
        <v>0</v>
      </c>
      <c r="U18" s="15"/>
      <c r="V18" s="23">
        <f>IF(T$12=0,0,T18/T$12)</f>
        <v>0</v>
      </c>
      <c r="W18" s="16"/>
      <c r="X18" s="22">
        <f>+P18-T18</f>
        <v>0</v>
      </c>
      <c r="Y18" s="16"/>
      <c r="Z18" s="23">
        <f>IF(T18=0,0,X18/T18)</f>
        <v>0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cm="1">
        <f t="array" ref="D20">SUM(OSRRefD22x_0)</f>
        <v>144580.89000000004</v>
      </c>
      <c r="E20" s="21"/>
      <c r="F20" s="31">
        <f t="shared" ref="F20:F51" si="0">IF(D$12=0,0,D20/D$12)</f>
        <v>0</v>
      </c>
      <c r="G20" s="21"/>
      <c r="H20" s="21" cm="1">
        <f t="array" ref="H20">SUM(OSRRefH22x_0)</f>
        <v>107231.39999999998</v>
      </c>
      <c r="I20" s="21"/>
      <c r="J20" s="31">
        <f t="shared" ref="J20:J51" si="1">IF(H$12=0,0,H20/H$12)</f>
        <v>0</v>
      </c>
      <c r="K20" s="5"/>
      <c r="L20" s="21">
        <f t="shared" ref="L20:L51" si="2">+D20-H20</f>
        <v>37349.490000000063</v>
      </c>
      <c r="M20" s="5"/>
      <c r="N20" s="31">
        <f t="shared" ref="N20:N51" si="3">IF(H20=0,0,L20/H20)</f>
        <v>0.34830739876566069</v>
      </c>
      <c r="O20" s="11"/>
      <c r="P20" s="21" cm="1">
        <f t="array" ref="P20">SUM(OSRRefP22x_0)</f>
        <v>1564104.4000000001</v>
      </c>
      <c r="Q20" s="21"/>
      <c r="R20" s="31">
        <f t="shared" ref="R20:R51" si="4">IF(P$12=0,0,P20/P$12)</f>
        <v>0</v>
      </c>
      <c r="S20" s="21"/>
      <c r="T20" s="21" cm="1">
        <f t="array" ref="T20">SUM(OSRRefT22x_0)</f>
        <v>1308870.2499999998</v>
      </c>
      <c r="U20" s="21"/>
      <c r="V20" s="31">
        <f t="shared" ref="V20:V51" si="5">IF(T$12=0,0,T20/T$12)</f>
        <v>0</v>
      </c>
      <c r="W20" s="5"/>
      <c r="X20" s="21">
        <f t="shared" ref="X20:X51" si="6">+P20-T20</f>
        <v>255234.15000000037</v>
      </c>
      <c r="Y20" s="5"/>
      <c r="Z20" s="31">
        <f t="shared" ref="Z20:Z51" si="7">IF(T20=0,0,X20/T20)</f>
        <v>0.19500340083365819</v>
      </c>
    </row>
    <row r="21" spans="1:26" s="68" customFormat="1" ht="15" customHeight="1" outlineLevel="1" collapsed="1" x14ac:dyDescent="0.25">
      <c r="A21" s="26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14064.909999999998</v>
      </c>
      <c r="E21" s="2"/>
      <c r="F21" s="6">
        <f t="shared" si="0"/>
        <v>0</v>
      </c>
      <c r="G21" s="2"/>
      <c r="H21" s="2">
        <f>SUM(OSRRefH22_0x_0)</f>
        <v>12885.14</v>
      </c>
      <c r="I21" s="2"/>
      <c r="J21" s="6">
        <f t="shared" si="1"/>
        <v>0</v>
      </c>
      <c r="K21" s="2"/>
      <c r="L21" s="2">
        <f t="shared" si="2"/>
        <v>1179.7699999999986</v>
      </c>
      <c r="M21" s="2"/>
      <c r="N21" s="6">
        <f t="shared" si="3"/>
        <v>9.1560510789948632E-2</v>
      </c>
      <c r="O21" s="14"/>
      <c r="P21" s="2">
        <f>SUM(OSRRefP22_0x_0)</f>
        <v>159249.60000000001</v>
      </c>
      <c r="Q21" s="2"/>
      <c r="R21" s="6">
        <f t="shared" si="4"/>
        <v>0</v>
      </c>
      <c r="S21" s="2"/>
      <c r="T21" s="2">
        <f>SUM(OSRRefT22_0x_0)</f>
        <v>111211.62999999999</v>
      </c>
      <c r="U21" s="2"/>
      <c r="V21" s="6">
        <f t="shared" si="5"/>
        <v>0</v>
      </c>
      <c r="W21" s="2"/>
      <c r="X21" s="2">
        <f t="shared" si="6"/>
        <v>48037.970000000016</v>
      </c>
      <c r="Y21" s="2"/>
      <c r="Z21" s="6">
        <f t="shared" si="7"/>
        <v>0.43195095692779634</v>
      </c>
    </row>
    <row r="22" spans="1:26" s="69" customFormat="1" ht="15" hidden="1" customHeight="1" outlineLevel="2" x14ac:dyDescent="0.25">
      <c r="A22" s="25"/>
      <c r="B22" s="12" t="str">
        <f>CONCATENATE("          ","6111"," - ","F.I.C.A.")</f>
        <v xml:space="preserve">          6111 - F.I.C.A.</v>
      </c>
      <c r="C22" s="12"/>
      <c r="D22" s="7">
        <v>2725.38</v>
      </c>
      <c r="E22" s="3"/>
      <c r="F22" s="8">
        <f t="shared" si="0"/>
        <v>0</v>
      </c>
      <c r="G22" s="3"/>
      <c r="H22" s="7">
        <v>2204.5</v>
      </c>
      <c r="I22" s="3"/>
      <c r="J22" s="8">
        <f t="shared" si="1"/>
        <v>0</v>
      </c>
      <c r="K22" s="3"/>
      <c r="L22" s="7">
        <f t="shared" si="2"/>
        <v>520.88000000000011</v>
      </c>
      <c r="M22" s="3"/>
      <c r="N22" s="8">
        <f t="shared" si="3"/>
        <v>0.23628033567702431</v>
      </c>
      <c r="O22" s="12"/>
      <c r="P22" s="7">
        <v>28713.81</v>
      </c>
      <c r="Q22" s="3"/>
      <c r="R22" s="8">
        <f t="shared" si="4"/>
        <v>0</v>
      </c>
      <c r="S22" s="3"/>
      <c r="T22" s="7">
        <v>25467.3</v>
      </c>
      <c r="U22" s="3"/>
      <c r="V22" s="8">
        <f t="shared" si="5"/>
        <v>0</v>
      </c>
      <c r="W22" s="3"/>
      <c r="X22" s="7">
        <f t="shared" si="6"/>
        <v>3246.510000000002</v>
      </c>
      <c r="Y22" s="3"/>
      <c r="Z22" s="8">
        <f t="shared" si="7"/>
        <v>0.12747758890812932</v>
      </c>
    </row>
    <row r="23" spans="1:26" s="69" customFormat="1" ht="15" hidden="1" customHeight="1" outlineLevel="2" x14ac:dyDescent="0.25">
      <c r="A23" s="25"/>
      <c r="B23" s="12" t="str">
        <f>CONCATENATE("          ","6112"," - ","COMPENSATION INSURANCE")</f>
        <v xml:space="preserve">          6112 - COMPENSATION INSURANCE</v>
      </c>
      <c r="C23" s="12"/>
      <c r="D23" s="7">
        <v>1059.0999999999999</v>
      </c>
      <c r="E23" s="3"/>
      <c r="F23" s="8">
        <f t="shared" si="0"/>
        <v>0</v>
      </c>
      <c r="G23" s="3"/>
      <c r="H23" s="7">
        <v>932.61</v>
      </c>
      <c r="I23" s="3"/>
      <c r="J23" s="8">
        <f t="shared" si="1"/>
        <v>0</v>
      </c>
      <c r="K23" s="3"/>
      <c r="L23" s="7">
        <f t="shared" si="2"/>
        <v>126.4899999999999</v>
      </c>
      <c r="M23" s="3"/>
      <c r="N23" s="8">
        <f t="shared" si="3"/>
        <v>0.1356301133378367</v>
      </c>
      <c r="O23" s="12"/>
      <c r="P23" s="7">
        <v>8670.43</v>
      </c>
      <c r="Q23" s="3"/>
      <c r="R23" s="8">
        <f t="shared" si="4"/>
        <v>0</v>
      </c>
      <c r="S23" s="3"/>
      <c r="T23" s="7">
        <v>7806.66</v>
      </c>
      <c r="U23" s="3"/>
      <c r="V23" s="8">
        <f t="shared" si="5"/>
        <v>0</v>
      </c>
      <c r="W23" s="3"/>
      <c r="X23" s="7">
        <f t="shared" si="6"/>
        <v>863.77000000000044</v>
      </c>
      <c r="Y23" s="3"/>
      <c r="Z23" s="8">
        <f t="shared" si="7"/>
        <v>0.11064526955189549</v>
      </c>
    </row>
    <row r="24" spans="1:26" s="69" customFormat="1" ht="15" hidden="1" customHeight="1" outlineLevel="2" x14ac:dyDescent="0.25">
      <c r="A24" s="25"/>
      <c r="B24" s="12" t="str">
        <f>CONCATENATE("          ","6113"," - ","GROUP INSURANCE")</f>
        <v xml:space="preserve">          6113 - GROUP INSURANCE</v>
      </c>
      <c r="C24" s="12"/>
      <c r="D24" s="7">
        <v>4880.57</v>
      </c>
      <c r="E24" s="3"/>
      <c r="F24" s="8">
        <f t="shared" si="0"/>
        <v>0</v>
      </c>
      <c r="G24" s="3"/>
      <c r="H24" s="7">
        <v>5096.28</v>
      </c>
      <c r="I24" s="3"/>
      <c r="J24" s="8">
        <f t="shared" si="1"/>
        <v>0</v>
      </c>
      <c r="K24" s="3"/>
      <c r="L24" s="7">
        <f t="shared" si="2"/>
        <v>-215.71000000000004</v>
      </c>
      <c r="M24" s="3"/>
      <c r="N24" s="8">
        <f t="shared" si="3"/>
        <v>-4.2326952208277417E-2</v>
      </c>
      <c r="O24" s="12"/>
      <c r="P24" s="7">
        <v>56803.93</v>
      </c>
      <c r="Q24" s="3"/>
      <c r="R24" s="8">
        <f t="shared" si="4"/>
        <v>0</v>
      </c>
      <c r="S24" s="3"/>
      <c r="T24" s="7">
        <v>35333.129999999997</v>
      </c>
      <c r="U24" s="3"/>
      <c r="V24" s="8">
        <f t="shared" si="5"/>
        <v>0</v>
      </c>
      <c r="W24" s="3"/>
      <c r="X24" s="7">
        <f t="shared" si="6"/>
        <v>21470.800000000003</v>
      </c>
      <c r="Y24" s="3"/>
      <c r="Z24" s="8">
        <f t="shared" si="7"/>
        <v>0.60766764789872862</v>
      </c>
    </row>
    <row r="25" spans="1:26" s="69" customFormat="1" ht="15" hidden="1" customHeight="1" outlineLevel="2" x14ac:dyDescent="0.25">
      <c r="A25" s="25"/>
      <c r="B25" s="12" t="str">
        <f>CONCATENATE("          ","6114"," - ","STATE UNEMPLOYMENT INSURANCE")</f>
        <v xml:space="preserve">          6114 - STATE UNEMPLOYMENT INSURANCE</v>
      </c>
      <c r="C25" s="12"/>
      <c r="D25" s="7">
        <v>188.95</v>
      </c>
      <c r="E25" s="3"/>
      <c r="F25" s="8">
        <f t="shared" si="0"/>
        <v>0</v>
      </c>
      <c r="G25" s="3"/>
      <c r="H25" s="7">
        <v>144.46</v>
      </c>
      <c r="I25" s="3"/>
      <c r="J25" s="8">
        <f t="shared" si="1"/>
        <v>0</v>
      </c>
      <c r="K25" s="3"/>
      <c r="L25" s="7">
        <f t="shared" si="2"/>
        <v>44.489999999999981</v>
      </c>
      <c r="M25" s="3"/>
      <c r="N25" s="8">
        <f t="shared" si="3"/>
        <v>0.30797452582029611</v>
      </c>
      <c r="O25" s="12"/>
      <c r="P25" s="7">
        <v>1547.54</v>
      </c>
      <c r="Q25" s="3"/>
      <c r="R25" s="8">
        <f t="shared" si="4"/>
        <v>0</v>
      </c>
      <c r="S25" s="3"/>
      <c r="T25" s="7">
        <v>1213.46</v>
      </c>
      <c r="U25" s="3"/>
      <c r="V25" s="8">
        <f t="shared" si="5"/>
        <v>0</v>
      </c>
      <c r="W25" s="3"/>
      <c r="X25" s="7">
        <f t="shared" si="6"/>
        <v>334.07999999999993</v>
      </c>
      <c r="Y25" s="3"/>
      <c r="Z25" s="8">
        <f t="shared" si="7"/>
        <v>0.27531191798658378</v>
      </c>
    </row>
    <row r="26" spans="1:26" s="69" customFormat="1" ht="15" hidden="1" customHeight="1" outlineLevel="2" x14ac:dyDescent="0.25">
      <c r="A26" s="25"/>
      <c r="B26" s="12" t="str">
        <f>CONCATENATE("          ","6115"," - ","P.E.R.S.")</f>
        <v xml:space="preserve">          6115 - P.E.R.S.</v>
      </c>
      <c r="C26" s="12"/>
      <c r="D26" s="7">
        <v>1409.47</v>
      </c>
      <c r="E26" s="3"/>
      <c r="F26" s="8">
        <f t="shared" si="0"/>
        <v>0</v>
      </c>
      <c r="G26" s="3"/>
      <c r="H26" s="7">
        <v>1040.94</v>
      </c>
      <c r="I26" s="3"/>
      <c r="J26" s="8">
        <f t="shared" si="1"/>
        <v>0</v>
      </c>
      <c r="K26" s="3"/>
      <c r="L26" s="7">
        <f t="shared" si="2"/>
        <v>368.53</v>
      </c>
      <c r="M26" s="3"/>
      <c r="N26" s="8">
        <f t="shared" si="3"/>
        <v>0.3540357753568889</v>
      </c>
      <c r="O26" s="12"/>
      <c r="P26" s="7">
        <v>18395.11</v>
      </c>
      <c r="Q26" s="3"/>
      <c r="R26" s="8">
        <f t="shared" si="4"/>
        <v>0</v>
      </c>
      <c r="S26" s="3"/>
      <c r="T26" s="7">
        <v>13603.8</v>
      </c>
      <c r="U26" s="3"/>
      <c r="V26" s="8">
        <f t="shared" si="5"/>
        <v>0</v>
      </c>
      <c r="W26" s="3"/>
      <c r="X26" s="7">
        <f t="shared" si="6"/>
        <v>4791.3100000000013</v>
      </c>
      <c r="Y26" s="3"/>
      <c r="Z26" s="8">
        <f t="shared" si="7"/>
        <v>0.35220379599817708</v>
      </c>
    </row>
    <row r="27" spans="1:26" s="69" customFormat="1" ht="15" hidden="1" customHeight="1" outlineLevel="2" x14ac:dyDescent="0.25">
      <c r="A27" s="25"/>
      <c r="B27" s="12" t="str">
        <f>CONCATENATE("          ","6116"," - ","EDUCATIONAL BENEFITS")</f>
        <v xml:space="preserve">          6116 - EDUCATIONAL BENEFITS</v>
      </c>
      <c r="C27" s="12"/>
      <c r="D27" s="7"/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401.9</v>
      </c>
      <c r="U27" s="3"/>
      <c r="V27" s="8">
        <f t="shared" si="5"/>
        <v>0</v>
      </c>
      <c r="W27" s="3"/>
      <c r="X27" s="7">
        <f t="shared" si="6"/>
        <v>-401.9</v>
      </c>
      <c r="Y27" s="3"/>
      <c r="Z27" s="8">
        <f t="shared" si="7"/>
        <v>-1</v>
      </c>
    </row>
    <row r="28" spans="1:26" s="69" customFormat="1" ht="15" hidden="1" customHeight="1" outlineLevel="2" x14ac:dyDescent="0.25">
      <c r="A28" s="25"/>
      <c r="B28" s="12" t="str">
        <f>CONCATENATE("          ","6117"," - ","RETIREMENT STAFF HOURLY")</f>
        <v xml:space="preserve">          6117 - RETIREMENT STAFF HOURLY</v>
      </c>
      <c r="C28" s="12"/>
      <c r="D28" s="7">
        <v>499.96</v>
      </c>
      <c r="E28" s="3"/>
      <c r="F28" s="8">
        <f t="shared" si="0"/>
        <v>0</v>
      </c>
      <c r="G28" s="3"/>
      <c r="H28" s="7">
        <v>231.77</v>
      </c>
      <c r="I28" s="3"/>
      <c r="J28" s="8">
        <f t="shared" si="1"/>
        <v>0</v>
      </c>
      <c r="K28" s="3"/>
      <c r="L28" s="7">
        <f t="shared" si="2"/>
        <v>268.18999999999994</v>
      </c>
      <c r="M28" s="3"/>
      <c r="N28" s="8">
        <f t="shared" si="3"/>
        <v>1.157138542520602</v>
      </c>
      <c r="O28" s="12"/>
      <c r="P28" s="7">
        <v>4159.82</v>
      </c>
      <c r="Q28" s="3"/>
      <c r="R28" s="8">
        <f t="shared" si="4"/>
        <v>0</v>
      </c>
      <c r="S28" s="3"/>
      <c r="T28" s="7">
        <v>1236.92</v>
      </c>
      <c r="U28" s="3"/>
      <c r="V28" s="8">
        <f t="shared" si="5"/>
        <v>0</v>
      </c>
      <c r="W28" s="3"/>
      <c r="X28" s="7">
        <f t="shared" si="6"/>
        <v>2922.8999999999996</v>
      </c>
      <c r="Y28" s="3"/>
      <c r="Z28" s="8">
        <f t="shared" si="7"/>
        <v>2.3630469230022957</v>
      </c>
    </row>
    <row r="29" spans="1:26" s="69" customFormat="1" ht="15" hidden="1" customHeight="1" outlineLevel="2" x14ac:dyDescent="0.25">
      <c r="A29" s="25"/>
      <c r="B29" s="12" t="str">
        <f>CONCATENATE("          ","6118"," - ","VACATION")</f>
        <v xml:space="preserve">          6118 - VACATION</v>
      </c>
      <c r="C29" s="12"/>
      <c r="D29" s="7">
        <v>1424.14</v>
      </c>
      <c r="E29" s="3"/>
      <c r="F29" s="8">
        <f t="shared" si="0"/>
        <v>0</v>
      </c>
      <c r="G29" s="3"/>
      <c r="H29" s="7">
        <v>1196.98</v>
      </c>
      <c r="I29" s="3"/>
      <c r="J29" s="8">
        <f t="shared" si="1"/>
        <v>0</v>
      </c>
      <c r="K29" s="3"/>
      <c r="L29" s="7">
        <f t="shared" si="2"/>
        <v>227.16000000000008</v>
      </c>
      <c r="M29" s="3"/>
      <c r="N29" s="8">
        <f t="shared" si="3"/>
        <v>0.18977760697756027</v>
      </c>
      <c r="O29" s="12"/>
      <c r="P29" s="7">
        <v>17776.78</v>
      </c>
      <c r="Q29" s="3"/>
      <c r="R29" s="8">
        <f t="shared" si="4"/>
        <v>0</v>
      </c>
      <c r="S29" s="3"/>
      <c r="T29" s="7">
        <v>13398.4</v>
      </c>
      <c r="U29" s="3"/>
      <c r="V29" s="8">
        <f t="shared" si="5"/>
        <v>0</v>
      </c>
      <c r="W29" s="3"/>
      <c r="X29" s="7">
        <f t="shared" si="6"/>
        <v>4378.3799999999992</v>
      </c>
      <c r="Y29" s="3"/>
      <c r="Z29" s="8">
        <f t="shared" si="7"/>
        <v>0.32678379508000949</v>
      </c>
    </row>
    <row r="30" spans="1:26" s="69" customFormat="1" ht="15" hidden="1" customHeight="1" outlineLevel="2" x14ac:dyDescent="0.25">
      <c r="A30" s="25"/>
      <c r="B30" s="12" t="str">
        <f>CONCATENATE("          ","6119"," - ","SICK LEAVE")</f>
        <v xml:space="preserve">          6119 - SICK LEAVE</v>
      </c>
      <c r="C30" s="12"/>
      <c r="D30" s="7">
        <v>1093.08</v>
      </c>
      <c r="E30" s="3"/>
      <c r="F30" s="8">
        <f t="shared" si="0"/>
        <v>0</v>
      </c>
      <c r="G30" s="3"/>
      <c r="H30" s="7">
        <v>1695.27</v>
      </c>
      <c r="I30" s="3"/>
      <c r="J30" s="8">
        <f t="shared" si="1"/>
        <v>0</v>
      </c>
      <c r="K30" s="3"/>
      <c r="L30" s="7">
        <f t="shared" si="2"/>
        <v>-602.19000000000005</v>
      </c>
      <c r="M30" s="3"/>
      <c r="N30" s="8">
        <f t="shared" si="3"/>
        <v>-0.35521775292431296</v>
      </c>
      <c r="O30" s="12"/>
      <c r="P30" s="7">
        <v>15367.21</v>
      </c>
      <c r="Q30" s="3"/>
      <c r="R30" s="8">
        <f t="shared" si="4"/>
        <v>0</v>
      </c>
      <c r="S30" s="3"/>
      <c r="T30" s="7">
        <v>10310.33</v>
      </c>
      <c r="U30" s="3"/>
      <c r="V30" s="8">
        <f t="shared" si="5"/>
        <v>0</v>
      </c>
      <c r="W30" s="3"/>
      <c r="X30" s="7">
        <f t="shared" si="6"/>
        <v>5056.8799999999992</v>
      </c>
      <c r="Y30" s="3"/>
      <c r="Z30" s="8">
        <f t="shared" si="7"/>
        <v>0.49046732742792898</v>
      </c>
    </row>
    <row r="31" spans="1:26" s="69" customFormat="1" ht="15" hidden="1" customHeight="1" outlineLevel="2" x14ac:dyDescent="0.25">
      <c r="A31" s="25"/>
      <c r="B31" s="12" t="str">
        <f>CONCATENATE("          ","6156"," - ","EMPLOYEE MEALS")</f>
        <v xml:space="preserve">          6156 - EMPLOYEE MEALS</v>
      </c>
      <c r="C31" s="12"/>
      <c r="D31" s="7">
        <v>784.26</v>
      </c>
      <c r="E31" s="3"/>
      <c r="F31" s="8">
        <f t="shared" si="0"/>
        <v>0</v>
      </c>
      <c r="G31" s="3"/>
      <c r="H31" s="7">
        <v>342.33</v>
      </c>
      <c r="I31" s="3"/>
      <c r="J31" s="8">
        <f t="shared" si="1"/>
        <v>0</v>
      </c>
      <c r="K31" s="3"/>
      <c r="L31" s="7">
        <f t="shared" si="2"/>
        <v>441.93</v>
      </c>
      <c r="M31" s="3"/>
      <c r="N31" s="8">
        <f t="shared" si="3"/>
        <v>1.2909473315222155</v>
      </c>
      <c r="O31" s="12"/>
      <c r="P31" s="7">
        <v>7814.97</v>
      </c>
      <c r="Q31" s="3"/>
      <c r="R31" s="8">
        <f t="shared" si="4"/>
        <v>0</v>
      </c>
      <c r="S31" s="3"/>
      <c r="T31" s="7">
        <v>2439.73</v>
      </c>
      <c r="U31" s="3"/>
      <c r="V31" s="8">
        <f t="shared" si="5"/>
        <v>0</v>
      </c>
      <c r="W31" s="3"/>
      <c r="X31" s="7">
        <f t="shared" si="6"/>
        <v>5375.24</v>
      </c>
      <c r="Y31" s="3"/>
      <c r="Z31" s="8">
        <f t="shared" si="7"/>
        <v>2.2032110110545018</v>
      </c>
    </row>
    <row r="32" spans="1:26" s="68" customFormat="1" ht="15" customHeight="1" outlineLevel="1" collapsed="1" x14ac:dyDescent="0.25">
      <c r="A32" s="26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46170.02</v>
      </c>
      <c r="E32" s="2"/>
      <c r="F32" s="6">
        <f t="shared" si="0"/>
        <v>0</v>
      </c>
      <c r="G32" s="2"/>
      <c r="H32" s="2">
        <f>SUM(OSRRefH22_1x_0)</f>
        <v>36886.210000000006</v>
      </c>
      <c r="I32" s="2"/>
      <c r="J32" s="6">
        <f t="shared" si="1"/>
        <v>0</v>
      </c>
      <c r="K32" s="2"/>
      <c r="L32" s="2">
        <f t="shared" si="2"/>
        <v>9283.8099999999904</v>
      </c>
      <c r="M32" s="2"/>
      <c r="N32" s="6">
        <f t="shared" si="3"/>
        <v>0.25168782588398181</v>
      </c>
      <c r="O32" s="14"/>
      <c r="P32" s="2">
        <f>SUM(OSRRefP22_1x_0)</f>
        <v>585560.05000000005</v>
      </c>
      <c r="Q32" s="2"/>
      <c r="R32" s="6">
        <f t="shared" si="4"/>
        <v>0</v>
      </c>
      <c r="S32" s="2"/>
      <c r="T32" s="2">
        <f>SUM(OSRRefT22_1x_0)</f>
        <v>451590.59000000008</v>
      </c>
      <c r="U32" s="2"/>
      <c r="V32" s="6">
        <f t="shared" si="5"/>
        <v>0</v>
      </c>
      <c r="W32" s="2"/>
      <c r="X32" s="2">
        <f t="shared" si="6"/>
        <v>133969.45999999996</v>
      </c>
      <c r="Y32" s="2"/>
      <c r="Z32" s="6">
        <f t="shared" si="7"/>
        <v>0.29666131882863178</v>
      </c>
    </row>
    <row r="33" spans="1:26" s="69" customFormat="1" ht="15" hidden="1" customHeight="1" outlineLevel="2" x14ac:dyDescent="0.25">
      <c r="A33" s="25"/>
      <c r="B33" s="12" t="str">
        <f>CONCATENATE("          ","6001"," - ","ADMINISTRATIVE SALARIES")</f>
        <v xml:space="preserve">          6001 - ADMINISTRATIVE SALARIES</v>
      </c>
      <c r="C33" s="12"/>
      <c r="D33" s="7">
        <v>3726.6</v>
      </c>
      <c r="E33" s="3"/>
      <c r="F33" s="8">
        <f t="shared" si="0"/>
        <v>0</v>
      </c>
      <c r="G33" s="3"/>
      <c r="H33" s="7">
        <v>4205.74</v>
      </c>
      <c r="I33" s="3"/>
      <c r="J33" s="8">
        <f t="shared" si="1"/>
        <v>0</v>
      </c>
      <c r="K33" s="3"/>
      <c r="L33" s="7">
        <f t="shared" si="2"/>
        <v>-479.13999999999987</v>
      </c>
      <c r="M33" s="3"/>
      <c r="N33" s="8">
        <f t="shared" si="3"/>
        <v>-0.11392525453309046</v>
      </c>
      <c r="O33" s="12"/>
      <c r="P33" s="7">
        <v>51393.13</v>
      </c>
      <c r="Q33" s="3"/>
      <c r="R33" s="8">
        <f t="shared" si="4"/>
        <v>0</v>
      </c>
      <c r="S33" s="3"/>
      <c r="T33" s="7">
        <v>47709.85</v>
      </c>
      <c r="U33" s="3"/>
      <c r="V33" s="8">
        <f t="shared" si="5"/>
        <v>0</v>
      </c>
      <c r="W33" s="3"/>
      <c r="X33" s="7">
        <f t="shared" si="6"/>
        <v>3683.2799999999988</v>
      </c>
      <c r="Y33" s="3"/>
      <c r="Z33" s="8">
        <f t="shared" si="7"/>
        <v>7.7201667999375376E-2</v>
      </c>
    </row>
    <row r="34" spans="1:26" s="69" customFormat="1" ht="15" hidden="1" customHeight="1" outlineLevel="2" x14ac:dyDescent="0.25">
      <c r="A34" s="25"/>
      <c r="B34" s="12" t="str">
        <f>CONCATENATE("          ","6002"," - ","STAFF SALARIES")</f>
        <v xml:space="preserve">          6002 - STAFF SALARIES</v>
      </c>
      <c r="C34" s="12"/>
      <c r="D34" s="7">
        <v>10120.02</v>
      </c>
      <c r="E34" s="3"/>
      <c r="F34" s="8">
        <f t="shared" si="0"/>
        <v>0</v>
      </c>
      <c r="G34" s="3"/>
      <c r="H34" s="7">
        <v>9738.48</v>
      </c>
      <c r="I34" s="3"/>
      <c r="J34" s="8">
        <f t="shared" si="1"/>
        <v>0</v>
      </c>
      <c r="K34" s="3"/>
      <c r="L34" s="7">
        <f t="shared" si="2"/>
        <v>381.54000000000087</v>
      </c>
      <c r="M34" s="3"/>
      <c r="N34" s="8">
        <f t="shared" si="3"/>
        <v>3.9178598713557035E-2</v>
      </c>
      <c r="O34" s="12"/>
      <c r="P34" s="7">
        <v>123336.55</v>
      </c>
      <c r="Q34" s="3"/>
      <c r="R34" s="8">
        <f t="shared" si="4"/>
        <v>0</v>
      </c>
      <c r="S34" s="3"/>
      <c r="T34" s="7">
        <v>104001.57</v>
      </c>
      <c r="U34" s="3"/>
      <c r="V34" s="8">
        <f t="shared" si="5"/>
        <v>0</v>
      </c>
      <c r="W34" s="3"/>
      <c r="X34" s="7">
        <f t="shared" si="6"/>
        <v>19334.979999999996</v>
      </c>
      <c r="Y34" s="3"/>
      <c r="Z34" s="8">
        <f t="shared" si="7"/>
        <v>0.18591046269782269</v>
      </c>
    </row>
    <row r="35" spans="1:26" s="69" customFormat="1" ht="15" hidden="1" customHeight="1" outlineLevel="2" x14ac:dyDescent="0.25">
      <c r="A35" s="25"/>
      <c r="B35" s="12" t="str">
        <f>CONCATENATE("          ","6004"," - ","STAFF HOURLY")</f>
        <v xml:space="preserve">          6004 - STAFF HOURLY</v>
      </c>
      <c r="C35" s="12"/>
      <c r="D35" s="7">
        <v>7461.97</v>
      </c>
      <c r="E35" s="3"/>
      <c r="F35" s="8">
        <f t="shared" si="0"/>
        <v>0</v>
      </c>
      <c r="G35" s="3"/>
      <c r="H35" s="7">
        <v>2941.32</v>
      </c>
      <c r="I35" s="3"/>
      <c r="J35" s="8">
        <f t="shared" si="1"/>
        <v>0</v>
      </c>
      <c r="K35" s="3"/>
      <c r="L35" s="7">
        <f t="shared" si="2"/>
        <v>4520.6499999999996</v>
      </c>
      <c r="M35" s="3"/>
      <c r="N35" s="8">
        <f t="shared" si="3"/>
        <v>1.5369459970353445</v>
      </c>
      <c r="O35" s="12"/>
      <c r="P35" s="7">
        <v>85675.1</v>
      </c>
      <c r="Q35" s="3"/>
      <c r="R35" s="8">
        <f t="shared" si="4"/>
        <v>0</v>
      </c>
      <c r="S35" s="3"/>
      <c r="T35" s="7">
        <v>31886.57</v>
      </c>
      <c r="U35" s="3"/>
      <c r="V35" s="8">
        <f t="shared" si="5"/>
        <v>0</v>
      </c>
      <c r="W35" s="3"/>
      <c r="X35" s="7">
        <f t="shared" si="6"/>
        <v>53788.530000000006</v>
      </c>
      <c r="Y35" s="3"/>
      <c r="Z35" s="8">
        <f t="shared" si="7"/>
        <v>1.6868709930230816</v>
      </c>
    </row>
    <row r="36" spans="1:26" s="69" customFormat="1" ht="15" hidden="1" customHeight="1" outlineLevel="2" x14ac:dyDescent="0.25">
      <c r="A36" s="25"/>
      <c r="B36" s="12" t="str">
        <f>CONCATENATE("          ","6005"," - ","TEMPORARY WAGES-HOURLY")</f>
        <v xml:space="preserve">          6005 - TEMPORARY WAGES-HOURLY</v>
      </c>
      <c r="C36" s="12"/>
      <c r="D36" s="7">
        <v>2184.14</v>
      </c>
      <c r="E36" s="3"/>
      <c r="F36" s="8">
        <f t="shared" si="0"/>
        <v>0</v>
      </c>
      <c r="G36" s="3"/>
      <c r="H36" s="7">
        <v>3180.04</v>
      </c>
      <c r="I36" s="3"/>
      <c r="J36" s="8">
        <f t="shared" si="1"/>
        <v>0</v>
      </c>
      <c r="K36" s="3"/>
      <c r="L36" s="7">
        <f t="shared" si="2"/>
        <v>-995.90000000000009</v>
      </c>
      <c r="M36" s="3"/>
      <c r="N36" s="8">
        <f t="shared" si="3"/>
        <v>-0.31317216135646098</v>
      </c>
      <c r="O36" s="12"/>
      <c r="P36" s="7">
        <v>30055.78</v>
      </c>
      <c r="Q36" s="3"/>
      <c r="R36" s="8">
        <f t="shared" si="4"/>
        <v>0</v>
      </c>
      <c r="S36" s="3"/>
      <c r="T36" s="7">
        <v>74582.42</v>
      </c>
      <c r="U36" s="3"/>
      <c r="V36" s="8">
        <f t="shared" si="5"/>
        <v>0</v>
      </c>
      <c r="W36" s="3"/>
      <c r="X36" s="7">
        <f t="shared" si="6"/>
        <v>-44526.64</v>
      </c>
      <c r="Y36" s="3"/>
      <c r="Z36" s="8">
        <f t="shared" si="7"/>
        <v>-0.59701253995244452</v>
      </c>
    </row>
    <row r="37" spans="1:26" s="69" customFormat="1" ht="15" hidden="1" customHeight="1" outlineLevel="2" x14ac:dyDescent="0.25">
      <c r="A37" s="25"/>
      <c r="B37" s="12" t="str">
        <f>CONCATENATE("          ","6006"," - ","TEMPORARY PART TIME")</f>
        <v xml:space="preserve">          6006 - TEMPORARY PART TIME</v>
      </c>
      <c r="C37" s="12"/>
      <c r="D37" s="7">
        <v>1520.8</v>
      </c>
      <c r="E37" s="3"/>
      <c r="F37" s="8">
        <f t="shared" si="0"/>
        <v>0</v>
      </c>
      <c r="G37" s="3"/>
      <c r="H37" s="7">
        <v>1043.7</v>
      </c>
      <c r="I37" s="3"/>
      <c r="J37" s="8">
        <f t="shared" si="1"/>
        <v>0</v>
      </c>
      <c r="K37" s="3"/>
      <c r="L37" s="7">
        <f t="shared" si="2"/>
        <v>477.09999999999991</v>
      </c>
      <c r="M37" s="3"/>
      <c r="N37" s="8">
        <f t="shared" si="3"/>
        <v>0.4571236945482417</v>
      </c>
      <c r="O37" s="12"/>
      <c r="P37" s="7">
        <v>19354.939999999999</v>
      </c>
      <c r="Q37" s="3"/>
      <c r="R37" s="8">
        <f t="shared" si="4"/>
        <v>0</v>
      </c>
      <c r="S37" s="3"/>
      <c r="T37" s="7">
        <v>12510.09</v>
      </c>
      <c r="U37" s="3"/>
      <c r="V37" s="8">
        <f t="shared" si="5"/>
        <v>0</v>
      </c>
      <c r="W37" s="3"/>
      <c r="X37" s="7">
        <f t="shared" si="6"/>
        <v>6844.8499999999985</v>
      </c>
      <c r="Y37" s="3"/>
      <c r="Z37" s="8">
        <f t="shared" si="7"/>
        <v>0.54714634347154967</v>
      </c>
    </row>
    <row r="38" spans="1:26" s="69" customFormat="1" ht="15" hidden="1" customHeight="1" outlineLevel="2" x14ac:dyDescent="0.25">
      <c r="A38" s="25"/>
      <c r="B38" s="12" t="str">
        <f>CONCATENATE("          ","6007"," - ","STUDENT HOURLY")</f>
        <v xml:space="preserve">          6007 - STUDENT HOURLY</v>
      </c>
      <c r="C38" s="12"/>
      <c r="D38" s="7">
        <v>20270.89</v>
      </c>
      <c r="E38" s="3"/>
      <c r="F38" s="8">
        <f t="shared" si="0"/>
        <v>0</v>
      </c>
      <c r="G38" s="3"/>
      <c r="H38" s="7">
        <v>15776.93</v>
      </c>
      <c r="I38" s="3"/>
      <c r="J38" s="8">
        <f t="shared" si="1"/>
        <v>0</v>
      </c>
      <c r="K38" s="3"/>
      <c r="L38" s="7">
        <f t="shared" si="2"/>
        <v>4493.9599999999991</v>
      </c>
      <c r="M38" s="3"/>
      <c r="N38" s="8">
        <f t="shared" si="3"/>
        <v>0.28484375604125767</v>
      </c>
      <c r="O38" s="12"/>
      <c r="P38" s="7">
        <v>258454.12</v>
      </c>
      <c r="Q38" s="3"/>
      <c r="R38" s="8">
        <f t="shared" si="4"/>
        <v>0</v>
      </c>
      <c r="S38" s="3"/>
      <c r="T38" s="7">
        <v>180900.09</v>
      </c>
      <c r="U38" s="3"/>
      <c r="V38" s="8">
        <f t="shared" si="5"/>
        <v>0</v>
      </c>
      <c r="W38" s="3"/>
      <c r="X38" s="7">
        <f t="shared" si="6"/>
        <v>77554.03</v>
      </c>
      <c r="Y38" s="3"/>
      <c r="Z38" s="8">
        <f t="shared" si="7"/>
        <v>0.42871194812562008</v>
      </c>
    </row>
    <row r="39" spans="1:26" s="69" customFormat="1" ht="15" hidden="1" customHeight="1" outlineLevel="2" x14ac:dyDescent="0.25">
      <c r="A39" s="25"/>
      <c r="B39" s="12" t="str">
        <f>CONCATENATE("          ","6008"," - ","STUDENT HOURLY-FICA EXEMPT")</f>
        <v xml:space="preserve">          6008 - STUDENT HOURLY-FICA EXEMPT</v>
      </c>
      <c r="C39" s="12"/>
      <c r="D39" s="7">
        <v>885.6</v>
      </c>
      <c r="E39" s="3"/>
      <c r="F39" s="8">
        <f t="shared" si="0"/>
        <v>0</v>
      </c>
      <c r="G39" s="3"/>
      <c r="H39" s="7"/>
      <c r="I39" s="3"/>
      <c r="J39" s="8">
        <f t="shared" si="1"/>
        <v>0</v>
      </c>
      <c r="K39" s="3"/>
      <c r="L39" s="7">
        <f t="shared" si="2"/>
        <v>885.6</v>
      </c>
      <c r="M39" s="3"/>
      <c r="N39" s="8">
        <f t="shared" si="3"/>
        <v>0</v>
      </c>
      <c r="O39" s="12"/>
      <c r="P39" s="7">
        <v>17290.43</v>
      </c>
      <c r="Q39" s="3"/>
      <c r="R39" s="8">
        <f t="shared" si="4"/>
        <v>0</v>
      </c>
      <c r="S39" s="3"/>
      <c r="T39" s="7"/>
      <c r="U39" s="3"/>
      <c r="V39" s="8">
        <f t="shared" si="5"/>
        <v>0</v>
      </c>
      <c r="W39" s="3"/>
      <c r="X39" s="7">
        <f t="shared" si="6"/>
        <v>17290.43</v>
      </c>
      <c r="Y39" s="3"/>
      <c r="Z39" s="8">
        <f t="shared" si="7"/>
        <v>0</v>
      </c>
    </row>
    <row r="40" spans="1:26" s="68" customFormat="1" ht="15" customHeight="1" outlineLevel="1" collapsed="1" x14ac:dyDescent="0.25">
      <c r="A40" s="26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233.62</v>
      </c>
      <c r="Q40" s="2"/>
      <c r="R40" s="6">
        <f t="shared" si="4"/>
        <v>0</v>
      </c>
      <c r="S40" s="2"/>
      <c r="T40" s="2">
        <f>SUM(OSRRefT22_2x_0)</f>
        <v>525</v>
      </c>
      <c r="U40" s="2"/>
      <c r="V40" s="6">
        <f t="shared" si="5"/>
        <v>0</v>
      </c>
      <c r="W40" s="2"/>
      <c r="X40" s="2">
        <f t="shared" si="6"/>
        <v>-291.38</v>
      </c>
      <c r="Y40" s="2"/>
      <c r="Z40" s="6">
        <f t="shared" si="7"/>
        <v>-0.55500952380952384</v>
      </c>
    </row>
    <row r="41" spans="1:26" s="69" customFormat="1" ht="15" hidden="1" customHeight="1" outlineLevel="2" x14ac:dyDescent="0.25">
      <c r="A41" s="25"/>
      <c r="B41" s="12" t="str">
        <f>CONCATENATE("          ","6362"," - ","ADVERTISING EXPENSE")</f>
        <v xml:space="preserve">          6362 - ADVERTISING EXPENSE</v>
      </c>
      <c r="C41" s="12"/>
      <c r="D41" s="7"/>
      <c r="E41" s="3"/>
      <c r="F41" s="8">
        <f t="shared" si="0"/>
        <v>0</v>
      </c>
      <c r="G41" s="3"/>
      <c r="H41" s="7"/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>
        <v>233.62</v>
      </c>
      <c r="Q41" s="3"/>
      <c r="R41" s="8">
        <f t="shared" si="4"/>
        <v>0</v>
      </c>
      <c r="S41" s="3"/>
      <c r="T41" s="7">
        <v>525</v>
      </c>
      <c r="U41" s="3"/>
      <c r="V41" s="8">
        <f t="shared" si="5"/>
        <v>0</v>
      </c>
      <c r="W41" s="3"/>
      <c r="X41" s="7">
        <f t="shared" si="6"/>
        <v>-291.38</v>
      </c>
      <c r="Y41" s="3"/>
      <c r="Z41" s="8">
        <f t="shared" si="7"/>
        <v>-0.55500952380952384</v>
      </c>
    </row>
    <row r="42" spans="1:26" s="68" customFormat="1" ht="15" customHeight="1" outlineLevel="1" collapsed="1" x14ac:dyDescent="0.25">
      <c r="A42" s="26"/>
      <c r="B42" s="14" t="str">
        <f>CONCATENATE("     ","Bad Debts/Over/Short                              ")</f>
        <v xml:space="preserve">     Bad Debts/Over/Short                              </v>
      </c>
      <c r="C42" s="14"/>
      <c r="D42" s="2">
        <f>SUM(OSRRefD22_3x_0)</f>
        <v>28.27</v>
      </c>
      <c r="E42" s="2"/>
      <c r="F42" s="6">
        <f t="shared" si="0"/>
        <v>0</v>
      </c>
      <c r="G42" s="2"/>
      <c r="H42" s="2">
        <f>SUM(OSRRefH22_3x_0)</f>
        <v>22.96</v>
      </c>
      <c r="I42" s="2"/>
      <c r="J42" s="6">
        <f t="shared" si="1"/>
        <v>0</v>
      </c>
      <c r="K42" s="2"/>
      <c r="L42" s="2">
        <f t="shared" si="2"/>
        <v>5.3099999999999987</v>
      </c>
      <c r="M42" s="2"/>
      <c r="N42" s="6">
        <f t="shared" si="3"/>
        <v>0.23127177700348425</v>
      </c>
      <c r="O42" s="14"/>
      <c r="P42" s="2">
        <f>SUM(OSRRefP22_3x_0)</f>
        <v>91.95</v>
      </c>
      <c r="Q42" s="2"/>
      <c r="R42" s="6">
        <f t="shared" si="4"/>
        <v>0</v>
      </c>
      <c r="S42" s="2"/>
      <c r="T42" s="2">
        <f>SUM(OSRRefT22_3x_0)</f>
        <v>5227.66</v>
      </c>
      <c r="U42" s="2"/>
      <c r="V42" s="6">
        <f t="shared" si="5"/>
        <v>0</v>
      </c>
      <c r="W42" s="2"/>
      <c r="X42" s="2">
        <f t="shared" si="6"/>
        <v>-5135.71</v>
      </c>
      <c r="Y42" s="2"/>
      <c r="Z42" s="6">
        <f t="shared" si="7"/>
        <v>-0.9824108683426237</v>
      </c>
    </row>
    <row r="43" spans="1:26" s="69" customFormat="1" ht="15" hidden="1" customHeight="1" outlineLevel="2" x14ac:dyDescent="0.25">
      <c r="A43" s="25"/>
      <c r="B43" s="12" t="str">
        <f>CONCATENATE("          ","6272"," - ","CASH (OVER/SHORT)")</f>
        <v xml:space="preserve">          6272 - CASH (OVER/SHORT)</v>
      </c>
      <c r="C43" s="12"/>
      <c r="D43" s="7">
        <v>28.27</v>
      </c>
      <c r="E43" s="3"/>
      <c r="F43" s="8">
        <f t="shared" si="0"/>
        <v>0</v>
      </c>
      <c r="G43" s="3"/>
      <c r="H43" s="7">
        <v>22.96</v>
      </c>
      <c r="I43" s="3"/>
      <c r="J43" s="8">
        <f t="shared" si="1"/>
        <v>0</v>
      </c>
      <c r="K43" s="3"/>
      <c r="L43" s="7">
        <f t="shared" si="2"/>
        <v>5.3099999999999987</v>
      </c>
      <c r="M43" s="3"/>
      <c r="N43" s="8">
        <f t="shared" si="3"/>
        <v>0.23127177700348425</v>
      </c>
      <c r="O43" s="12"/>
      <c r="P43" s="7">
        <v>91.95</v>
      </c>
      <c r="Q43" s="3"/>
      <c r="R43" s="8">
        <f t="shared" si="4"/>
        <v>0</v>
      </c>
      <c r="S43" s="3"/>
      <c r="T43" s="7">
        <v>-121.76</v>
      </c>
      <c r="U43" s="3"/>
      <c r="V43" s="8">
        <f t="shared" si="5"/>
        <v>0</v>
      </c>
      <c r="W43" s="3"/>
      <c r="X43" s="7">
        <f t="shared" si="6"/>
        <v>213.71</v>
      </c>
      <c r="Y43" s="3"/>
      <c r="Z43" s="8">
        <f t="shared" si="7"/>
        <v>-1.7551741130091985</v>
      </c>
    </row>
    <row r="44" spans="1:26" s="69" customFormat="1" ht="15" hidden="1" customHeight="1" outlineLevel="2" x14ac:dyDescent="0.25">
      <c r="A44" s="25"/>
      <c r="B44" s="12" t="str">
        <f>CONCATENATE("          ","6342"," - ","BAD DEBT")</f>
        <v xml:space="preserve">          6342 - BAD DEBT</v>
      </c>
      <c r="C44" s="12"/>
      <c r="D44" s="7"/>
      <c r="E44" s="3"/>
      <c r="F44" s="8">
        <f t="shared" si="0"/>
        <v>0</v>
      </c>
      <c r="G44" s="3"/>
      <c r="H44" s="7"/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/>
      <c r="Q44" s="3"/>
      <c r="R44" s="8">
        <f t="shared" si="4"/>
        <v>0</v>
      </c>
      <c r="S44" s="3"/>
      <c r="T44" s="7">
        <v>5349.42</v>
      </c>
      <c r="U44" s="3"/>
      <c r="V44" s="8">
        <f t="shared" si="5"/>
        <v>0</v>
      </c>
      <c r="W44" s="3"/>
      <c r="X44" s="7">
        <f t="shared" si="6"/>
        <v>-5349.42</v>
      </c>
      <c r="Y44" s="3"/>
      <c r="Z44" s="8">
        <f t="shared" si="7"/>
        <v>-1</v>
      </c>
    </row>
    <row r="45" spans="1:26" s="68" customFormat="1" ht="15" customHeight="1" outlineLevel="1" collapsed="1" x14ac:dyDescent="0.25">
      <c r="A45" s="26"/>
      <c r="B45" s="14" t="str">
        <f>CONCATENATE("     ","Bank/card Fees                                    ")</f>
        <v xml:space="preserve">     Bank/card Fees                                    </v>
      </c>
      <c r="C45" s="14"/>
      <c r="D45" s="2">
        <f>SUM(OSRRefD22_4x_0)</f>
        <v>15234.47</v>
      </c>
      <c r="E45" s="2"/>
      <c r="F45" s="6">
        <f t="shared" si="0"/>
        <v>0</v>
      </c>
      <c r="G45" s="2"/>
      <c r="H45" s="2">
        <f>SUM(OSRRefH22_4x_0)</f>
        <v>3321.18</v>
      </c>
      <c r="I45" s="2"/>
      <c r="J45" s="6">
        <f t="shared" si="1"/>
        <v>0</v>
      </c>
      <c r="K45" s="2"/>
      <c r="L45" s="2">
        <f t="shared" si="2"/>
        <v>11913.289999999999</v>
      </c>
      <c r="M45" s="2"/>
      <c r="N45" s="6">
        <f t="shared" si="3"/>
        <v>3.5870654405964144</v>
      </c>
      <c r="O45" s="14"/>
      <c r="P45" s="2">
        <f>SUM(OSRRefP22_4x_0)</f>
        <v>136668.69</v>
      </c>
      <c r="Q45" s="2"/>
      <c r="R45" s="6">
        <f t="shared" si="4"/>
        <v>0</v>
      </c>
      <c r="S45" s="2"/>
      <c r="T45" s="2">
        <f>SUM(OSRRefT22_4x_0)</f>
        <v>74124.69</v>
      </c>
      <c r="U45" s="2"/>
      <c r="V45" s="6">
        <f t="shared" si="5"/>
        <v>0</v>
      </c>
      <c r="W45" s="2"/>
      <c r="X45" s="2">
        <f t="shared" si="6"/>
        <v>62544</v>
      </c>
      <c r="Y45" s="2"/>
      <c r="Z45" s="6">
        <f t="shared" si="7"/>
        <v>0.8437674410510182</v>
      </c>
    </row>
    <row r="46" spans="1:26" s="69" customFormat="1" ht="15" hidden="1" customHeight="1" outlineLevel="2" x14ac:dyDescent="0.25">
      <c r="A46" s="25"/>
      <c r="B46" s="12" t="str">
        <f>CONCATENATE("          ","6381"," - ","BANK/CREDIT CARD FEES")</f>
        <v xml:space="preserve">          6381 - BANK/CREDIT CARD FEES</v>
      </c>
      <c r="C46" s="12"/>
      <c r="D46" s="7">
        <v>15234.47</v>
      </c>
      <c r="E46" s="3"/>
      <c r="F46" s="8">
        <f t="shared" si="0"/>
        <v>0</v>
      </c>
      <c r="G46" s="3"/>
      <c r="H46" s="7">
        <v>3321.18</v>
      </c>
      <c r="I46" s="3"/>
      <c r="J46" s="8">
        <f t="shared" si="1"/>
        <v>0</v>
      </c>
      <c r="K46" s="3"/>
      <c r="L46" s="7">
        <f t="shared" si="2"/>
        <v>11913.289999999999</v>
      </c>
      <c r="M46" s="3"/>
      <c r="N46" s="8">
        <f t="shared" si="3"/>
        <v>3.5870654405964144</v>
      </c>
      <c r="O46" s="12"/>
      <c r="P46" s="7">
        <v>136668.69</v>
      </c>
      <c r="Q46" s="3"/>
      <c r="R46" s="8">
        <f t="shared" si="4"/>
        <v>0</v>
      </c>
      <c r="S46" s="3"/>
      <c r="T46" s="7">
        <v>74124.69</v>
      </c>
      <c r="U46" s="3"/>
      <c r="V46" s="8">
        <f t="shared" si="5"/>
        <v>0</v>
      </c>
      <c r="W46" s="3"/>
      <c r="X46" s="7">
        <f t="shared" si="6"/>
        <v>62544</v>
      </c>
      <c r="Y46" s="3"/>
      <c r="Z46" s="8">
        <f t="shared" si="7"/>
        <v>0.8437674410510182</v>
      </c>
    </row>
    <row r="47" spans="1:26" s="68" customFormat="1" ht="15" customHeight="1" outlineLevel="1" collapsed="1" x14ac:dyDescent="0.25">
      <c r="A47" s="26"/>
      <c r="B47" s="14" t="str">
        <f>CONCATENATE("     ","Depreciation                                      ")</f>
        <v xml:space="preserve">     Depreciation                                      </v>
      </c>
      <c r="C47" s="14"/>
      <c r="D47" s="2">
        <f>SUM(OSRRefD22_5x_0)</f>
        <v>16210.169999999998</v>
      </c>
      <c r="E47" s="2"/>
      <c r="F47" s="6">
        <f t="shared" si="0"/>
        <v>0</v>
      </c>
      <c r="G47" s="2"/>
      <c r="H47" s="2">
        <f>SUM(OSRRefH22_5x_0)</f>
        <v>30565.97</v>
      </c>
      <c r="I47" s="2"/>
      <c r="J47" s="6">
        <f t="shared" si="1"/>
        <v>0</v>
      </c>
      <c r="K47" s="2"/>
      <c r="L47" s="2">
        <f t="shared" si="2"/>
        <v>-14355.800000000003</v>
      </c>
      <c r="M47" s="2"/>
      <c r="N47" s="6">
        <f t="shared" si="3"/>
        <v>-0.46966610253167174</v>
      </c>
      <c r="O47" s="14"/>
      <c r="P47" s="2">
        <f>SUM(OSRRefP22_5x_0)</f>
        <v>298327.99</v>
      </c>
      <c r="Q47" s="2"/>
      <c r="R47" s="6">
        <f t="shared" si="4"/>
        <v>0</v>
      </c>
      <c r="S47" s="2"/>
      <c r="T47" s="2">
        <f>SUM(OSRRefT22_5x_0)</f>
        <v>336521.16000000003</v>
      </c>
      <c r="U47" s="2"/>
      <c r="V47" s="6">
        <f t="shared" si="5"/>
        <v>0</v>
      </c>
      <c r="W47" s="2"/>
      <c r="X47" s="2">
        <f t="shared" si="6"/>
        <v>-38193.170000000042</v>
      </c>
      <c r="Y47" s="2"/>
      <c r="Z47" s="6">
        <f t="shared" si="7"/>
        <v>-0.11349411133611936</v>
      </c>
    </row>
    <row r="48" spans="1:26" s="69" customFormat="1" ht="15" hidden="1" customHeight="1" outlineLevel="2" x14ac:dyDescent="0.25">
      <c r="A48" s="25"/>
      <c r="B48" s="12" t="str">
        <f>CONCATENATE("          ","6321"," - ","BUILDING DEPRECIATION")</f>
        <v xml:space="preserve">          6321 - BUILDING DEPRECIATION</v>
      </c>
      <c r="C48" s="12"/>
      <c r="D48" s="7">
        <v>13321.71</v>
      </c>
      <c r="E48" s="3"/>
      <c r="F48" s="8">
        <f t="shared" si="0"/>
        <v>0</v>
      </c>
      <c r="G48" s="3"/>
      <c r="H48" s="7">
        <v>16396.52</v>
      </c>
      <c r="I48" s="3"/>
      <c r="J48" s="8">
        <f t="shared" si="1"/>
        <v>0</v>
      </c>
      <c r="K48" s="3"/>
      <c r="L48" s="7">
        <f t="shared" si="2"/>
        <v>-3074.8100000000013</v>
      </c>
      <c r="M48" s="3"/>
      <c r="N48" s="8">
        <f t="shared" si="3"/>
        <v>-0.18752820720494356</v>
      </c>
      <c r="O48" s="12"/>
      <c r="P48" s="7">
        <v>165797.54999999999</v>
      </c>
      <c r="Q48" s="3"/>
      <c r="R48" s="8">
        <f t="shared" si="4"/>
        <v>0</v>
      </c>
      <c r="S48" s="3"/>
      <c r="T48" s="7">
        <v>180361.72</v>
      </c>
      <c r="U48" s="3"/>
      <c r="V48" s="8">
        <f t="shared" si="5"/>
        <v>0</v>
      </c>
      <c r="W48" s="3"/>
      <c r="X48" s="7">
        <f t="shared" si="6"/>
        <v>-14564.170000000013</v>
      </c>
      <c r="Y48" s="3"/>
      <c r="Z48" s="8">
        <f t="shared" si="7"/>
        <v>-8.0749784377749406E-2</v>
      </c>
    </row>
    <row r="49" spans="1:26" s="69" customFormat="1" ht="15" hidden="1" customHeight="1" outlineLevel="2" x14ac:dyDescent="0.25">
      <c r="A49" s="25"/>
      <c r="B49" s="12" t="str">
        <f>CONCATENATE("          ","6322"," - ","EQUIPMENT DEPRECIATION EXPENSE")</f>
        <v xml:space="preserve">          6322 - EQUIPMENT DEPRECIATION EXPENSE</v>
      </c>
      <c r="C49" s="12"/>
      <c r="D49" s="7">
        <v>2888.46</v>
      </c>
      <c r="E49" s="3"/>
      <c r="F49" s="8">
        <f t="shared" si="0"/>
        <v>0</v>
      </c>
      <c r="G49" s="3"/>
      <c r="H49" s="7">
        <v>14169.45</v>
      </c>
      <c r="I49" s="3"/>
      <c r="J49" s="8">
        <f t="shared" si="1"/>
        <v>0</v>
      </c>
      <c r="K49" s="3"/>
      <c r="L49" s="7">
        <f t="shared" si="2"/>
        <v>-11280.990000000002</v>
      </c>
      <c r="M49" s="3"/>
      <c r="N49" s="8">
        <f t="shared" si="3"/>
        <v>-0.79614875665604534</v>
      </c>
      <c r="O49" s="12"/>
      <c r="P49" s="7">
        <v>132530.44</v>
      </c>
      <c r="Q49" s="3"/>
      <c r="R49" s="8">
        <f t="shared" si="4"/>
        <v>0</v>
      </c>
      <c r="S49" s="3"/>
      <c r="T49" s="7">
        <v>156159.44</v>
      </c>
      <c r="U49" s="3"/>
      <c r="V49" s="8">
        <f t="shared" si="5"/>
        <v>0</v>
      </c>
      <c r="W49" s="3"/>
      <c r="X49" s="7">
        <f t="shared" si="6"/>
        <v>-23629</v>
      </c>
      <c r="Y49" s="3"/>
      <c r="Z49" s="8">
        <f t="shared" si="7"/>
        <v>-0.15131329876695254</v>
      </c>
    </row>
    <row r="50" spans="1:26" s="68" customFormat="1" ht="15" customHeight="1" outlineLevel="1" collapsed="1" x14ac:dyDescent="0.25">
      <c r="A50" s="26"/>
      <c r="B50" s="14" t="str">
        <f>CONCATENATE("     ","Discounts and Markdowns                           ")</f>
        <v xml:space="preserve">     Discounts and Markdowns                           </v>
      </c>
      <c r="C50" s="14"/>
      <c r="D50" s="2">
        <f>SUM(OSRRefD22_6x_0)</f>
        <v>0</v>
      </c>
      <c r="E50" s="2"/>
      <c r="F50" s="6">
        <f t="shared" si="0"/>
        <v>0</v>
      </c>
      <c r="G50" s="2"/>
      <c r="H50" s="2">
        <f>SUM(OSRRefH22_6x_0)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SUM(OSRRefP22_6x_0)</f>
        <v>2026.83</v>
      </c>
      <c r="Q50" s="2"/>
      <c r="R50" s="6">
        <f t="shared" si="4"/>
        <v>0</v>
      </c>
      <c r="S50" s="2"/>
      <c r="T50" s="2">
        <f>SUM(OSRRefT22_6x_0)</f>
        <v>-15.43</v>
      </c>
      <c r="U50" s="2"/>
      <c r="V50" s="6">
        <f t="shared" si="5"/>
        <v>0</v>
      </c>
      <c r="W50" s="2"/>
      <c r="X50" s="2">
        <f t="shared" si="6"/>
        <v>2042.26</v>
      </c>
      <c r="Y50" s="2"/>
      <c r="Z50" s="6">
        <f t="shared" si="7"/>
        <v>-132.35644847699288</v>
      </c>
    </row>
    <row r="51" spans="1:26" s="69" customFormat="1" ht="15" hidden="1" customHeight="1" outlineLevel="2" x14ac:dyDescent="0.25">
      <c r="A51" s="25"/>
      <c r="B51" s="12" t="str">
        <f>CONCATENATE("          ","6382"," - ","DISCOUNTS/MARK DOWNS")</f>
        <v xml:space="preserve">          6382 - DISCOUNTS/MARK DOWNS</v>
      </c>
      <c r="C51" s="12"/>
      <c r="D51" s="7"/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2170</v>
      </c>
      <c r="Q51" s="3"/>
      <c r="R51" s="8">
        <f t="shared" si="4"/>
        <v>0</v>
      </c>
      <c r="S51" s="3"/>
      <c r="T51" s="7"/>
      <c r="U51" s="3"/>
      <c r="V51" s="8">
        <f t="shared" si="5"/>
        <v>0</v>
      </c>
      <c r="W51" s="3"/>
      <c r="X51" s="7">
        <f t="shared" si="6"/>
        <v>2170</v>
      </c>
      <c r="Y51" s="3"/>
      <c r="Z51" s="8">
        <f t="shared" si="7"/>
        <v>0</v>
      </c>
    </row>
    <row r="52" spans="1:26" s="69" customFormat="1" ht="15" hidden="1" customHeight="1" outlineLevel="2" x14ac:dyDescent="0.25">
      <c r="A52" s="25"/>
      <c r="B52" s="12" t="str">
        <f>CONCATENATE("          ","9175"," - ","EARNED DISCOUNTS")</f>
        <v xml:space="preserve">          9175 - EARNED DISCOUNTS</v>
      </c>
      <c r="C52" s="12"/>
      <c r="D52" s="7"/>
      <c r="E52" s="3"/>
      <c r="F52" s="8">
        <f t="shared" ref="F52:F83" si="8">IF(D$12=0,0,D52/D$12)</f>
        <v>0</v>
      </c>
      <c r="G52" s="3"/>
      <c r="H52" s="7"/>
      <c r="I52" s="3"/>
      <c r="J52" s="8">
        <f t="shared" ref="J52:J83" si="9">IF(H$12=0,0,H52/H$12)</f>
        <v>0</v>
      </c>
      <c r="K52" s="3"/>
      <c r="L52" s="7">
        <f t="shared" ref="L52:L83" si="10">+D52-H52</f>
        <v>0</v>
      </c>
      <c r="M52" s="3"/>
      <c r="N52" s="8">
        <f t="shared" ref="N52:N83" si="11">IF(H52=0,0,L52/H52)</f>
        <v>0</v>
      </c>
      <c r="O52" s="12"/>
      <c r="P52" s="7">
        <v>-143.16999999999999</v>
      </c>
      <c r="Q52" s="3"/>
      <c r="R52" s="8">
        <f t="shared" ref="R52:R83" si="12">IF(P$12=0,0,P52/P$12)</f>
        <v>0</v>
      </c>
      <c r="S52" s="3"/>
      <c r="T52" s="7">
        <v>-15.43</v>
      </c>
      <c r="U52" s="3"/>
      <c r="V52" s="8">
        <f t="shared" ref="V52:V83" si="13">IF(T$12=0,0,T52/T$12)</f>
        <v>0</v>
      </c>
      <c r="W52" s="3"/>
      <c r="X52" s="7">
        <f t="shared" ref="X52:X83" si="14">+P52-T52</f>
        <v>-127.73999999999998</v>
      </c>
      <c r="Y52" s="3"/>
      <c r="Z52" s="8">
        <f t="shared" ref="Z52:Z83" si="15">IF(T52=0,0,X52/T52)</f>
        <v>8.2786779001944257</v>
      </c>
    </row>
    <row r="53" spans="1:26" s="68" customFormat="1" ht="15" customHeight="1" outlineLevel="1" collapsed="1" x14ac:dyDescent="0.25">
      <c r="A53" s="26"/>
      <c r="B53" s="14" t="str">
        <f>CONCATENATE("     ","Donations                                         ")</f>
        <v xml:space="preserve">     Donations                                         </v>
      </c>
      <c r="C53" s="14"/>
      <c r="D53" s="2">
        <f>SUM(OSRRefD22_7x_0)</f>
        <v>132.07</v>
      </c>
      <c r="E53" s="2"/>
      <c r="F53" s="6">
        <f t="shared" si="8"/>
        <v>0</v>
      </c>
      <c r="G53" s="2"/>
      <c r="H53" s="2">
        <f>SUM(OSRRefH22_7x_0)</f>
        <v>0</v>
      </c>
      <c r="I53" s="2"/>
      <c r="J53" s="6">
        <f t="shared" si="9"/>
        <v>0</v>
      </c>
      <c r="K53" s="2"/>
      <c r="L53" s="2">
        <f t="shared" si="10"/>
        <v>132.07</v>
      </c>
      <c r="M53" s="2"/>
      <c r="N53" s="6">
        <f t="shared" si="11"/>
        <v>0</v>
      </c>
      <c r="O53" s="14"/>
      <c r="P53" s="2">
        <f>SUM(OSRRefP22_7x_0)</f>
        <v>7438.87</v>
      </c>
      <c r="Q53" s="2"/>
      <c r="R53" s="6">
        <f t="shared" si="12"/>
        <v>0</v>
      </c>
      <c r="S53" s="2"/>
      <c r="T53" s="2">
        <f>SUM(OSRRefT22_7x_0)</f>
        <v>360.9</v>
      </c>
      <c r="U53" s="2"/>
      <c r="V53" s="6">
        <f t="shared" si="13"/>
        <v>0</v>
      </c>
      <c r="W53" s="2"/>
      <c r="X53" s="2">
        <f t="shared" si="14"/>
        <v>7077.97</v>
      </c>
      <c r="Y53" s="2"/>
      <c r="Z53" s="6">
        <f t="shared" si="15"/>
        <v>19.611997783319481</v>
      </c>
    </row>
    <row r="54" spans="1:26" s="69" customFormat="1" ht="15" hidden="1" customHeight="1" outlineLevel="2" x14ac:dyDescent="0.25">
      <c r="A54" s="25"/>
      <c r="B54" s="12" t="str">
        <f>CONCATENATE("          ","6399"," - ","DONATION-ON CAMPUS")</f>
        <v xml:space="preserve">          6399 - DONATION-ON CAMPUS</v>
      </c>
      <c r="C54" s="12"/>
      <c r="D54" s="7">
        <v>132.07</v>
      </c>
      <c r="E54" s="3"/>
      <c r="F54" s="8">
        <f t="shared" si="8"/>
        <v>0</v>
      </c>
      <c r="G54" s="3"/>
      <c r="H54" s="7"/>
      <c r="I54" s="3"/>
      <c r="J54" s="8">
        <f t="shared" si="9"/>
        <v>0</v>
      </c>
      <c r="K54" s="3"/>
      <c r="L54" s="7">
        <f t="shared" si="10"/>
        <v>132.07</v>
      </c>
      <c r="M54" s="3"/>
      <c r="N54" s="8">
        <f t="shared" si="11"/>
        <v>0</v>
      </c>
      <c r="O54" s="12"/>
      <c r="P54" s="7">
        <v>7438.87</v>
      </c>
      <c r="Q54" s="3"/>
      <c r="R54" s="8">
        <f t="shared" si="12"/>
        <v>0</v>
      </c>
      <c r="S54" s="3"/>
      <c r="T54" s="7">
        <v>360.9</v>
      </c>
      <c r="U54" s="3"/>
      <c r="V54" s="8">
        <f t="shared" si="13"/>
        <v>0</v>
      </c>
      <c r="W54" s="3"/>
      <c r="X54" s="7">
        <f t="shared" si="14"/>
        <v>7077.97</v>
      </c>
      <c r="Y54" s="3"/>
      <c r="Z54" s="8">
        <f t="shared" si="15"/>
        <v>19.611997783319481</v>
      </c>
    </row>
    <row r="55" spans="1:26" s="68" customFormat="1" ht="15" customHeight="1" outlineLevel="1" collapsed="1" x14ac:dyDescent="0.25">
      <c r="A55" s="26"/>
      <c r="B55" s="14" t="str">
        <f>CONCATENATE("     ","Employees' Appreciation                           ")</f>
        <v xml:space="preserve">     Employees' Appreciation                           </v>
      </c>
      <c r="C55" s="14"/>
      <c r="D55" s="2">
        <f>SUM(OSRRefD22_8x_0)</f>
        <v>21.5</v>
      </c>
      <c r="E55" s="2"/>
      <c r="F55" s="6">
        <f t="shared" si="8"/>
        <v>0</v>
      </c>
      <c r="G55" s="2"/>
      <c r="H55" s="2">
        <f>SUM(OSRRefH22_8x_0)</f>
        <v>0</v>
      </c>
      <c r="I55" s="2"/>
      <c r="J55" s="6">
        <f t="shared" si="9"/>
        <v>0</v>
      </c>
      <c r="K55" s="2"/>
      <c r="L55" s="2">
        <f t="shared" si="10"/>
        <v>21.5</v>
      </c>
      <c r="M55" s="2"/>
      <c r="N55" s="6">
        <f t="shared" si="11"/>
        <v>0</v>
      </c>
      <c r="O55" s="14"/>
      <c r="P55" s="2">
        <f>SUM(OSRRefP22_8x_0)</f>
        <v>4050.25</v>
      </c>
      <c r="Q55" s="2"/>
      <c r="R55" s="6">
        <f t="shared" si="12"/>
        <v>0</v>
      </c>
      <c r="S55" s="2"/>
      <c r="T55" s="2">
        <f>SUM(OSRRefT22_8x_0)</f>
        <v>78.33</v>
      </c>
      <c r="U55" s="2"/>
      <c r="V55" s="6">
        <f t="shared" si="13"/>
        <v>0</v>
      </c>
      <c r="W55" s="2"/>
      <c r="X55" s="2">
        <f t="shared" si="14"/>
        <v>3971.92</v>
      </c>
      <c r="Y55" s="2"/>
      <c r="Z55" s="6">
        <f t="shared" si="15"/>
        <v>50.707519468913574</v>
      </c>
    </row>
    <row r="56" spans="1:26" s="69" customFormat="1" ht="15" hidden="1" customHeight="1" outlineLevel="2" x14ac:dyDescent="0.25">
      <c r="A56" s="25"/>
      <c r="B56" s="12" t="str">
        <f>CONCATENATE("          ","6277"," - ","EMPLOYEE APPRECIATION")</f>
        <v xml:space="preserve">          6277 - EMPLOYEE APPRECIATION</v>
      </c>
      <c r="C56" s="12"/>
      <c r="D56" s="7">
        <v>21.5</v>
      </c>
      <c r="E56" s="3"/>
      <c r="F56" s="8">
        <f t="shared" si="8"/>
        <v>0</v>
      </c>
      <c r="G56" s="3"/>
      <c r="H56" s="7"/>
      <c r="I56" s="3"/>
      <c r="J56" s="8">
        <f t="shared" si="9"/>
        <v>0</v>
      </c>
      <c r="K56" s="3"/>
      <c r="L56" s="7">
        <f t="shared" si="10"/>
        <v>21.5</v>
      </c>
      <c r="M56" s="3"/>
      <c r="N56" s="8">
        <f t="shared" si="11"/>
        <v>0</v>
      </c>
      <c r="O56" s="12"/>
      <c r="P56" s="7">
        <v>4050.25</v>
      </c>
      <c r="Q56" s="3"/>
      <c r="R56" s="8">
        <f t="shared" si="12"/>
        <v>0</v>
      </c>
      <c r="S56" s="3"/>
      <c r="T56" s="7">
        <v>78.33</v>
      </c>
      <c r="U56" s="3"/>
      <c r="V56" s="8">
        <f t="shared" si="13"/>
        <v>0</v>
      </c>
      <c r="W56" s="3"/>
      <c r="X56" s="7">
        <f t="shared" si="14"/>
        <v>3971.92</v>
      </c>
      <c r="Y56" s="3"/>
      <c r="Z56" s="8">
        <f t="shared" si="15"/>
        <v>50.707519468913574</v>
      </c>
    </row>
    <row r="57" spans="1:26" s="68" customFormat="1" ht="15" customHeight="1" outlineLevel="1" collapsed="1" x14ac:dyDescent="0.25">
      <c r="A57" s="26"/>
      <c r="B57" s="14" t="str">
        <f>CONCATENATE("     ","Equipment Rental                                  ")</f>
        <v xml:space="preserve">     Equipment Rental                                  </v>
      </c>
      <c r="C57" s="14"/>
      <c r="D57" s="2">
        <f>SUM(OSRRefD22_9x_0)</f>
        <v>415.15</v>
      </c>
      <c r="E57" s="2"/>
      <c r="F57" s="6">
        <f t="shared" si="8"/>
        <v>0</v>
      </c>
      <c r="G57" s="2"/>
      <c r="H57" s="2">
        <f>SUM(OSRRefH22_9x_0)</f>
        <v>415.15</v>
      </c>
      <c r="I57" s="2"/>
      <c r="J57" s="6">
        <f t="shared" si="9"/>
        <v>0</v>
      </c>
      <c r="K57" s="2"/>
      <c r="L57" s="2">
        <f t="shared" si="10"/>
        <v>0</v>
      </c>
      <c r="M57" s="2"/>
      <c r="N57" s="6">
        <f t="shared" si="11"/>
        <v>0</v>
      </c>
      <c r="O57" s="14"/>
      <c r="P57" s="2">
        <f>SUM(OSRRefP22_9x_0)</f>
        <v>3034.29</v>
      </c>
      <c r="Q57" s="2"/>
      <c r="R57" s="6">
        <f t="shared" si="12"/>
        <v>0</v>
      </c>
      <c r="S57" s="2"/>
      <c r="T57" s="2">
        <f>SUM(OSRRefT22_9x_0)</f>
        <v>2280.3200000000002</v>
      </c>
      <c r="U57" s="2"/>
      <c r="V57" s="6">
        <f t="shared" si="13"/>
        <v>0</v>
      </c>
      <c r="W57" s="2"/>
      <c r="X57" s="2">
        <f t="shared" si="14"/>
        <v>753.9699999999998</v>
      </c>
      <c r="Y57" s="2"/>
      <c r="Z57" s="6">
        <f t="shared" si="15"/>
        <v>0.33064219056974448</v>
      </c>
    </row>
    <row r="58" spans="1:26" s="69" customFormat="1" ht="15" hidden="1" customHeight="1" outlineLevel="2" x14ac:dyDescent="0.25">
      <c r="A58" s="25"/>
      <c r="B58" s="12" t="str">
        <f>CONCATENATE("          ","6351"," - ","EQUIPMENT RENTAL")</f>
        <v xml:space="preserve">          6351 - EQUIPMENT RENTAL</v>
      </c>
      <c r="C58" s="12"/>
      <c r="D58" s="7">
        <v>415.15</v>
      </c>
      <c r="E58" s="3"/>
      <c r="F58" s="8">
        <f t="shared" si="8"/>
        <v>0</v>
      </c>
      <c r="G58" s="3"/>
      <c r="H58" s="7">
        <v>415.15</v>
      </c>
      <c r="I58" s="3"/>
      <c r="J58" s="8">
        <f t="shared" si="9"/>
        <v>0</v>
      </c>
      <c r="K58" s="3"/>
      <c r="L58" s="7">
        <f t="shared" si="10"/>
        <v>0</v>
      </c>
      <c r="M58" s="3"/>
      <c r="N58" s="8">
        <f t="shared" si="11"/>
        <v>0</v>
      </c>
      <c r="O58" s="12"/>
      <c r="P58" s="7">
        <v>3034.29</v>
      </c>
      <c r="Q58" s="3"/>
      <c r="R58" s="8">
        <f t="shared" si="12"/>
        <v>0</v>
      </c>
      <c r="S58" s="3"/>
      <c r="T58" s="7">
        <v>2280.3200000000002</v>
      </c>
      <c r="U58" s="3"/>
      <c r="V58" s="8">
        <f t="shared" si="13"/>
        <v>0</v>
      </c>
      <c r="W58" s="3"/>
      <c r="X58" s="7">
        <f t="shared" si="14"/>
        <v>753.9699999999998</v>
      </c>
      <c r="Y58" s="3"/>
      <c r="Z58" s="8">
        <f t="shared" si="15"/>
        <v>0.33064219056974448</v>
      </c>
    </row>
    <row r="59" spans="1:26" s="68" customFormat="1" ht="15" customHeight="1" outlineLevel="1" collapsed="1" x14ac:dyDescent="0.25">
      <c r="A59" s="26"/>
      <c r="B59" s="14" t="str">
        <f>CONCATENATE("     ","Freight out/Postage                               ")</f>
        <v xml:space="preserve">     Freight out/Postage                               </v>
      </c>
      <c r="C59" s="14"/>
      <c r="D59" s="2">
        <f>SUM(OSRRefD22_10x_0)</f>
        <v>15.95</v>
      </c>
      <c r="E59" s="2"/>
      <c r="F59" s="6">
        <f t="shared" si="8"/>
        <v>0</v>
      </c>
      <c r="G59" s="2"/>
      <c r="H59" s="2">
        <f>SUM(OSRRefH22_10x_0)</f>
        <v>225.95</v>
      </c>
      <c r="I59" s="2"/>
      <c r="J59" s="6">
        <f t="shared" si="9"/>
        <v>0</v>
      </c>
      <c r="K59" s="2"/>
      <c r="L59" s="2">
        <f t="shared" si="10"/>
        <v>-210</v>
      </c>
      <c r="M59" s="2"/>
      <c r="N59" s="6">
        <f t="shared" si="11"/>
        <v>-0.92940916131887585</v>
      </c>
      <c r="O59" s="14"/>
      <c r="P59" s="2">
        <f>SUM(OSRRefP22_10x_0)</f>
        <v>11296.03</v>
      </c>
      <c r="Q59" s="2"/>
      <c r="R59" s="6">
        <f t="shared" si="12"/>
        <v>0</v>
      </c>
      <c r="S59" s="2"/>
      <c r="T59" s="2">
        <f>SUM(OSRRefT22_10x_0)</f>
        <v>2276.0100000000002</v>
      </c>
      <c r="U59" s="2"/>
      <c r="V59" s="6">
        <f t="shared" si="13"/>
        <v>0</v>
      </c>
      <c r="W59" s="2"/>
      <c r="X59" s="2">
        <f t="shared" si="14"/>
        <v>9020.02</v>
      </c>
      <c r="Y59" s="2"/>
      <c r="Z59" s="6">
        <f t="shared" si="15"/>
        <v>3.9630845207182746</v>
      </c>
    </row>
    <row r="60" spans="1:26" s="69" customFormat="1" ht="15" hidden="1" customHeight="1" outlineLevel="2" x14ac:dyDescent="0.25">
      <c r="A60" s="25"/>
      <c r="B60" s="12" t="str">
        <f>CONCATENATE("          ","6307"," - ","POSTAGE")</f>
        <v xml:space="preserve">          6307 - POSTAGE</v>
      </c>
      <c r="C60" s="12"/>
      <c r="D60" s="7">
        <v>15.95</v>
      </c>
      <c r="E60" s="3"/>
      <c r="F60" s="8">
        <f t="shared" si="8"/>
        <v>0</v>
      </c>
      <c r="G60" s="3"/>
      <c r="H60" s="7">
        <v>225.95</v>
      </c>
      <c r="I60" s="3"/>
      <c r="J60" s="8">
        <f t="shared" si="9"/>
        <v>0</v>
      </c>
      <c r="K60" s="3"/>
      <c r="L60" s="7">
        <f t="shared" si="10"/>
        <v>-210</v>
      </c>
      <c r="M60" s="3"/>
      <c r="N60" s="8">
        <f t="shared" si="11"/>
        <v>-0.92940916131887585</v>
      </c>
      <c r="O60" s="12"/>
      <c r="P60" s="7">
        <v>11296.03</v>
      </c>
      <c r="Q60" s="3"/>
      <c r="R60" s="8">
        <f t="shared" si="12"/>
        <v>0</v>
      </c>
      <c r="S60" s="3"/>
      <c r="T60" s="7">
        <v>2276.0100000000002</v>
      </c>
      <c r="U60" s="3"/>
      <c r="V60" s="8">
        <f t="shared" si="13"/>
        <v>0</v>
      </c>
      <c r="W60" s="3"/>
      <c r="X60" s="7">
        <f t="shared" si="14"/>
        <v>9020.02</v>
      </c>
      <c r="Y60" s="3"/>
      <c r="Z60" s="8">
        <f t="shared" si="15"/>
        <v>3.9630845207182746</v>
      </c>
    </row>
    <row r="61" spans="1:26" s="68" customFormat="1" ht="15" customHeight="1" outlineLevel="1" collapsed="1" x14ac:dyDescent="0.25">
      <c r="A61" s="26"/>
      <c r="B61" s="14" t="str">
        <f>CONCATENATE("     ","General                                           ")</f>
        <v xml:space="preserve">     General                                           </v>
      </c>
      <c r="C61" s="14"/>
      <c r="D61" s="2">
        <f>SUM(OSRRefD22_11x_0)</f>
        <v>45.45</v>
      </c>
      <c r="E61" s="2"/>
      <c r="F61" s="6">
        <f t="shared" si="8"/>
        <v>0</v>
      </c>
      <c r="G61" s="2"/>
      <c r="H61" s="2">
        <f>SUM(OSRRefH22_11x_0)</f>
        <v>0</v>
      </c>
      <c r="I61" s="2"/>
      <c r="J61" s="6">
        <f t="shared" si="9"/>
        <v>0</v>
      </c>
      <c r="K61" s="2"/>
      <c r="L61" s="2">
        <f t="shared" si="10"/>
        <v>45.45</v>
      </c>
      <c r="M61" s="2"/>
      <c r="N61" s="6">
        <f t="shared" si="11"/>
        <v>0</v>
      </c>
      <c r="O61" s="14"/>
      <c r="P61" s="2">
        <f>SUM(OSRRefP22_11x_0)</f>
        <v>2869.25</v>
      </c>
      <c r="Q61" s="2"/>
      <c r="R61" s="6">
        <f t="shared" si="12"/>
        <v>0</v>
      </c>
      <c r="S61" s="2"/>
      <c r="T61" s="2">
        <f>SUM(OSRRefT22_11x_0)</f>
        <v>1386.81</v>
      </c>
      <c r="U61" s="2"/>
      <c r="V61" s="6">
        <f t="shared" si="13"/>
        <v>0</v>
      </c>
      <c r="W61" s="2"/>
      <c r="X61" s="2">
        <f t="shared" si="14"/>
        <v>1482.44</v>
      </c>
      <c r="Y61" s="2"/>
      <c r="Z61" s="6">
        <f t="shared" si="15"/>
        <v>1.0689568145600334</v>
      </c>
    </row>
    <row r="62" spans="1:26" s="69" customFormat="1" ht="15" hidden="1" customHeight="1" outlineLevel="2" x14ac:dyDescent="0.25">
      <c r="A62" s="25"/>
      <c r="B62" s="12" t="str">
        <f>CONCATENATE("          ","6279"," - ","GENERAL EXPENSE")</f>
        <v xml:space="preserve">          6279 - GENERAL EXPENSE</v>
      </c>
      <c r="C62" s="12"/>
      <c r="D62" s="7">
        <v>45.45</v>
      </c>
      <c r="E62" s="3"/>
      <c r="F62" s="8">
        <f t="shared" si="8"/>
        <v>0</v>
      </c>
      <c r="G62" s="3"/>
      <c r="H62" s="7"/>
      <c r="I62" s="3"/>
      <c r="J62" s="8">
        <f t="shared" si="9"/>
        <v>0</v>
      </c>
      <c r="K62" s="3"/>
      <c r="L62" s="7">
        <f t="shared" si="10"/>
        <v>45.45</v>
      </c>
      <c r="M62" s="3"/>
      <c r="N62" s="8">
        <f t="shared" si="11"/>
        <v>0</v>
      </c>
      <c r="O62" s="12"/>
      <c r="P62" s="7">
        <v>2869.25</v>
      </c>
      <c r="Q62" s="3"/>
      <c r="R62" s="8">
        <f t="shared" si="12"/>
        <v>0</v>
      </c>
      <c r="S62" s="3"/>
      <c r="T62" s="7">
        <v>1386.81</v>
      </c>
      <c r="U62" s="3"/>
      <c r="V62" s="8">
        <f t="shared" si="13"/>
        <v>0</v>
      </c>
      <c r="W62" s="3"/>
      <c r="X62" s="7">
        <f t="shared" si="14"/>
        <v>1482.44</v>
      </c>
      <c r="Y62" s="3"/>
      <c r="Z62" s="8">
        <f t="shared" si="15"/>
        <v>1.0689568145600334</v>
      </c>
    </row>
    <row r="63" spans="1:26" s="68" customFormat="1" ht="15" customHeight="1" outlineLevel="1" collapsed="1" x14ac:dyDescent="0.25">
      <c r="A63" s="26"/>
      <c r="B63" s="14" t="str">
        <f>CONCATENATE("     ","Insurance                                         ")</f>
        <v xml:space="preserve">     Insurance                                         </v>
      </c>
      <c r="C63" s="14"/>
      <c r="D63" s="2">
        <f>SUM(OSRRefD22_12x_0)</f>
        <v>5275.49</v>
      </c>
      <c r="E63" s="2"/>
      <c r="F63" s="6">
        <f t="shared" si="8"/>
        <v>0</v>
      </c>
      <c r="G63" s="2"/>
      <c r="H63" s="2">
        <f>SUM(OSRRefH22_12x_0)</f>
        <v>3883.56</v>
      </c>
      <c r="I63" s="2"/>
      <c r="J63" s="6">
        <f t="shared" si="9"/>
        <v>0</v>
      </c>
      <c r="K63" s="2"/>
      <c r="L63" s="2">
        <f t="shared" si="10"/>
        <v>1391.9299999999998</v>
      </c>
      <c r="M63" s="2"/>
      <c r="N63" s="6">
        <f t="shared" si="11"/>
        <v>0.35841598945297609</v>
      </c>
      <c r="O63" s="14"/>
      <c r="P63" s="2">
        <f>SUM(OSRRefP22_12x_0)</f>
        <v>58030.39</v>
      </c>
      <c r="Q63" s="2"/>
      <c r="R63" s="6">
        <f t="shared" si="12"/>
        <v>0</v>
      </c>
      <c r="S63" s="2"/>
      <c r="T63" s="2">
        <f>SUM(OSRRefT22_12x_0)</f>
        <v>42719.16</v>
      </c>
      <c r="U63" s="2"/>
      <c r="V63" s="6">
        <f t="shared" si="13"/>
        <v>0</v>
      </c>
      <c r="W63" s="2"/>
      <c r="X63" s="2">
        <f t="shared" si="14"/>
        <v>15311.229999999996</v>
      </c>
      <c r="Y63" s="2"/>
      <c r="Z63" s="6">
        <f t="shared" si="15"/>
        <v>0.35841598945297604</v>
      </c>
    </row>
    <row r="64" spans="1:26" s="69" customFormat="1" ht="15" hidden="1" customHeight="1" outlineLevel="2" x14ac:dyDescent="0.25">
      <c r="A64" s="25"/>
      <c r="B64" s="12" t="str">
        <f>CONCATENATE("          ","6314"," - ","LIABILITY INSURANCE")</f>
        <v xml:space="preserve">          6314 - LIABILITY INSURANCE</v>
      </c>
      <c r="C64" s="12"/>
      <c r="D64" s="7">
        <v>5275.49</v>
      </c>
      <c r="E64" s="3"/>
      <c r="F64" s="8">
        <f t="shared" si="8"/>
        <v>0</v>
      </c>
      <c r="G64" s="3"/>
      <c r="H64" s="7">
        <v>3883.56</v>
      </c>
      <c r="I64" s="3"/>
      <c r="J64" s="8">
        <f t="shared" si="9"/>
        <v>0</v>
      </c>
      <c r="K64" s="3"/>
      <c r="L64" s="7">
        <f t="shared" si="10"/>
        <v>1391.9299999999998</v>
      </c>
      <c r="M64" s="3"/>
      <c r="N64" s="8">
        <f t="shared" si="11"/>
        <v>0.35841598945297609</v>
      </c>
      <c r="O64" s="12"/>
      <c r="P64" s="7">
        <v>58030.39</v>
      </c>
      <c r="Q64" s="3"/>
      <c r="R64" s="8">
        <f t="shared" si="12"/>
        <v>0</v>
      </c>
      <c r="S64" s="3"/>
      <c r="T64" s="7">
        <v>42719.16</v>
      </c>
      <c r="U64" s="3"/>
      <c r="V64" s="8">
        <f t="shared" si="13"/>
        <v>0</v>
      </c>
      <c r="W64" s="3"/>
      <c r="X64" s="7">
        <f t="shared" si="14"/>
        <v>15311.229999999996</v>
      </c>
      <c r="Y64" s="3"/>
      <c r="Z64" s="8">
        <f t="shared" si="15"/>
        <v>0.35841598945297604</v>
      </c>
    </row>
    <row r="65" spans="1:26" s="68" customFormat="1" ht="15" customHeight="1" outlineLevel="1" collapsed="1" x14ac:dyDescent="0.25">
      <c r="A65" s="26"/>
      <c r="B65" s="14" t="str">
        <f>CONCATENATE("     ","Professional Services                             ")</f>
        <v xml:space="preserve">     Professional Services                             </v>
      </c>
      <c r="C65" s="14"/>
      <c r="D65" s="2">
        <f>SUM(OSRRefD22_13x_0)</f>
        <v>0</v>
      </c>
      <c r="E65" s="2"/>
      <c r="F65" s="6">
        <f t="shared" si="8"/>
        <v>0</v>
      </c>
      <c r="G65" s="2"/>
      <c r="H65" s="2">
        <f>SUM(OSRRefH22_13x_0)</f>
        <v>0</v>
      </c>
      <c r="I65" s="2"/>
      <c r="J65" s="6">
        <f t="shared" si="9"/>
        <v>0</v>
      </c>
      <c r="K65" s="2"/>
      <c r="L65" s="2">
        <f t="shared" si="10"/>
        <v>0</v>
      </c>
      <c r="M65" s="2"/>
      <c r="N65" s="6">
        <f t="shared" si="11"/>
        <v>0</v>
      </c>
      <c r="O65" s="14"/>
      <c r="P65" s="2">
        <f>SUM(OSRRefP22_13x_0)</f>
        <v>7517.43</v>
      </c>
      <c r="Q65" s="2"/>
      <c r="R65" s="6">
        <f t="shared" si="12"/>
        <v>0</v>
      </c>
      <c r="S65" s="2"/>
      <c r="T65" s="2">
        <f>SUM(OSRRefT22_13x_0)</f>
        <v>0</v>
      </c>
      <c r="U65" s="2"/>
      <c r="V65" s="6">
        <f t="shared" si="13"/>
        <v>0</v>
      </c>
      <c r="W65" s="2"/>
      <c r="X65" s="2">
        <f t="shared" si="14"/>
        <v>7517.43</v>
      </c>
      <c r="Y65" s="2"/>
      <c r="Z65" s="6">
        <f t="shared" si="15"/>
        <v>0</v>
      </c>
    </row>
    <row r="66" spans="1:26" s="69" customFormat="1" ht="15" hidden="1" customHeight="1" outlineLevel="2" x14ac:dyDescent="0.25">
      <c r="A66" s="25"/>
      <c r="B66" s="12" t="str">
        <f>CONCATENATE("          ","6336"," - ","PROFESSIONAL SERVICES")</f>
        <v xml:space="preserve">          6336 - PROFESSIONAL SERVICES</v>
      </c>
      <c r="C66" s="12"/>
      <c r="D66" s="7"/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7517.43</v>
      </c>
      <c r="Q66" s="3"/>
      <c r="R66" s="8">
        <f t="shared" si="12"/>
        <v>0</v>
      </c>
      <c r="S66" s="3"/>
      <c r="T66" s="7"/>
      <c r="U66" s="3"/>
      <c r="V66" s="8">
        <f t="shared" si="13"/>
        <v>0</v>
      </c>
      <c r="W66" s="3"/>
      <c r="X66" s="7">
        <f t="shared" si="14"/>
        <v>7517.43</v>
      </c>
      <c r="Y66" s="3"/>
      <c r="Z66" s="8">
        <f t="shared" si="15"/>
        <v>0</v>
      </c>
    </row>
    <row r="67" spans="1:26" s="68" customFormat="1" ht="15" customHeight="1" outlineLevel="1" collapsed="1" x14ac:dyDescent="0.25">
      <c r="A67" s="26"/>
      <c r="B67" s="14" t="str">
        <f>CONCATENATE("     ","Rent                                              ")</f>
        <v xml:space="preserve">     Rent                                              </v>
      </c>
      <c r="C67" s="14"/>
      <c r="D67" s="2">
        <f>SUM(OSRRefD22_14x_0)</f>
        <v>-800</v>
      </c>
      <c r="E67" s="2"/>
      <c r="F67" s="6">
        <f t="shared" si="8"/>
        <v>0</v>
      </c>
      <c r="G67" s="2"/>
      <c r="H67" s="2">
        <f>SUM(OSRRefH22_14x_0)</f>
        <v>-800</v>
      </c>
      <c r="I67" s="2"/>
      <c r="J67" s="6">
        <f t="shared" si="9"/>
        <v>0</v>
      </c>
      <c r="K67" s="2"/>
      <c r="L67" s="2">
        <f t="shared" si="10"/>
        <v>0</v>
      </c>
      <c r="M67" s="2"/>
      <c r="N67" s="6">
        <f t="shared" si="11"/>
        <v>0</v>
      </c>
      <c r="O67" s="14"/>
      <c r="P67" s="2">
        <f>SUM(OSRRefP22_14x_0)</f>
        <v>-8800</v>
      </c>
      <c r="Q67" s="2"/>
      <c r="R67" s="6">
        <f t="shared" si="12"/>
        <v>0</v>
      </c>
      <c r="S67" s="2"/>
      <c r="T67" s="2">
        <f>SUM(OSRRefT22_14x_0)</f>
        <v>-8800</v>
      </c>
      <c r="U67" s="2"/>
      <c r="V67" s="6">
        <f t="shared" si="13"/>
        <v>0</v>
      </c>
      <c r="W67" s="2"/>
      <c r="X67" s="2">
        <f t="shared" si="14"/>
        <v>0</v>
      </c>
      <c r="Y67" s="2"/>
      <c r="Z67" s="6">
        <f t="shared" si="15"/>
        <v>0</v>
      </c>
    </row>
    <row r="68" spans="1:26" s="69" customFormat="1" ht="15" hidden="1" customHeight="1" outlineLevel="2" x14ac:dyDescent="0.25">
      <c r="A68" s="25"/>
      <c r="B68" s="12" t="str">
        <f>CONCATENATE("          ","6273"," - ","RENT")</f>
        <v xml:space="preserve">          6273 - RENT</v>
      </c>
      <c r="C68" s="12"/>
      <c r="D68" s="7">
        <v>-800</v>
      </c>
      <c r="E68" s="3"/>
      <c r="F68" s="8">
        <f t="shared" si="8"/>
        <v>0</v>
      </c>
      <c r="G68" s="3"/>
      <c r="H68" s="7">
        <v>-800</v>
      </c>
      <c r="I68" s="3"/>
      <c r="J68" s="8">
        <f t="shared" si="9"/>
        <v>0</v>
      </c>
      <c r="K68" s="3"/>
      <c r="L68" s="7">
        <f t="shared" si="10"/>
        <v>0</v>
      </c>
      <c r="M68" s="3"/>
      <c r="N68" s="8">
        <f t="shared" si="11"/>
        <v>0</v>
      </c>
      <c r="O68" s="12"/>
      <c r="P68" s="7">
        <v>-8800</v>
      </c>
      <c r="Q68" s="3"/>
      <c r="R68" s="8">
        <f t="shared" si="12"/>
        <v>0</v>
      </c>
      <c r="S68" s="3"/>
      <c r="T68" s="7">
        <v>-8800</v>
      </c>
      <c r="U68" s="3"/>
      <c r="V68" s="8">
        <f t="shared" si="13"/>
        <v>0</v>
      </c>
      <c r="W68" s="3"/>
      <c r="X68" s="7">
        <f t="shared" si="14"/>
        <v>0</v>
      </c>
      <c r="Y68" s="3"/>
      <c r="Z68" s="8">
        <f t="shared" si="15"/>
        <v>0</v>
      </c>
    </row>
    <row r="69" spans="1:26" s="68" customFormat="1" ht="15" customHeight="1" outlineLevel="1" collapsed="1" x14ac:dyDescent="0.25">
      <c r="A69" s="26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SUM(OSRRefD22_15x_0)</f>
        <v>2483.5500000000002</v>
      </c>
      <c r="E69" s="2"/>
      <c r="F69" s="6">
        <f t="shared" si="8"/>
        <v>0</v>
      </c>
      <c r="G69" s="2"/>
      <c r="H69" s="2">
        <f>SUM(OSRRefH22_15x_0)</f>
        <v>5441.37</v>
      </c>
      <c r="I69" s="2"/>
      <c r="J69" s="6">
        <f t="shared" si="9"/>
        <v>0</v>
      </c>
      <c r="K69" s="2"/>
      <c r="L69" s="2">
        <f t="shared" si="10"/>
        <v>-2957.8199999999997</v>
      </c>
      <c r="M69" s="2"/>
      <c r="N69" s="6">
        <f t="shared" si="11"/>
        <v>-0.5435800175323493</v>
      </c>
      <c r="O69" s="14"/>
      <c r="P69" s="2">
        <f>SUM(OSRRefP22_15x_0)</f>
        <v>98690.700000000012</v>
      </c>
      <c r="Q69" s="2"/>
      <c r="R69" s="6">
        <f t="shared" si="12"/>
        <v>0</v>
      </c>
      <c r="S69" s="2"/>
      <c r="T69" s="2">
        <f>SUM(OSRRefT22_15x_0)</f>
        <v>106229.47</v>
      </c>
      <c r="U69" s="2"/>
      <c r="V69" s="6">
        <f t="shared" si="13"/>
        <v>0</v>
      </c>
      <c r="W69" s="2"/>
      <c r="X69" s="2">
        <f t="shared" si="14"/>
        <v>-7538.7699999999895</v>
      </c>
      <c r="Y69" s="2"/>
      <c r="Z69" s="6">
        <f t="shared" si="15"/>
        <v>-7.0966841875422987E-2</v>
      </c>
    </row>
    <row r="70" spans="1:26" s="69" customFormat="1" ht="15" hidden="1" customHeight="1" outlineLevel="2" x14ac:dyDescent="0.25">
      <c r="A70" s="25"/>
      <c r="B70" s="12" t="str">
        <f>CONCATENATE("          ","6371"," - ","COMPUTER SOFTWARE MAINTENANCE")</f>
        <v xml:space="preserve">          6371 - COMPUTER SOFTWARE MAINTENANCE</v>
      </c>
      <c r="C70" s="12"/>
      <c r="D70" s="7"/>
      <c r="E70" s="3"/>
      <c r="F70" s="8">
        <f t="shared" si="8"/>
        <v>0</v>
      </c>
      <c r="G70" s="3"/>
      <c r="H70" s="7"/>
      <c r="I70" s="3"/>
      <c r="J70" s="8">
        <f t="shared" si="9"/>
        <v>0</v>
      </c>
      <c r="K70" s="3"/>
      <c r="L70" s="7">
        <f t="shared" si="10"/>
        <v>0</v>
      </c>
      <c r="M70" s="3"/>
      <c r="N70" s="8">
        <f t="shared" si="11"/>
        <v>0</v>
      </c>
      <c r="O70" s="12"/>
      <c r="P70" s="7">
        <v>56736</v>
      </c>
      <c r="Q70" s="3"/>
      <c r="R70" s="8">
        <f t="shared" si="12"/>
        <v>0</v>
      </c>
      <c r="S70" s="3"/>
      <c r="T70" s="7">
        <v>59760.03</v>
      </c>
      <c r="U70" s="3"/>
      <c r="V70" s="8">
        <f t="shared" si="13"/>
        <v>0</v>
      </c>
      <c r="W70" s="3"/>
      <c r="X70" s="7">
        <f t="shared" si="14"/>
        <v>-3024.0299999999988</v>
      </c>
      <c r="Y70" s="3"/>
      <c r="Z70" s="8">
        <f t="shared" si="15"/>
        <v>-5.0602886243530987E-2</v>
      </c>
    </row>
    <row r="71" spans="1:26" s="69" customFormat="1" ht="15" hidden="1" customHeight="1" outlineLevel="2" x14ac:dyDescent="0.25">
      <c r="A71" s="25"/>
      <c r="B71" s="12" t="str">
        <f>CONCATENATE("          ","6372"," - ","COMPUTER HARDWARE MAINTENANCE")</f>
        <v xml:space="preserve">          6372 - COMPUTER HARDWARE MAINTENANCE</v>
      </c>
      <c r="C71" s="12"/>
      <c r="D71" s="7"/>
      <c r="E71" s="3"/>
      <c r="F71" s="8">
        <f t="shared" si="8"/>
        <v>0</v>
      </c>
      <c r="G71" s="3"/>
      <c r="H71" s="7"/>
      <c r="I71" s="3"/>
      <c r="J71" s="8">
        <f t="shared" si="9"/>
        <v>0</v>
      </c>
      <c r="K71" s="3"/>
      <c r="L71" s="7">
        <f t="shared" si="10"/>
        <v>0</v>
      </c>
      <c r="M71" s="3"/>
      <c r="N71" s="8">
        <f t="shared" si="11"/>
        <v>0</v>
      </c>
      <c r="O71" s="12"/>
      <c r="P71" s="7"/>
      <c r="Q71" s="3"/>
      <c r="R71" s="8">
        <f t="shared" si="12"/>
        <v>0</v>
      </c>
      <c r="S71" s="3"/>
      <c r="T71" s="7">
        <v>-0.63</v>
      </c>
      <c r="U71" s="3"/>
      <c r="V71" s="8">
        <f t="shared" si="13"/>
        <v>0</v>
      </c>
      <c r="W71" s="3"/>
      <c r="X71" s="7">
        <f t="shared" si="14"/>
        <v>0.63</v>
      </c>
      <c r="Y71" s="3"/>
      <c r="Z71" s="8">
        <f t="shared" si="15"/>
        <v>-1</v>
      </c>
    </row>
    <row r="72" spans="1:26" s="69" customFormat="1" ht="15" hidden="1" customHeight="1" outlineLevel="2" x14ac:dyDescent="0.25">
      <c r="A72" s="25"/>
      <c r="B72" s="12" t="str">
        <f>CONCATENATE("          ","6373"," - ","MAINTENANCE CONTRACTS")</f>
        <v xml:space="preserve">          6373 - MAINTENANCE CONTRACTS</v>
      </c>
      <c r="C72" s="12"/>
      <c r="D72" s="7">
        <v>332</v>
      </c>
      <c r="E72" s="3"/>
      <c r="F72" s="8">
        <f t="shared" si="8"/>
        <v>0</v>
      </c>
      <c r="G72" s="3"/>
      <c r="H72" s="7">
        <v>2901.77</v>
      </c>
      <c r="I72" s="3"/>
      <c r="J72" s="8">
        <f t="shared" si="9"/>
        <v>0</v>
      </c>
      <c r="K72" s="3"/>
      <c r="L72" s="7">
        <f t="shared" si="10"/>
        <v>-2569.77</v>
      </c>
      <c r="M72" s="3"/>
      <c r="N72" s="8">
        <f t="shared" si="11"/>
        <v>-0.88558707271768611</v>
      </c>
      <c r="O72" s="12"/>
      <c r="P72" s="7">
        <v>12252.1</v>
      </c>
      <c r="Q72" s="3"/>
      <c r="R72" s="8">
        <f t="shared" si="12"/>
        <v>0</v>
      </c>
      <c r="S72" s="3"/>
      <c r="T72" s="7">
        <v>17327.599999999999</v>
      </c>
      <c r="U72" s="3"/>
      <c r="V72" s="8">
        <f t="shared" si="13"/>
        <v>0</v>
      </c>
      <c r="W72" s="3"/>
      <c r="X72" s="7">
        <f t="shared" si="14"/>
        <v>-5075.4999999999982</v>
      </c>
      <c r="Y72" s="3"/>
      <c r="Z72" s="8">
        <f t="shared" si="15"/>
        <v>-0.29291419469516833</v>
      </c>
    </row>
    <row r="73" spans="1:26" s="69" customFormat="1" ht="15" hidden="1" customHeight="1" outlineLevel="2" x14ac:dyDescent="0.25">
      <c r="A73" s="25"/>
      <c r="B73" s="12" t="str">
        <f>CONCATENATE("          ","6375"," - ","OUTSIDE REPAIRS &amp; MAINTENANCE")</f>
        <v xml:space="preserve">          6375 - OUTSIDE REPAIRS &amp; MAINTENANCE</v>
      </c>
      <c r="C73" s="12"/>
      <c r="D73" s="7">
        <v>2151.5500000000002</v>
      </c>
      <c r="E73" s="3"/>
      <c r="F73" s="8">
        <f t="shared" si="8"/>
        <v>0</v>
      </c>
      <c r="G73" s="3"/>
      <c r="H73" s="7">
        <v>2539.6</v>
      </c>
      <c r="I73" s="3"/>
      <c r="J73" s="8">
        <f t="shared" si="9"/>
        <v>0</v>
      </c>
      <c r="K73" s="3"/>
      <c r="L73" s="7">
        <f t="shared" si="10"/>
        <v>-388.04999999999973</v>
      </c>
      <c r="M73" s="3"/>
      <c r="N73" s="8">
        <f t="shared" si="11"/>
        <v>-0.15279965348873828</v>
      </c>
      <c r="O73" s="12"/>
      <c r="P73" s="7">
        <v>29702.6</v>
      </c>
      <c r="Q73" s="3"/>
      <c r="R73" s="8">
        <f t="shared" si="12"/>
        <v>0</v>
      </c>
      <c r="S73" s="3"/>
      <c r="T73" s="7">
        <v>29142.47</v>
      </c>
      <c r="U73" s="3"/>
      <c r="V73" s="8">
        <f t="shared" si="13"/>
        <v>0</v>
      </c>
      <c r="W73" s="3"/>
      <c r="X73" s="7">
        <f t="shared" si="14"/>
        <v>560.12999999999738</v>
      </c>
      <c r="Y73" s="3"/>
      <c r="Z73" s="8">
        <f t="shared" si="15"/>
        <v>1.9220402388678701E-2</v>
      </c>
    </row>
    <row r="74" spans="1:26" s="68" customFormat="1" ht="15" customHeight="1" outlineLevel="1" collapsed="1" x14ac:dyDescent="0.25">
      <c r="A74" s="26"/>
      <c r="B74" s="14" t="str">
        <f>CONCATENATE("     ","Services                                          ")</f>
        <v xml:space="preserve">     Services                                          </v>
      </c>
      <c r="C74" s="14"/>
      <c r="D74" s="2">
        <f>SUM(OSRRefD22_16x_0)</f>
        <v>4610.62</v>
      </c>
      <c r="E74" s="2"/>
      <c r="F74" s="6">
        <f t="shared" si="8"/>
        <v>0</v>
      </c>
      <c r="G74" s="2"/>
      <c r="H74" s="2">
        <f>SUM(OSRRefH22_16x_0)</f>
        <v>4141.7299999999996</v>
      </c>
      <c r="I74" s="2"/>
      <c r="J74" s="6">
        <f t="shared" si="9"/>
        <v>0</v>
      </c>
      <c r="K74" s="2"/>
      <c r="L74" s="2">
        <f t="shared" si="10"/>
        <v>468.89000000000033</v>
      </c>
      <c r="M74" s="2"/>
      <c r="N74" s="6">
        <f t="shared" si="11"/>
        <v>0.11321114606698177</v>
      </c>
      <c r="O74" s="14"/>
      <c r="P74" s="2">
        <f>SUM(OSRRefP22_16x_0)</f>
        <v>55083.9</v>
      </c>
      <c r="Q74" s="2"/>
      <c r="R74" s="6">
        <f t="shared" si="12"/>
        <v>0</v>
      </c>
      <c r="S74" s="2"/>
      <c r="T74" s="2">
        <f>SUM(OSRRefT22_16x_0)</f>
        <v>43504.280000000006</v>
      </c>
      <c r="U74" s="2"/>
      <c r="V74" s="6">
        <f t="shared" si="13"/>
        <v>0</v>
      </c>
      <c r="W74" s="2"/>
      <c r="X74" s="2">
        <f t="shared" si="14"/>
        <v>11579.619999999995</v>
      </c>
      <c r="Y74" s="2"/>
      <c r="Z74" s="6">
        <f t="shared" si="15"/>
        <v>0.26617197204504922</v>
      </c>
    </row>
    <row r="75" spans="1:26" s="69" customFormat="1" ht="15" hidden="1" customHeight="1" outlineLevel="2" x14ac:dyDescent="0.25">
      <c r="A75" s="25"/>
      <c r="B75" s="12" t="str">
        <f>CONCATENATE("          ","6282"," - ","JANITORIAL/EXTERMINATOR EXPENS")</f>
        <v xml:space="preserve">          6282 - JANITORIAL/EXTERMINATOR EXPENS</v>
      </c>
      <c r="C75" s="12"/>
      <c r="D75" s="7">
        <v>167.05</v>
      </c>
      <c r="E75" s="3"/>
      <c r="F75" s="8">
        <f t="shared" si="8"/>
        <v>0</v>
      </c>
      <c r="G75" s="3"/>
      <c r="H75" s="7">
        <v>291</v>
      </c>
      <c r="I75" s="3"/>
      <c r="J75" s="8">
        <f t="shared" si="9"/>
        <v>0</v>
      </c>
      <c r="K75" s="3"/>
      <c r="L75" s="7">
        <f t="shared" si="10"/>
        <v>-123.94999999999999</v>
      </c>
      <c r="M75" s="3"/>
      <c r="N75" s="8">
        <f t="shared" si="11"/>
        <v>-0.42594501718213057</v>
      </c>
      <c r="O75" s="12"/>
      <c r="P75" s="7">
        <v>2224.73</v>
      </c>
      <c r="Q75" s="3"/>
      <c r="R75" s="8">
        <f t="shared" si="12"/>
        <v>0</v>
      </c>
      <c r="S75" s="3"/>
      <c r="T75" s="7">
        <v>7521.12</v>
      </c>
      <c r="U75" s="3"/>
      <c r="V75" s="8">
        <f t="shared" si="13"/>
        <v>0</v>
      </c>
      <c r="W75" s="3"/>
      <c r="X75" s="7">
        <f t="shared" si="14"/>
        <v>-5296.3899999999994</v>
      </c>
      <c r="Y75" s="3"/>
      <c r="Z75" s="8">
        <f t="shared" si="15"/>
        <v>-0.7042022996574977</v>
      </c>
    </row>
    <row r="76" spans="1:26" s="69" customFormat="1" ht="15" hidden="1" customHeight="1" outlineLevel="2" x14ac:dyDescent="0.25">
      <c r="A76" s="25"/>
      <c r="B76" s="12" t="str">
        <f>CONCATENATE("          ","6283"," - ","PLANT SERVICE")</f>
        <v xml:space="preserve">          6283 - PLANT SERVICE</v>
      </c>
      <c r="C76" s="12"/>
      <c r="D76" s="7"/>
      <c r="E76" s="3"/>
      <c r="F76" s="8">
        <f t="shared" si="8"/>
        <v>0</v>
      </c>
      <c r="G76" s="3"/>
      <c r="H76" s="7"/>
      <c r="I76" s="3"/>
      <c r="J76" s="8">
        <f t="shared" si="9"/>
        <v>0</v>
      </c>
      <c r="K76" s="3"/>
      <c r="L76" s="7">
        <f t="shared" si="10"/>
        <v>0</v>
      </c>
      <c r="M76" s="3"/>
      <c r="N76" s="8">
        <f t="shared" si="11"/>
        <v>0</v>
      </c>
      <c r="O76" s="12"/>
      <c r="P76" s="7"/>
      <c r="Q76" s="3"/>
      <c r="R76" s="8">
        <f t="shared" si="12"/>
        <v>0</v>
      </c>
      <c r="S76" s="3"/>
      <c r="T76" s="7">
        <v>130</v>
      </c>
      <c r="U76" s="3"/>
      <c r="V76" s="8">
        <f t="shared" si="13"/>
        <v>0</v>
      </c>
      <c r="W76" s="3"/>
      <c r="X76" s="7">
        <f t="shared" si="14"/>
        <v>-130</v>
      </c>
      <c r="Y76" s="3"/>
      <c r="Z76" s="8">
        <f t="shared" si="15"/>
        <v>-1</v>
      </c>
    </row>
    <row r="77" spans="1:26" s="69" customFormat="1" ht="15" hidden="1" customHeight="1" outlineLevel="2" x14ac:dyDescent="0.25">
      <c r="A77" s="25"/>
      <c r="B77" s="12" t="str">
        <f>CONCATENATE("          ","6285"," - ","JANITORIAL SERVICES")</f>
        <v xml:space="preserve">          6285 - JANITORIAL SERVICES</v>
      </c>
      <c r="C77" s="12"/>
      <c r="D77" s="7">
        <v>4443.57</v>
      </c>
      <c r="E77" s="3"/>
      <c r="F77" s="8">
        <f t="shared" si="8"/>
        <v>0</v>
      </c>
      <c r="G77" s="3"/>
      <c r="H77" s="7">
        <v>3850.73</v>
      </c>
      <c r="I77" s="3"/>
      <c r="J77" s="8">
        <f t="shared" si="9"/>
        <v>0</v>
      </c>
      <c r="K77" s="3"/>
      <c r="L77" s="7">
        <f t="shared" si="10"/>
        <v>592.83999999999969</v>
      </c>
      <c r="M77" s="3"/>
      <c r="N77" s="8">
        <f t="shared" si="11"/>
        <v>0.15395522407439621</v>
      </c>
      <c r="O77" s="12"/>
      <c r="P77" s="7">
        <v>52859.17</v>
      </c>
      <c r="Q77" s="3"/>
      <c r="R77" s="8">
        <f t="shared" si="12"/>
        <v>0</v>
      </c>
      <c r="S77" s="3"/>
      <c r="T77" s="7">
        <v>35853.160000000003</v>
      </c>
      <c r="U77" s="3"/>
      <c r="V77" s="8">
        <f t="shared" si="13"/>
        <v>0</v>
      </c>
      <c r="W77" s="3"/>
      <c r="X77" s="7">
        <f t="shared" si="14"/>
        <v>17006.009999999995</v>
      </c>
      <c r="Y77" s="3"/>
      <c r="Z77" s="8">
        <f t="shared" si="15"/>
        <v>0.47432388107491763</v>
      </c>
    </row>
    <row r="78" spans="1:26" s="68" customFormat="1" ht="15" customHeight="1" outlineLevel="1" collapsed="1" x14ac:dyDescent="0.25">
      <c r="A78" s="26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2">
        <f>SUM(OSRRefD22_17x_0)</f>
        <v>700</v>
      </c>
      <c r="E78" s="2"/>
      <c r="F78" s="6">
        <f t="shared" si="8"/>
        <v>0</v>
      </c>
      <c r="G78" s="2"/>
      <c r="H78" s="2">
        <f>SUM(OSRRefH22_17x_0)</f>
        <v>0</v>
      </c>
      <c r="I78" s="2"/>
      <c r="J78" s="6">
        <f t="shared" si="9"/>
        <v>0</v>
      </c>
      <c r="K78" s="2"/>
      <c r="L78" s="2">
        <f t="shared" si="10"/>
        <v>700</v>
      </c>
      <c r="M78" s="2"/>
      <c r="N78" s="6">
        <f t="shared" si="11"/>
        <v>0</v>
      </c>
      <c r="O78" s="14"/>
      <c r="P78" s="2">
        <f>SUM(OSRRefP22_17x_0)</f>
        <v>580</v>
      </c>
      <c r="Q78" s="2"/>
      <c r="R78" s="6">
        <f t="shared" si="12"/>
        <v>0</v>
      </c>
      <c r="S78" s="2"/>
      <c r="T78" s="2">
        <f>SUM(OSRRefT22_17x_0)</f>
        <v>0</v>
      </c>
      <c r="U78" s="2"/>
      <c r="V78" s="6">
        <f t="shared" si="13"/>
        <v>0</v>
      </c>
      <c r="W78" s="2"/>
      <c r="X78" s="2">
        <f t="shared" si="14"/>
        <v>580</v>
      </c>
      <c r="Y78" s="2"/>
      <c r="Z78" s="6">
        <f t="shared" si="15"/>
        <v>0</v>
      </c>
    </row>
    <row r="79" spans="1:26" s="69" customFormat="1" ht="15" hidden="1" customHeight="1" outlineLevel="2" x14ac:dyDescent="0.25">
      <c r="A79" s="25"/>
      <c r="B79" s="12" t="str">
        <f>CONCATENATE("          ","6258"," - ","MEMBERSHIP DUES")</f>
        <v xml:space="preserve">          6258 - MEMBERSHIP DUES</v>
      </c>
      <c r="C79" s="12"/>
      <c r="D79" s="7">
        <v>700</v>
      </c>
      <c r="E79" s="3"/>
      <c r="F79" s="8">
        <f t="shared" si="8"/>
        <v>0</v>
      </c>
      <c r="G79" s="3"/>
      <c r="H79" s="7"/>
      <c r="I79" s="3"/>
      <c r="J79" s="8">
        <f t="shared" si="9"/>
        <v>0</v>
      </c>
      <c r="K79" s="3"/>
      <c r="L79" s="7">
        <f t="shared" si="10"/>
        <v>700</v>
      </c>
      <c r="M79" s="3"/>
      <c r="N79" s="8">
        <f t="shared" si="11"/>
        <v>0</v>
      </c>
      <c r="O79" s="12"/>
      <c r="P79" s="7">
        <v>580</v>
      </c>
      <c r="Q79" s="3"/>
      <c r="R79" s="8">
        <f t="shared" si="12"/>
        <v>0</v>
      </c>
      <c r="S79" s="3"/>
      <c r="T79" s="7"/>
      <c r="U79" s="3"/>
      <c r="V79" s="8">
        <f t="shared" si="13"/>
        <v>0</v>
      </c>
      <c r="W79" s="3"/>
      <c r="X79" s="7">
        <f t="shared" si="14"/>
        <v>580</v>
      </c>
      <c r="Y79" s="3"/>
      <c r="Z79" s="8">
        <f t="shared" si="15"/>
        <v>0</v>
      </c>
    </row>
    <row r="80" spans="1:26" s="68" customFormat="1" ht="15" customHeight="1" outlineLevel="1" collapsed="1" x14ac:dyDescent="0.25">
      <c r="A80" s="26"/>
      <c r="B80" s="14" t="str">
        <f>CONCATENATE("     ","Supplies                                          ")</f>
        <v xml:space="preserve">     Supplies                                          </v>
      </c>
      <c r="C80" s="14"/>
      <c r="D80" s="2">
        <f>SUM(OSRRefD22_18x_0)</f>
        <v>4017.15</v>
      </c>
      <c r="E80" s="2"/>
      <c r="F80" s="6">
        <f t="shared" si="8"/>
        <v>0</v>
      </c>
      <c r="G80" s="2"/>
      <c r="H80" s="2">
        <f>SUM(OSRRefH22_18x_0)</f>
        <v>3529.18</v>
      </c>
      <c r="I80" s="2"/>
      <c r="J80" s="6">
        <f t="shared" si="9"/>
        <v>0</v>
      </c>
      <c r="K80" s="2"/>
      <c r="L80" s="2">
        <f t="shared" si="10"/>
        <v>487.97000000000025</v>
      </c>
      <c r="M80" s="2"/>
      <c r="N80" s="6">
        <f t="shared" si="11"/>
        <v>0.13826724621583492</v>
      </c>
      <c r="O80" s="14"/>
      <c r="P80" s="2">
        <f>SUM(OSRRefP22_18x_0)</f>
        <v>44465.82</v>
      </c>
      <c r="Q80" s="2"/>
      <c r="R80" s="6">
        <f t="shared" si="12"/>
        <v>0</v>
      </c>
      <c r="S80" s="2"/>
      <c r="T80" s="2">
        <f>SUM(OSRRefT22_18x_0)</f>
        <v>67572.900000000009</v>
      </c>
      <c r="U80" s="2"/>
      <c r="V80" s="6">
        <f t="shared" si="13"/>
        <v>0</v>
      </c>
      <c r="W80" s="2"/>
      <c r="X80" s="2">
        <f t="shared" si="14"/>
        <v>-23107.080000000009</v>
      </c>
      <c r="Y80" s="2"/>
      <c r="Z80" s="6">
        <f t="shared" si="15"/>
        <v>-0.34195779669068527</v>
      </c>
    </row>
    <row r="81" spans="1:26" s="69" customFormat="1" ht="15" hidden="1" customHeight="1" outlineLevel="2" x14ac:dyDescent="0.25">
      <c r="A81" s="25"/>
      <c r="B81" s="12" t="str">
        <f>CONCATENATE("          ","6234"," - ","EXPENDABLE SUPPLIES &amp; EQUIPMEN")</f>
        <v xml:space="preserve">          6234 - EXPENDABLE SUPPLIES &amp; EQUIPMEN</v>
      </c>
      <c r="C81" s="12"/>
      <c r="D81" s="7"/>
      <c r="E81" s="3"/>
      <c r="F81" s="8">
        <f t="shared" si="8"/>
        <v>0</v>
      </c>
      <c r="G81" s="3"/>
      <c r="H81" s="7"/>
      <c r="I81" s="3"/>
      <c r="J81" s="8">
        <f t="shared" si="9"/>
        <v>0</v>
      </c>
      <c r="K81" s="3"/>
      <c r="L81" s="7">
        <f t="shared" si="10"/>
        <v>0</v>
      </c>
      <c r="M81" s="3"/>
      <c r="N81" s="8">
        <f t="shared" si="11"/>
        <v>0</v>
      </c>
      <c r="O81" s="12"/>
      <c r="P81" s="7">
        <v>3896.02</v>
      </c>
      <c r="Q81" s="3"/>
      <c r="R81" s="8">
        <f t="shared" si="12"/>
        <v>0</v>
      </c>
      <c r="S81" s="3"/>
      <c r="T81" s="7">
        <v>-449.34</v>
      </c>
      <c r="U81" s="3"/>
      <c r="V81" s="8">
        <f t="shared" si="13"/>
        <v>0</v>
      </c>
      <c r="W81" s="3"/>
      <c r="X81" s="7">
        <f t="shared" si="14"/>
        <v>4345.3599999999997</v>
      </c>
      <c r="Y81" s="3"/>
      <c r="Z81" s="8">
        <f t="shared" si="15"/>
        <v>-9.6705390127742916</v>
      </c>
    </row>
    <row r="82" spans="1:26" s="69" customFormat="1" ht="15" hidden="1" customHeight="1" outlineLevel="2" x14ac:dyDescent="0.25">
      <c r="A82" s="25"/>
      <c r="B82" s="12" t="str">
        <f>CONCATENATE("          ","6235"," - ","COVID-19 EXPENSES")</f>
        <v xml:space="preserve">          6235 - COVID-19 EXPENSES</v>
      </c>
      <c r="C82" s="12"/>
      <c r="D82" s="7">
        <v>156</v>
      </c>
      <c r="E82" s="3"/>
      <c r="F82" s="8">
        <f t="shared" si="8"/>
        <v>0</v>
      </c>
      <c r="G82" s="3"/>
      <c r="H82" s="7">
        <v>2928.27</v>
      </c>
      <c r="I82" s="3"/>
      <c r="J82" s="8">
        <f t="shared" si="9"/>
        <v>0</v>
      </c>
      <c r="K82" s="3"/>
      <c r="L82" s="7">
        <f t="shared" si="10"/>
        <v>-2772.27</v>
      </c>
      <c r="M82" s="3"/>
      <c r="N82" s="8">
        <f t="shared" si="11"/>
        <v>-0.94672622401622797</v>
      </c>
      <c r="O82" s="12"/>
      <c r="P82" s="7">
        <v>3586.32</v>
      </c>
      <c r="Q82" s="3"/>
      <c r="R82" s="8">
        <f t="shared" si="12"/>
        <v>0</v>
      </c>
      <c r="S82" s="3"/>
      <c r="T82" s="7">
        <v>41950.720000000001</v>
      </c>
      <c r="U82" s="3"/>
      <c r="V82" s="8">
        <f t="shared" si="13"/>
        <v>0</v>
      </c>
      <c r="W82" s="3"/>
      <c r="X82" s="7">
        <f t="shared" si="14"/>
        <v>-38364.400000000001</v>
      </c>
      <c r="Y82" s="3"/>
      <c r="Z82" s="8">
        <f t="shared" si="15"/>
        <v>-0.91451112162079695</v>
      </c>
    </row>
    <row r="83" spans="1:26" s="69" customFormat="1" ht="15" hidden="1" customHeight="1" outlineLevel="2" x14ac:dyDescent="0.25">
      <c r="A83" s="25"/>
      <c r="B83" s="12" t="str">
        <f>CONCATENATE("          ","6237"," - ","JANITORIAL SUPPLIES")</f>
        <v xml:space="preserve">          6237 - JANITORIAL SUPPLIES</v>
      </c>
      <c r="C83" s="12"/>
      <c r="D83" s="7">
        <v>369.57</v>
      </c>
      <c r="E83" s="3"/>
      <c r="F83" s="8">
        <f t="shared" si="8"/>
        <v>0</v>
      </c>
      <c r="G83" s="3"/>
      <c r="H83" s="7">
        <v>390.73</v>
      </c>
      <c r="I83" s="3"/>
      <c r="J83" s="8">
        <f t="shared" si="9"/>
        <v>0</v>
      </c>
      <c r="K83" s="3"/>
      <c r="L83" s="7">
        <f t="shared" si="10"/>
        <v>-21.160000000000025</v>
      </c>
      <c r="M83" s="3"/>
      <c r="N83" s="8">
        <f t="shared" si="11"/>
        <v>-5.415504312440822E-2</v>
      </c>
      <c r="O83" s="12"/>
      <c r="P83" s="7">
        <v>5795.46</v>
      </c>
      <c r="Q83" s="3"/>
      <c r="R83" s="8">
        <f t="shared" si="12"/>
        <v>0</v>
      </c>
      <c r="S83" s="3"/>
      <c r="T83" s="7">
        <v>3688.54</v>
      </c>
      <c r="U83" s="3"/>
      <c r="V83" s="8">
        <f t="shared" si="13"/>
        <v>0</v>
      </c>
      <c r="W83" s="3"/>
      <c r="X83" s="7">
        <f t="shared" si="14"/>
        <v>2106.92</v>
      </c>
      <c r="Y83" s="3"/>
      <c r="Z83" s="8">
        <f t="shared" si="15"/>
        <v>0.57120703584616139</v>
      </c>
    </row>
    <row r="84" spans="1:26" s="69" customFormat="1" ht="15" hidden="1" customHeight="1" outlineLevel="2" x14ac:dyDescent="0.25">
      <c r="A84" s="25"/>
      <c r="B84" s="12" t="str">
        <f>CONCATENATE("          ","6241"," - ","OFFICE EXPENSE")</f>
        <v xml:space="preserve">          6241 - OFFICE EXPENSE</v>
      </c>
      <c r="C84" s="12"/>
      <c r="D84" s="7">
        <v>42.32</v>
      </c>
      <c r="E84" s="3"/>
      <c r="F84" s="8">
        <f t="shared" ref="F84:F96" si="16">IF(D$12=0,0,D84/D$12)</f>
        <v>0</v>
      </c>
      <c r="G84" s="3"/>
      <c r="H84" s="7">
        <v>9.68</v>
      </c>
      <c r="I84" s="3"/>
      <c r="J84" s="8">
        <f t="shared" ref="J84:J96" si="17">IF(H$12=0,0,H84/H$12)</f>
        <v>0</v>
      </c>
      <c r="K84" s="3"/>
      <c r="L84" s="7">
        <f t="shared" ref="L84:L96" si="18">+D84-H84</f>
        <v>32.64</v>
      </c>
      <c r="M84" s="3"/>
      <c r="N84" s="8">
        <f t="shared" ref="N84:N96" si="19">IF(H84=0,0,L84/H84)</f>
        <v>3.3719008264462813</v>
      </c>
      <c r="O84" s="12"/>
      <c r="P84" s="7">
        <v>2066.25</v>
      </c>
      <c r="Q84" s="3"/>
      <c r="R84" s="8">
        <f t="shared" ref="R84:R96" si="20">IF(P$12=0,0,P84/P$12)</f>
        <v>0</v>
      </c>
      <c r="S84" s="3"/>
      <c r="T84" s="7">
        <v>2882.25</v>
      </c>
      <c r="U84" s="3"/>
      <c r="V84" s="8">
        <f t="shared" ref="V84:V96" si="21">IF(T$12=0,0,T84/T$12)</f>
        <v>0</v>
      </c>
      <c r="W84" s="3"/>
      <c r="X84" s="7">
        <f t="shared" ref="X84:X96" si="22">+P84-T84</f>
        <v>-816</v>
      </c>
      <c r="Y84" s="3"/>
      <c r="Z84" s="8">
        <f t="shared" ref="Z84:Z96" si="23">IF(T84=0,0,X84/T84)</f>
        <v>-0.28311215196461098</v>
      </c>
    </row>
    <row r="85" spans="1:26" s="69" customFormat="1" ht="15" hidden="1" customHeight="1" outlineLevel="2" x14ac:dyDescent="0.25">
      <c r="A85" s="25"/>
      <c r="B85" s="12" t="str">
        <f>CONCATENATE("          ","6245"," - ","PRINTING")</f>
        <v xml:space="preserve">          6245 - PRINTING</v>
      </c>
      <c r="C85" s="12"/>
      <c r="D85" s="7"/>
      <c r="E85" s="3"/>
      <c r="F85" s="8">
        <f t="shared" si="16"/>
        <v>0</v>
      </c>
      <c r="G85" s="3"/>
      <c r="H85" s="7"/>
      <c r="I85" s="3"/>
      <c r="J85" s="8">
        <f t="shared" si="17"/>
        <v>0</v>
      </c>
      <c r="K85" s="3"/>
      <c r="L85" s="7">
        <f t="shared" si="18"/>
        <v>0</v>
      </c>
      <c r="M85" s="3"/>
      <c r="N85" s="8">
        <f t="shared" si="19"/>
        <v>0</v>
      </c>
      <c r="O85" s="12"/>
      <c r="P85" s="7">
        <v>1618.44</v>
      </c>
      <c r="Q85" s="3"/>
      <c r="R85" s="8">
        <f t="shared" si="20"/>
        <v>0</v>
      </c>
      <c r="S85" s="3"/>
      <c r="T85" s="7">
        <v>68.66</v>
      </c>
      <c r="U85" s="3"/>
      <c r="V85" s="8">
        <f t="shared" si="21"/>
        <v>0</v>
      </c>
      <c r="W85" s="3"/>
      <c r="X85" s="7">
        <f t="shared" si="22"/>
        <v>1549.78</v>
      </c>
      <c r="Y85" s="3"/>
      <c r="Z85" s="8">
        <f t="shared" si="23"/>
        <v>22.571803087678415</v>
      </c>
    </row>
    <row r="86" spans="1:26" s="69" customFormat="1" ht="15" hidden="1" customHeight="1" outlineLevel="2" x14ac:dyDescent="0.25">
      <c r="A86" s="25"/>
      <c r="B86" s="12" t="str">
        <f>CONCATENATE("          ","6247"," - ","STORE SUPPLIES")</f>
        <v xml:space="preserve">          6247 - STORE SUPPLIES</v>
      </c>
      <c r="C86" s="12"/>
      <c r="D86" s="7">
        <v>3449.26</v>
      </c>
      <c r="E86" s="3"/>
      <c r="F86" s="8">
        <f t="shared" si="16"/>
        <v>0</v>
      </c>
      <c r="G86" s="3"/>
      <c r="H86" s="7">
        <v>200.5</v>
      </c>
      <c r="I86" s="3"/>
      <c r="J86" s="8">
        <f t="shared" si="17"/>
        <v>0</v>
      </c>
      <c r="K86" s="3"/>
      <c r="L86" s="7">
        <f t="shared" si="18"/>
        <v>3248.76</v>
      </c>
      <c r="M86" s="3"/>
      <c r="N86" s="8">
        <f t="shared" si="19"/>
        <v>16.203291770573568</v>
      </c>
      <c r="O86" s="12"/>
      <c r="P86" s="7">
        <v>27503.33</v>
      </c>
      <c r="Q86" s="3"/>
      <c r="R86" s="8">
        <f t="shared" si="20"/>
        <v>0</v>
      </c>
      <c r="S86" s="3"/>
      <c r="T86" s="7">
        <v>19432.07</v>
      </c>
      <c r="U86" s="3"/>
      <c r="V86" s="8">
        <f t="shared" si="21"/>
        <v>0</v>
      </c>
      <c r="W86" s="3"/>
      <c r="X86" s="7">
        <f t="shared" si="22"/>
        <v>8071.260000000002</v>
      </c>
      <c r="Y86" s="3"/>
      <c r="Z86" s="8">
        <f t="shared" si="23"/>
        <v>0.41535770507207942</v>
      </c>
    </row>
    <row r="87" spans="1:26" s="68" customFormat="1" ht="15" customHeight="1" outlineLevel="1" collapsed="1" x14ac:dyDescent="0.25">
      <c r="A87" s="26"/>
      <c r="B87" s="14" t="str">
        <f>CONCATENATE("     ","Telephone/Data Lines                              ")</f>
        <v xml:space="preserve">     Telephone/Data Lines                              </v>
      </c>
      <c r="C87" s="14"/>
      <c r="D87" s="2">
        <f>SUM(OSRRefD22_19x_0)</f>
        <v>424</v>
      </c>
      <c r="E87" s="2"/>
      <c r="F87" s="6">
        <f t="shared" si="16"/>
        <v>0</v>
      </c>
      <c r="G87" s="2"/>
      <c r="H87" s="2">
        <f>SUM(OSRRefH22_19x_0)</f>
        <v>580</v>
      </c>
      <c r="I87" s="2"/>
      <c r="J87" s="6">
        <f t="shared" si="17"/>
        <v>0</v>
      </c>
      <c r="K87" s="2"/>
      <c r="L87" s="2">
        <f t="shared" si="18"/>
        <v>-156</v>
      </c>
      <c r="M87" s="2"/>
      <c r="N87" s="6">
        <f t="shared" si="19"/>
        <v>-0.26896551724137929</v>
      </c>
      <c r="O87" s="14"/>
      <c r="P87" s="2">
        <f>SUM(OSRRefP22_19x_0)</f>
        <v>6481.12</v>
      </c>
      <c r="Q87" s="2"/>
      <c r="R87" s="6">
        <f t="shared" si="20"/>
        <v>0</v>
      </c>
      <c r="S87" s="2"/>
      <c r="T87" s="2">
        <f>SUM(OSRRefT22_19x_0)</f>
        <v>6303.25</v>
      </c>
      <c r="U87" s="2"/>
      <c r="V87" s="6">
        <f t="shared" si="21"/>
        <v>0</v>
      </c>
      <c r="W87" s="2"/>
      <c r="X87" s="2">
        <f t="shared" si="22"/>
        <v>177.86999999999989</v>
      </c>
      <c r="Y87" s="2"/>
      <c r="Z87" s="6">
        <f t="shared" si="23"/>
        <v>2.8218776028239384E-2</v>
      </c>
    </row>
    <row r="88" spans="1:26" s="69" customFormat="1" ht="15" hidden="1" customHeight="1" outlineLevel="2" x14ac:dyDescent="0.25">
      <c r="A88" s="25"/>
      <c r="B88" s="12" t="str">
        <f>CONCATENATE("          ","6309"," - ","TELEPHONE")</f>
        <v xml:space="preserve">          6309 - TELEPHONE</v>
      </c>
      <c r="C88" s="12"/>
      <c r="D88" s="7">
        <v>424</v>
      </c>
      <c r="E88" s="3"/>
      <c r="F88" s="8">
        <f t="shared" si="16"/>
        <v>0</v>
      </c>
      <c r="G88" s="3"/>
      <c r="H88" s="7">
        <v>580</v>
      </c>
      <c r="I88" s="3"/>
      <c r="J88" s="8">
        <f t="shared" si="17"/>
        <v>0</v>
      </c>
      <c r="K88" s="3"/>
      <c r="L88" s="7">
        <f t="shared" si="18"/>
        <v>-156</v>
      </c>
      <c r="M88" s="3"/>
      <c r="N88" s="8">
        <f t="shared" si="19"/>
        <v>-0.26896551724137929</v>
      </c>
      <c r="O88" s="12"/>
      <c r="P88" s="7">
        <v>6481.12</v>
      </c>
      <c r="Q88" s="3"/>
      <c r="R88" s="8">
        <f t="shared" si="20"/>
        <v>0</v>
      </c>
      <c r="S88" s="3"/>
      <c r="T88" s="7">
        <v>6303.25</v>
      </c>
      <c r="U88" s="3"/>
      <c r="V88" s="8">
        <f t="shared" si="21"/>
        <v>0</v>
      </c>
      <c r="W88" s="3"/>
      <c r="X88" s="7">
        <f t="shared" si="22"/>
        <v>177.86999999999989</v>
      </c>
      <c r="Y88" s="3"/>
      <c r="Z88" s="8">
        <f t="shared" si="23"/>
        <v>2.8218776028239384E-2</v>
      </c>
    </row>
    <row r="89" spans="1:26" s="68" customFormat="1" ht="15" customHeight="1" outlineLevel="1" collapsed="1" x14ac:dyDescent="0.25">
      <c r="A89" s="26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SUM(OSRRefD22_20x_0)</f>
        <v>5700</v>
      </c>
      <c r="E89" s="2"/>
      <c r="F89" s="6">
        <f t="shared" si="16"/>
        <v>0</v>
      </c>
      <c r="G89" s="2"/>
      <c r="H89" s="2">
        <f>SUM(OSRRefH22_20x_0)</f>
        <v>0</v>
      </c>
      <c r="I89" s="2"/>
      <c r="J89" s="6">
        <f t="shared" si="17"/>
        <v>0</v>
      </c>
      <c r="K89" s="2"/>
      <c r="L89" s="2">
        <f t="shared" si="18"/>
        <v>5700</v>
      </c>
      <c r="M89" s="2"/>
      <c r="N89" s="6">
        <f t="shared" si="19"/>
        <v>0</v>
      </c>
      <c r="O89" s="14"/>
      <c r="P89" s="2">
        <f>SUM(OSRRefP22_20x_0)</f>
        <v>6494</v>
      </c>
      <c r="Q89" s="2"/>
      <c r="R89" s="6">
        <f t="shared" si="20"/>
        <v>0</v>
      </c>
      <c r="S89" s="2"/>
      <c r="T89" s="2">
        <f>SUM(OSRRefT22_20x_0)</f>
        <v>881.63</v>
      </c>
      <c r="U89" s="2"/>
      <c r="V89" s="6">
        <f t="shared" si="21"/>
        <v>0</v>
      </c>
      <c r="W89" s="2"/>
      <c r="X89" s="2">
        <f t="shared" si="22"/>
        <v>5612.37</v>
      </c>
      <c r="Y89" s="2"/>
      <c r="Z89" s="6">
        <f t="shared" si="23"/>
        <v>6.3659017955378108</v>
      </c>
    </row>
    <row r="90" spans="1:26" s="69" customFormat="1" ht="15" hidden="1" customHeight="1" outlineLevel="2" x14ac:dyDescent="0.25">
      <c r="A90" s="25"/>
      <c r="B90" s="12" t="str">
        <f>CONCATENATE("          ","6376"," - ","TRAINING")</f>
        <v xml:space="preserve">          6376 - TRAINING</v>
      </c>
      <c r="C90" s="12"/>
      <c r="D90" s="7">
        <v>5700</v>
      </c>
      <c r="E90" s="3"/>
      <c r="F90" s="8">
        <f t="shared" si="16"/>
        <v>0</v>
      </c>
      <c r="G90" s="3"/>
      <c r="H90" s="7"/>
      <c r="I90" s="3"/>
      <c r="J90" s="8">
        <f t="shared" si="17"/>
        <v>0</v>
      </c>
      <c r="K90" s="3"/>
      <c r="L90" s="7">
        <f t="shared" si="18"/>
        <v>5700</v>
      </c>
      <c r="M90" s="3"/>
      <c r="N90" s="8">
        <f t="shared" si="19"/>
        <v>0</v>
      </c>
      <c r="O90" s="12"/>
      <c r="P90" s="7">
        <v>6494</v>
      </c>
      <c r="Q90" s="3"/>
      <c r="R90" s="8">
        <f t="shared" si="20"/>
        <v>0</v>
      </c>
      <c r="S90" s="3"/>
      <c r="T90" s="7">
        <v>881.63</v>
      </c>
      <c r="U90" s="3"/>
      <c r="V90" s="8">
        <f t="shared" si="21"/>
        <v>0</v>
      </c>
      <c r="W90" s="3"/>
      <c r="X90" s="7">
        <f t="shared" si="22"/>
        <v>5612.37</v>
      </c>
      <c r="Y90" s="3"/>
      <c r="Z90" s="8">
        <f t="shared" si="23"/>
        <v>6.3659017955378108</v>
      </c>
    </row>
    <row r="91" spans="1:26" s="68" customFormat="1" ht="15" customHeight="1" outlineLevel="1" collapsed="1" x14ac:dyDescent="0.25">
      <c r="A91" s="26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SUM(OSRRefD22_21x_0)</f>
        <v>133.12</v>
      </c>
      <c r="E91" s="2"/>
      <c r="F91" s="6">
        <f t="shared" si="16"/>
        <v>0</v>
      </c>
      <c r="G91" s="2"/>
      <c r="H91" s="2">
        <f>SUM(OSRRefH22_21x_0)</f>
        <v>0</v>
      </c>
      <c r="I91" s="2"/>
      <c r="J91" s="6">
        <f t="shared" si="17"/>
        <v>0</v>
      </c>
      <c r="K91" s="2"/>
      <c r="L91" s="2">
        <f t="shared" si="18"/>
        <v>133.12</v>
      </c>
      <c r="M91" s="2"/>
      <c r="N91" s="6">
        <f t="shared" si="19"/>
        <v>0</v>
      </c>
      <c r="O91" s="14"/>
      <c r="P91" s="2">
        <f>SUM(OSRRefP22_21x_0)</f>
        <v>1014.62</v>
      </c>
      <c r="Q91" s="2"/>
      <c r="R91" s="6">
        <f t="shared" si="20"/>
        <v>0</v>
      </c>
      <c r="S91" s="2"/>
      <c r="T91" s="2">
        <f>SUM(OSRRefT22_21x_0)</f>
        <v>358.89</v>
      </c>
      <c r="U91" s="2"/>
      <c r="V91" s="6">
        <f t="shared" si="21"/>
        <v>0</v>
      </c>
      <c r="W91" s="2"/>
      <c r="X91" s="2">
        <f t="shared" si="22"/>
        <v>655.73</v>
      </c>
      <c r="Y91" s="2"/>
      <c r="Z91" s="6">
        <f t="shared" si="23"/>
        <v>1.8271057984340606</v>
      </c>
    </row>
    <row r="92" spans="1:26" s="69" customFormat="1" ht="15" hidden="1" customHeight="1" outlineLevel="2" x14ac:dyDescent="0.25">
      <c r="A92" s="25"/>
      <c r="B92" s="12" t="str">
        <f>CONCATENATE("          ","6292"," - ","TRAVEL/CONFERENCE")</f>
        <v xml:space="preserve">          6292 - TRAVEL/CONFERENCE</v>
      </c>
      <c r="C92" s="12"/>
      <c r="D92" s="7"/>
      <c r="E92" s="3"/>
      <c r="F92" s="8">
        <f t="shared" si="16"/>
        <v>0</v>
      </c>
      <c r="G92" s="3"/>
      <c r="H92" s="7"/>
      <c r="I92" s="3"/>
      <c r="J92" s="8">
        <f t="shared" si="17"/>
        <v>0</v>
      </c>
      <c r="K92" s="3"/>
      <c r="L92" s="7">
        <f t="shared" si="18"/>
        <v>0</v>
      </c>
      <c r="M92" s="3"/>
      <c r="N92" s="8">
        <f t="shared" si="19"/>
        <v>0</v>
      </c>
      <c r="O92" s="12"/>
      <c r="P92" s="7">
        <v>495</v>
      </c>
      <c r="Q92" s="3"/>
      <c r="R92" s="8">
        <f t="shared" si="20"/>
        <v>0</v>
      </c>
      <c r="S92" s="3"/>
      <c r="T92" s="7">
        <v>299</v>
      </c>
      <c r="U92" s="3"/>
      <c r="V92" s="8">
        <f t="shared" si="21"/>
        <v>0</v>
      </c>
      <c r="W92" s="3"/>
      <c r="X92" s="7">
        <f t="shared" si="22"/>
        <v>196</v>
      </c>
      <c r="Y92" s="3"/>
      <c r="Z92" s="8">
        <f t="shared" si="23"/>
        <v>0.65551839464882944</v>
      </c>
    </row>
    <row r="93" spans="1:26" s="69" customFormat="1" ht="15" hidden="1" customHeight="1" outlineLevel="2" x14ac:dyDescent="0.25">
      <c r="A93" s="25"/>
      <c r="B93" s="12" t="str">
        <f>CONCATENATE("          ","6294"," - ","TRAVEL OPERATIONAL")</f>
        <v xml:space="preserve">          6294 - TRAVEL OPERATIONAL</v>
      </c>
      <c r="C93" s="12"/>
      <c r="D93" s="7">
        <v>20.239999999999998</v>
      </c>
      <c r="E93" s="3"/>
      <c r="F93" s="8">
        <f t="shared" si="16"/>
        <v>0</v>
      </c>
      <c r="G93" s="3"/>
      <c r="H93" s="7"/>
      <c r="I93" s="3"/>
      <c r="J93" s="8">
        <f t="shared" si="17"/>
        <v>0</v>
      </c>
      <c r="K93" s="3"/>
      <c r="L93" s="7">
        <f t="shared" si="18"/>
        <v>20.239999999999998</v>
      </c>
      <c r="M93" s="3"/>
      <c r="N93" s="8">
        <f t="shared" si="19"/>
        <v>0</v>
      </c>
      <c r="O93" s="12"/>
      <c r="P93" s="7">
        <v>20.239999999999998</v>
      </c>
      <c r="Q93" s="3"/>
      <c r="R93" s="8">
        <f t="shared" si="20"/>
        <v>0</v>
      </c>
      <c r="S93" s="3"/>
      <c r="T93" s="7"/>
      <c r="U93" s="3"/>
      <c r="V93" s="8">
        <f t="shared" si="21"/>
        <v>0</v>
      </c>
      <c r="W93" s="3"/>
      <c r="X93" s="7">
        <f t="shared" si="22"/>
        <v>20.239999999999998</v>
      </c>
      <c r="Y93" s="3"/>
      <c r="Z93" s="8">
        <f t="shared" si="23"/>
        <v>0</v>
      </c>
    </row>
    <row r="94" spans="1:26" s="69" customFormat="1" ht="15" hidden="1" customHeight="1" outlineLevel="2" x14ac:dyDescent="0.25">
      <c r="A94" s="25"/>
      <c r="B94" s="12" t="str">
        <f>CONCATENATE("          ","6298"," - ","VEHICLE MILEAGE")</f>
        <v xml:space="preserve">          6298 - VEHICLE MILEAGE</v>
      </c>
      <c r="C94" s="12"/>
      <c r="D94" s="7">
        <v>112.88</v>
      </c>
      <c r="E94" s="3"/>
      <c r="F94" s="8">
        <f t="shared" si="16"/>
        <v>0</v>
      </c>
      <c r="G94" s="3"/>
      <c r="H94" s="7"/>
      <c r="I94" s="3"/>
      <c r="J94" s="8">
        <f t="shared" si="17"/>
        <v>0</v>
      </c>
      <c r="K94" s="3"/>
      <c r="L94" s="7">
        <f t="shared" si="18"/>
        <v>112.88</v>
      </c>
      <c r="M94" s="3"/>
      <c r="N94" s="8">
        <f t="shared" si="19"/>
        <v>0</v>
      </c>
      <c r="O94" s="12"/>
      <c r="P94" s="7">
        <v>499.38</v>
      </c>
      <c r="Q94" s="3"/>
      <c r="R94" s="8">
        <f t="shared" si="20"/>
        <v>0</v>
      </c>
      <c r="S94" s="3"/>
      <c r="T94" s="7">
        <v>59.89</v>
      </c>
      <c r="U94" s="3"/>
      <c r="V94" s="8">
        <f t="shared" si="21"/>
        <v>0</v>
      </c>
      <c r="W94" s="3"/>
      <c r="X94" s="7">
        <f t="shared" si="22"/>
        <v>439.49</v>
      </c>
      <c r="Y94" s="3"/>
      <c r="Z94" s="8">
        <f t="shared" si="23"/>
        <v>7.3382868592419435</v>
      </c>
    </row>
    <row r="95" spans="1:26" s="68" customFormat="1" ht="15" customHeight="1" outlineLevel="1" collapsed="1" x14ac:dyDescent="0.25">
      <c r="A95" s="26"/>
      <c r="B95" s="14" t="str">
        <f>CONCATENATE("     ","Utilities                                         ")</f>
        <v xml:space="preserve">     Utilities                                         </v>
      </c>
      <c r="C95" s="14"/>
      <c r="D95" s="2">
        <f>SUM(OSRRefD22_22x_0)</f>
        <v>29699</v>
      </c>
      <c r="E95" s="2"/>
      <c r="F95" s="6">
        <f t="shared" si="16"/>
        <v>0</v>
      </c>
      <c r="G95" s="2"/>
      <c r="H95" s="2">
        <f>SUM(OSRRefH22_22x_0)</f>
        <v>6133</v>
      </c>
      <c r="I95" s="2"/>
      <c r="J95" s="6">
        <f t="shared" si="17"/>
        <v>0</v>
      </c>
      <c r="K95" s="2"/>
      <c r="L95" s="2">
        <f t="shared" si="18"/>
        <v>23566</v>
      </c>
      <c r="M95" s="2"/>
      <c r="N95" s="6">
        <f t="shared" si="19"/>
        <v>3.8424914397521603</v>
      </c>
      <c r="O95" s="14"/>
      <c r="P95" s="2">
        <f>SUM(OSRRefP22_22x_0)</f>
        <v>83699</v>
      </c>
      <c r="Q95" s="2"/>
      <c r="R95" s="6">
        <f t="shared" si="20"/>
        <v>0</v>
      </c>
      <c r="S95" s="2"/>
      <c r="T95" s="2">
        <f>SUM(OSRRefT22_22x_0)</f>
        <v>64533</v>
      </c>
      <c r="U95" s="2"/>
      <c r="V95" s="6">
        <f t="shared" si="21"/>
        <v>0</v>
      </c>
      <c r="W95" s="2"/>
      <c r="X95" s="2">
        <f t="shared" si="22"/>
        <v>19166</v>
      </c>
      <c r="Y95" s="2"/>
      <c r="Z95" s="6">
        <f t="shared" si="23"/>
        <v>0.29699533571970932</v>
      </c>
    </row>
    <row r="96" spans="1:26" s="69" customFormat="1" ht="15" hidden="1" customHeight="1" outlineLevel="2" x14ac:dyDescent="0.25">
      <c r="A96" s="25"/>
      <c r="B96" s="12" t="str">
        <f>CONCATENATE("          ","6274"," - ","UTILITIES")</f>
        <v xml:space="preserve">          6274 - UTILITIES</v>
      </c>
      <c r="C96" s="12"/>
      <c r="D96" s="7">
        <v>29699</v>
      </c>
      <c r="E96" s="3"/>
      <c r="F96" s="8">
        <f t="shared" si="16"/>
        <v>0</v>
      </c>
      <c r="G96" s="3"/>
      <c r="H96" s="7">
        <v>6133</v>
      </c>
      <c r="I96" s="3"/>
      <c r="J96" s="8">
        <f t="shared" si="17"/>
        <v>0</v>
      </c>
      <c r="K96" s="3"/>
      <c r="L96" s="7">
        <f t="shared" si="18"/>
        <v>23566</v>
      </c>
      <c r="M96" s="3"/>
      <c r="N96" s="8">
        <f t="shared" si="19"/>
        <v>3.8424914397521603</v>
      </c>
      <c r="O96" s="12"/>
      <c r="P96" s="7">
        <v>83699</v>
      </c>
      <c r="Q96" s="3"/>
      <c r="R96" s="8">
        <f t="shared" si="20"/>
        <v>0</v>
      </c>
      <c r="S96" s="3"/>
      <c r="T96" s="7">
        <v>64533</v>
      </c>
      <c r="U96" s="3"/>
      <c r="V96" s="8">
        <f t="shared" si="21"/>
        <v>0</v>
      </c>
      <c r="W96" s="3"/>
      <c r="X96" s="7">
        <f t="shared" si="22"/>
        <v>19166</v>
      </c>
      <c r="Y96" s="3"/>
      <c r="Z96" s="8">
        <f t="shared" si="23"/>
        <v>0.29699533571970932</v>
      </c>
    </row>
    <row r="97" spans="1:26" s="64" customFormat="1" ht="15" customHeight="1" x14ac:dyDescent="0.25">
      <c r="A97" s="36"/>
      <c r="B97" s="36"/>
      <c r="C97" s="36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36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62" customFormat="1" ht="15" customHeight="1" collapsed="1" x14ac:dyDescent="0.25">
      <c r="A98" s="11"/>
      <c r="B98" s="28" t="s">
        <v>290</v>
      </c>
      <c r="C98" s="11"/>
      <c r="D98" s="5">
        <f>SUM(OSRRefD25x_0)</f>
        <v>52934</v>
      </c>
      <c r="E98" s="5"/>
      <c r="F98" s="13">
        <f>IF(D$12=0,0,D98/D$12)</f>
        <v>0</v>
      </c>
      <c r="G98" s="5"/>
      <c r="H98" s="5">
        <f>SUM(OSRRefH25x_0)</f>
        <v>48445.65</v>
      </c>
      <c r="I98" s="5"/>
      <c r="J98" s="13">
        <f>IF(H$12=0,0,H98/H$12)</f>
        <v>0</v>
      </c>
      <c r="K98" s="5"/>
      <c r="L98" s="5">
        <f>+D98-H98</f>
        <v>4488.3499999999985</v>
      </c>
      <c r="M98" s="5"/>
      <c r="N98" s="13">
        <f>IF(H98=0,0,L98/H98)</f>
        <v>9.264712105214809E-2</v>
      </c>
      <c r="O98" s="11"/>
      <c r="P98" s="5">
        <f>SUM(OSRRefP25x_0)</f>
        <v>275854.26</v>
      </c>
      <c r="Q98" s="5"/>
      <c r="R98" s="13">
        <f>IF(P$12=0,0,P98/P$12)</f>
        <v>0</v>
      </c>
      <c r="S98" s="5"/>
      <c r="T98" s="5">
        <f>SUM(OSRRefT25x_0)</f>
        <v>231485.97</v>
      </c>
      <c r="U98" s="5"/>
      <c r="V98" s="13">
        <f>IF(T$12=0,0,T98/T$12)</f>
        <v>0</v>
      </c>
      <c r="W98" s="5"/>
      <c r="X98" s="5">
        <f>+P98-T98</f>
        <v>44368.290000000008</v>
      </c>
      <c r="Y98" s="5"/>
      <c r="Z98" s="13">
        <f>IF(T98=0,0,X98/T98)</f>
        <v>0.19166729629445797</v>
      </c>
    </row>
    <row r="99" spans="1:26" s="69" customFormat="1" ht="15" hidden="1" customHeight="1" outlineLevel="1" x14ac:dyDescent="0.25">
      <c r="A99" s="42"/>
      <c r="B99" s="12" t="str">
        <f>CONCATENATE("          ","9150"," - ","MISC. INCOME")</f>
        <v xml:space="preserve">          9150 - MISC. INCOME</v>
      </c>
      <c r="C99" s="12"/>
      <c r="D99" s="3">
        <f>--52934</f>
        <v>52934</v>
      </c>
      <c r="E99" s="3"/>
      <c r="F99" s="20">
        <f>IF(D$12=0,0,D99/D$12)</f>
        <v>0</v>
      </c>
      <c r="G99" s="3"/>
      <c r="H99" s="3">
        <f>--48445.65</f>
        <v>48445.65</v>
      </c>
      <c r="I99" s="3"/>
      <c r="J99" s="20">
        <f>IF(H$12=0,0,H99/H$12)</f>
        <v>0</v>
      </c>
      <c r="K99" s="3"/>
      <c r="L99" s="3">
        <f>+D99-H99</f>
        <v>4488.3499999999985</v>
      </c>
      <c r="M99" s="3"/>
      <c r="N99" s="20">
        <f>IF(H99=0,0,L99/H99)</f>
        <v>9.264712105214809E-2</v>
      </c>
      <c r="O99" s="12"/>
      <c r="P99" s="3">
        <f>--275854.26</f>
        <v>275854.26</v>
      </c>
      <c r="Q99" s="3"/>
      <c r="R99" s="20">
        <f>IF(P$12=0,0,P99/P$12)</f>
        <v>0</v>
      </c>
      <c r="S99" s="3"/>
      <c r="T99" s="3">
        <f>--231485.97</f>
        <v>231485.97</v>
      </c>
      <c r="U99" s="3"/>
      <c r="V99" s="20">
        <f>IF(T$12=0,0,T99/T$12)</f>
        <v>0</v>
      </c>
      <c r="W99" s="3"/>
      <c r="X99" s="3">
        <f>+P99-T99</f>
        <v>44368.290000000008</v>
      </c>
      <c r="Y99" s="3"/>
      <c r="Z99" s="20">
        <f>IF(T99=0,0,X99/T99)</f>
        <v>0.19166729629445797</v>
      </c>
    </row>
    <row r="100" spans="1:26" ht="15" customHeight="1" x14ac:dyDescent="0.25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2" customFormat="1" ht="15" customHeight="1" x14ac:dyDescent="0.25">
      <c r="A101" s="11"/>
      <c r="B101" s="27" t="s">
        <v>291</v>
      </c>
      <c r="C101" s="27"/>
      <c r="D101" s="22">
        <f>+D18-D20+D98</f>
        <v>-91646.890000000043</v>
      </c>
      <c r="E101" s="15"/>
      <c r="F101" s="23">
        <f>IF(D$12=0,0,D101/D$12)</f>
        <v>0</v>
      </c>
      <c r="G101" s="15"/>
      <c r="H101" s="22">
        <f>+H18-H20+H98</f>
        <v>-58785.749999999978</v>
      </c>
      <c r="I101" s="15"/>
      <c r="J101" s="23">
        <f>IF(H$12=0,0,H101/H$12)</f>
        <v>0</v>
      </c>
      <c r="K101" s="16"/>
      <c r="L101" s="22">
        <f>+D101-H101</f>
        <v>-32861.140000000065</v>
      </c>
      <c r="M101" s="16"/>
      <c r="N101" s="23">
        <f>IF(H101=0,0,L101/H101)</f>
        <v>0.55899839672029494</v>
      </c>
      <c r="O101" s="28"/>
      <c r="P101" s="22">
        <f>+P18-P20+P98</f>
        <v>-1288250.1400000001</v>
      </c>
      <c r="Q101" s="15"/>
      <c r="R101" s="23">
        <f>IF(P$12=0,0,P101/P$12)</f>
        <v>0</v>
      </c>
      <c r="S101" s="15"/>
      <c r="T101" s="22">
        <f>+T18-T20+T98</f>
        <v>-1077384.2799999998</v>
      </c>
      <c r="U101" s="15"/>
      <c r="V101" s="23">
        <f>IF(T$12=0,0,T101/T$12)</f>
        <v>0</v>
      </c>
      <c r="W101" s="16"/>
      <c r="X101" s="22">
        <f>+P101-T101</f>
        <v>-210865.86000000034</v>
      </c>
      <c r="Y101" s="16"/>
      <c r="Z101" s="23">
        <f>IF(T101=0,0,X101/T101)</f>
        <v>0.19572019372697769</v>
      </c>
    </row>
    <row r="102" spans="1:26" ht="15" customHeight="1" x14ac:dyDescent="0.25">
      <c r="A102" s="10"/>
      <c r="B102" s="11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25">
      <c r="A103" s="48"/>
      <c r="B103" s="11" t="s">
        <v>292</v>
      </c>
      <c r="C103" s="11"/>
      <c r="D103" s="5"/>
      <c r="E103" s="5"/>
      <c r="F103" s="13">
        <f>IF(D$12=0,0,D103/D$12)</f>
        <v>0</v>
      </c>
      <c r="G103" s="5"/>
      <c r="H103" s="5"/>
      <c r="I103" s="5"/>
      <c r="J103" s="13">
        <f>IF(H$12=0,0,H103/H$12)</f>
        <v>0</v>
      </c>
      <c r="K103" s="5"/>
      <c r="L103" s="5">
        <f>+D103-H103</f>
        <v>0</v>
      </c>
      <c r="M103" s="5"/>
      <c r="N103" s="13">
        <f>IF(H103=0,0,L103/H103)</f>
        <v>0</v>
      </c>
      <c r="O103" s="11"/>
      <c r="P103" s="5"/>
      <c r="Q103" s="5"/>
      <c r="R103" s="13">
        <f>IF(P$12=0,0,P103/P$12)</f>
        <v>0</v>
      </c>
      <c r="S103" s="5"/>
      <c r="T103" s="5"/>
      <c r="U103" s="5"/>
      <c r="V103" s="13">
        <f>IF(T$12=0,0,T103/T$12)</f>
        <v>0</v>
      </c>
      <c r="W103" s="5"/>
      <c r="X103" s="5">
        <f>+P103-T103</f>
        <v>0</v>
      </c>
      <c r="Y103" s="5"/>
      <c r="Z103" s="13">
        <f>IF(T103=0,0,X103/T103)</f>
        <v>0</v>
      </c>
    </row>
    <row r="104" spans="1:26" ht="15" customHeight="1" x14ac:dyDescent="0.25">
      <c r="A104" s="10"/>
      <c r="B104" s="11"/>
      <c r="C104" s="11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O104" s="11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2" customFormat="1" ht="15" customHeight="1" x14ac:dyDescent="0.25">
      <c r="A105" s="11"/>
      <c r="B105" s="27" t="s">
        <v>293</v>
      </c>
      <c r="C105" s="27"/>
      <c r="D105" s="35">
        <f>+D101-D103</f>
        <v>-91646.890000000043</v>
      </c>
      <c r="E105" s="15"/>
      <c r="F105" s="30">
        <f>IF(D$12=0,0,D105/D$12)</f>
        <v>0</v>
      </c>
      <c r="G105" s="15"/>
      <c r="H105" s="35">
        <f>+H101-H103</f>
        <v>-58785.749999999978</v>
      </c>
      <c r="I105" s="15"/>
      <c r="J105" s="30">
        <f>IF(H$12=0,0,H105/H$12)</f>
        <v>0</v>
      </c>
      <c r="K105" s="16"/>
      <c r="L105" s="35">
        <f>D105-H105</f>
        <v>-32861.140000000065</v>
      </c>
      <c r="M105" s="16"/>
      <c r="N105" s="30">
        <f>IF(H105=0,0,L105/H105)</f>
        <v>0.55899839672029494</v>
      </c>
      <c r="O105" s="28"/>
      <c r="P105" s="35">
        <f>+P101-P103</f>
        <v>-1288250.1400000001</v>
      </c>
      <c r="Q105" s="15"/>
      <c r="R105" s="30">
        <f>IF(P$12=0,0,P105/P$12)</f>
        <v>0</v>
      </c>
      <c r="S105" s="15"/>
      <c r="T105" s="35">
        <f>+T101-T103</f>
        <v>-1077384.2799999998</v>
      </c>
      <c r="U105" s="15"/>
      <c r="V105" s="30">
        <f>IF(T$12=0,0,T105/T$12)</f>
        <v>0</v>
      </c>
      <c r="W105" s="16"/>
      <c r="X105" s="35">
        <f>P105-T105</f>
        <v>-210865.86000000034</v>
      </c>
      <c r="Y105" s="16"/>
      <c r="Z105" s="30">
        <f>IF(T105=0,0,X105/T105)</f>
        <v>0.19572019372697769</v>
      </c>
    </row>
    <row r="106" spans="1:26" ht="15" customHeight="1" x14ac:dyDescent="0.25">
      <c r="A106" s="10"/>
      <c r="B106" s="10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ht="15" customHeight="1" x14ac:dyDescent="0.25">
      <c r="A107" s="10"/>
      <c r="B107" s="10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s="62" customFormat="1" ht="15" customHeight="1" x14ac:dyDescent="0.25">
      <c r="A108" s="11"/>
      <c r="B108" s="27" t="s">
        <v>296</v>
      </c>
      <c r="C108" s="27"/>
      <c r="D108" s="32">
        <f>SUM(D105:D107)</f>
        <v>-91646.890000000043</v>
      </c>
      <c r="E108" s="15"/>
      <c r="F108" s="34">
        <f>IF(D$12=0,0,D108/D$12)</f>
        <v>0</v>
      </c>
      <c r="G108" s="15"/>
      <c r="H108" s="32">
        <f>SUM(H105:H107)</f>
        <v>-58785.749999999978</v>
      </c>
      <c r="I108" s="15"/>
      <c r="J108" s="34">
        <f>IF(H$12=0,0,H108/H$12)</f>
        <v>0</v>
      </c>
      <c r="K108" s="16"/>
      <c r="L108" s="32">
        <f>+D108-H108</f>
        <v>-32861.140000000065</v>
      </c>
      <c r="M108" s="16"/>
      <c r="N108" s="34">
        <f>IF(H108=0,0,L108/H108)</f>
        <v>0.55899839672029494</v>
      </c>
      <c r="O108" s="28"/>
      <c r="P108" s="32">
        <f>SUM(P105:P107)</f>
        <v>-1288250.1400000001</v>
      </c>
      <c r="Q108" s="15"/>
      <c r="R108" s="34">
        <f>IF(P$12=0,0,P108/P$12)</f>
        <v>0</v>
      </c>
      <c r="S108" s="15"/>
      <c r="T108" s="32">
        <f>SUM(T105:T107)</f>
        <v>-1077384.2799999998</v>
      </c>
      <c r="U108" s="15"/>
      <c r="V108" s="34">
        <f>IF(T$12=0,0,T108/T$12)</f>
        <v>0</v>
      </c>
      <c r="W108" s="16"/>
      <c r="X108" s="32">
        <f>+P108-T108</f>
        <v>-210865.86000000034</v>
      </c>
      <c r="Y108" s="16"/>
      <c r="Z108" s="34">
        <f>IF(T108=0,0,X108/T108)</f>
        <v>0.19572019372697769</v>
      </c>
    </row>
    <row r="109" spans="1:26" ht="15" customHeight="1" x14ac:dyDescent="0.25">
      <c r="A109" s="10"/>
      <c r="C109" s="10"/>
      <c r="D109" s="18"/>
      <c r="E109" s="18"/>
      <c r="G109" s="18"/>
      <c r="H109" s="18"/>
      <c r="I109" s="18"/>
      <c r="J109" s="41"/>
      <c r="K109" s="18"/>
      <c r="L109" s="18"/>
      <c r="M109" s="18"/>
      <c r="P109" s="18"/>
      <c r="Q109" s="18"/>
      <c r="R109" s="41"/>
      <c r="S109" s="18"/>
      <c r="T109" s="18"/>
      <c r="U109" s="18"/>
      <c r="V109" s="41"/>
      <c r="W109" s="18"/>
      <c r="X109" s="18"/>
    </row>
    <row r="110" spans="1:26" ht="15" customHeight="1" x14ac:dyDescent="0.25">
      <c r="A110" s="10"/>
      <c r="B110" s="50">
        <v>44727.879654085649</v>
      </c>
      <c r="D110" s="18"/>
      <c r="E110" s="18"/>
      <c r="G110" s="18"/>
      <c r="H110" s="18"/>
      <c r="I110" s="18"/>
      <c r="J110" s="41"/>
      <c r="K110" s="18"/>
      <c r="L110" s="18"/>
      <c r="M110" s="18"/>
      <c r="P110" s="18"/>
      <c r="Q110" s="18"/>
      <c r="R110" s="41"/>
      <c r="S110" s="18"/>
      <c r="T110" s="18"/>
      <c r="U110" s="18"/>
      <c r="V110" s="41"/>
      <c r="W110" s="18"/>
      <c r="X110" s="18"/>
    </row>
    <row r="111" spans="1:26" ht="15" customHeight="1" x14ac:dyDescent="0.25">
      <c r="A111" s="10"/>
      <c r="B111" s="53" t="s">
        <v>297</v>
      </c>
      <c r="D111" s="18"/>
      <c r="E111" s="18"/>
      <c r="G111" s="18"/>
      <c r="H111" s="18"/>
      <c r="I111" s="18"/>
      <c r="J111" s="41"/>
      <c r="K111" s="18"/>
      <c r="L111" s="18"/>
      <c r="M111" s="18"/>
      <c r="P111" s="18"/>
      <c r="Q111" s="18"/>
      <c r="R111" s="41"/>
      <c r="S111" s="18"/>
      <c r="T111" s="18"/>
      <c r="U111" s="18"/>
      <c r="V111" s="41"/>
      <c r="W111" s="18"/>
      <c r="X111" s="18"/>
    </row>
    <row r="112" spans="1:26" ht="15" customHeight="1" x14ac:dyDescent="0.25">
      <c r="A112" s="10"/>
      <c r="B112" s="55"/>
      <c r="D112" s="18"/>
      <c r="E112" s="18"/>
      <c r="G112" s="18"/>
      <c r="H112" s="18"/>
      <c r="I112" s="18"/>
      <c r="J112" s="41"/>
      <c r="K112" s="18"/>
      <c r="L112" s="18"/>
      <c r="M112" s="18"/>
      <c r="P112" s="18"/>
      <c r="Q112" s="18"/>
      <c r="R112" s="41"/>
      <c r="S112" s="18"/>
      <c r="T112" s="18"/>
      <c r="U112" s="18"/>
      <c r="V112" s="41"/>
      <c r="W112" s="18"/>
      <c r="X112" s="18"/>
    </row>
    <row r="113" spans="4:24" ht="15" customHeight="1" x14ac:dyDescent="0.25">
      <c r="D113" s="18"/>
      <c r="E113" s="18"/>
      <c r="G113" s="18"/>
      <c r="H113" s="18"/>
      <c r="I113" s="18"/>
      <c r="J113" s="41"/>
      <c r="K113" s="18"/>
      <c r="L113" s="18"/>
      <c r="M113" s="18"/>
      <c r="P113" s="18"/>
      <c r="Q113" s="18"/>
      <c r="R113" s="41"/>
      <c r="S113" s="18"/>
      <c r="T113" s="18"/>
      <c r="U113" s="18"/>
      <c r="V113" s="41"/>
      <c r="W113" s="18"/>
      <c r="X113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45DE-20F6-1B7F-EE86-02BDEB39CA32}">
  <sheetPr>
    <tabColor rgb="FFFFFF00"/>
    <outlinePr summaryBelow="0" summaryRight="0"/>
  </sheetPr>
  <dimension ref="A2:Z13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AD94" sqref="AD94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305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33143.360000000001</v>
      </c>
      <c r="E12" s="5"/>
      <c r="F12" s="13"/>
      <c r="G12" s="5"/>
      <c r="H12" s="5">
        <f>SUM(OSRRefH13x_0)</f>
        <v>63693.889999999985</v>
      </c>
      <c r="I12" s="5"/>
      <c r="J12" s="13"/>
      <c r="K12" s="5"/>
      <c r="L12" s="5">
        <f t="shared" ref="L12:L38" si="0">+D12-H12</f>
        <v>-30550.529999999984</v>
      </c>
      <c r="M12" s="5"/>
      <c r="N12" s="13">
        <f t="shared" ref="N12:N38" si="1">IF(H12=0,0,L12/H12)</f>
        <v>-0.47964616386281306</v>
      </c>
      <c r="O12" s="11"/>
      <c r="P12" s="5">
        <f>SUM(OSRRefP13x_0)</f>
        <v>2235363.75</v>
      </c>
      <c r="Q12" s="5"/>
      <c r="R12" s="13"/>
      <c r="S12" s="5"/>
      <c r="T12" s="5">
        <f>SUM(OSRRefT13x_0)</f>
        <v>2743330.4099999997</v>
      </c>
      <c r="U12" s="5"/>
      <c r="V12" s="13"/>
      <c r="W12" s="5"/>
      <c r="X12" s="5">
        <f t="shared" ref="X12:X38" si="2">+P12-T12</f>
        <v>-507966.65999999968</v>
      </c>
      <c r="Y12" s="5"/>
      <c r="Z12" s="13">
        <f t="shared" ref="Z12:Z38" si="3">IF(T12=0,0,X12/T12)</f>
        <v>-0.18516422890525963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--30486.09</f>
        <v>30486.09</v>
      </c>
      <c r="E13" s="3"/>
      <c r="F13" s="20"/>
      <c r="G13" s="3"/>
      <c r="H13" s="3">
        <f>-701.64</f>
        <v>-701.64</v>
      </c>
      <c r="I13" s="3"/>
      <c r="J13" s="20"/>
      <c r="K13" s="3"/>
      <c r="L13" s="3">
        <f t="shared" si="0"/>
        <v>31187.73</v>
      </c>
      <c r="M13" s="3"/>
      <c r="N13" s="20">
        <f t="shared" si="1"/>
        <v>-44.449760560971441</v>
      </c>
      <c r="O13" s="12"/>
      <c r="P13" s="3">
        <f>--1696017.46</f>
        <v>1696017.46</v>
      </c>
      <c r="Q13" s="3"/>
      <c r="R13" s="20"/>
      <c r="S13" s="3"/>
      <c r="T13" s="3">
        <f>-9280.36</f>
        <v>-9280.36</v>
      </c>
      <c r="U13" s="3"/>
      <c r="V13" s="20"/>
      <c r="W13" s="3"/>
      <c r="X13" s="3">
        <f t="shared" si="2"/>
        <v>1705297.82</v>
      </c>
      <c r="Y13" s="3"/>
      <c r="Z13" s="20">
        <f t="shared" si="3"/>
        <v>-183.75341258313256</v>
      </c>
    </row>
    <row r="14" spans="1:26" s="69" customFormat="1" ht="15" hidden="1" customHeight="1" outlineLevel="1" x14ac:dyDescent="0.25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--35278.2</f>
        <v>35278.199999999997</v>
      </c>
      <c r="I14" s="3"/>
      <c r="J14" s="20"/>
      <c r="K14" s="3"/>
      <c r="L14" s="3">
        <f t="shared" si="0"/>
        <v>-35278.199999999997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--1299088.56</f>
        <v>1299088.56</v>
      </c>
      <c r="U14" s="3"/>
      <c r="V14" s="20"/>
      <c r="W14" s="3"/>
      <c r="X14" s="3">
        <f t="shared" si="2"/>
        <v>-1299088.56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--11501.84</f>
        <v>11501.84</v>
      </c>
      <c r="I15" s="3"/>
      <c r="J15" s="20"/>
      <c r="K15" s="3"/>
      <c r="L15" s="3">
        <f t="shared" si="0"/>
        <v>-11501.84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--590270.47</f>
        <v>590270.47</v>
      </c>
      <c r="U15" s="3"/>
      <c r="V15" s="20"/>
      <c r="W15" s="3"/>
      <c r="X15" s="3">
        <f t="shared" si="2"/>
        <v>-590270.47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--494.96</f>
        <v>494.96</v>
      </c>
      <c r="I16" s="3"/>
      <c r="J16" s="20"/>
      <c r="K16" s="3"/>
      <c r="L16" s="3">
        <f t="shared" si="0"/>
        <v>-494.96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--18492.84</f>
        <v>18492.84</v>
      </c>
      <c r="U16" s="3"/>
      <c r="V16" s="20"/>
      <c r="W16" s="3"/>
      <c r="X16" s="3">
        <f t="shared" si="2"/>
        <v>-18492.84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--61.96</f>
        <v>61.96</v>
      </c>
      <c r="I18" s="3"/>
      <c r="J18" s="20"/>
      <c r="K18" s="3"/>
      <c r="L18" s="3">
        <f t="shared" si="0"/>
        <v>-61.96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--1325.79</f>
        <v>1325.79</v>
      </c>
      <c r="U18" s="3"/>
      <c r="V18" s="20"/>
      <c r="W18" s="3"/>
      <c r="X18" s="3">
        <f t="shared" si="2"/>
        <v>-1325.79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--31.17</f>
        <v>31.17</v>
      </c>
      <c r="I19" s="3"/>
      <c r="J19" s="20"/>
      <c r="K19" s="3"/>
      <c r="L19" s="3">
        <f t="shared" si="0"/>
        <v>-31.17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--515.72</f>
        <v>515.72</v>
      </c>
      <c r="U19" s="3"/>
      <c r="V19" s="20"/>
      <c r="W19" s="3"/>
      <c r="X19" s="3">
        <f t="shared" si="2"/>
        <v>-515.72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--35.38</f>
        <v>35.380000000000003</v>
      </c>
      <c r="I20" s="3"/>
      <c r="J20" s="20"/>
      <c r="K20" s="3"/>
      <c r="L20" s="3">
        <f t="shared" si="0"/>
        <v>-35.380000000000003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--508.48</f>
        <v>508.48</v>
      </c>
      <c r="U20" s="3"/>
      <c r="V20" s="20"/>
      <c r="W20" s="3"/>
      <c r="X20" s="3">
        <f t="shared" si="2"/>
        <v>-508.48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","4100"," - ","NON-TAXABLE SALES")</f>
        <v xml:space="preserve">          4100 - NON-TAXABLE SALES</v>
      </c>
      <c r="C21" s="12"/>
      <c r="D21" s="3">
        <f>--9182.57</f>
        <v>9182.57</v>
      </c>
      <c r="E21" s="3"/>
      <c r="F21" s="20"/>
      <c r="G21" s="3"/>
      <c r="H21" s="3">
        <f>--3546.21</f>
        <v>3546.21</v>
      </c>
      <c r="I21" s="3"/>
      <c r="J21" s="20"/>
      <c r="K21" s="3"/>
      <c r="L21" s="3">
        <f t="shared" si="0"/>
        <v>5636.36</v>
      </c>
      <c r="M21" s="3"/>
      <c r="N21" s="20">
        <f t="shared" si="1"/>
        <v>1.589403898810279</v>
      </c>
      <c r="O21" s="12"/>
      <c r="P21" s="3">
        <f>--644186.73</f>
        <v>644186.73</v>
      </c>
      <c r="Q21" s="3"/>
      <c r="R21" s="20"/>
      <c r="S21" s="3"/>
      <c r="T21" s="3">
        <f>--277384.98</f>
        <v>277384.98</v>
      </c>
      <c r="U21" s="3"/>
      <c r="V21" s="20"/>
      <c r="W21" s="3"/>
      <c r="X21" s="3">
        <f t="shared" si="2"/>
        <v>366801.75</v>
      </c>
      <c r="Y21" s="3"/>
      <c r="Z21" s="20">
        <f t="shared" si="3"/>
        <v>1.322356206886184</v>
      </c>
    </row>
    <row r="22" spans="1:26" s="69" customFormat="1" ht="15" hidden="1" customHeight="1" outlineLevel="1" x14ac:dyDescent="0.25">
      <c r="A22" s="42"/>
      <c r="B22" s="12" t="str">
        <f>CONCATENATE("          ","4101"," - ","NON-TAXABLE SALES-NEW TEXT")</f>
        <v xml:space="preserve">          4101 - NON-TAXABLE SALES-NEW TEXT</v>
      </c>
      <c r="C22" s="12"/>
      <c r="D22" s="3">
        <f>0</f>
        <v>0</v>
      </c>
      <c r="E22" s="3"/>
      <c r="F22" s="20"/>
      <c r="G22" s="3"/>
      <c r="H22" s="3">
        <f>--6450.33</f>
        <v>6450.33</v>
      </c>
      <c r="I22" s="3"/>
      <c r="J22" s="20"/>
      <c r="K22" s="3"/>
      <c r="L22" s="3">
        <f t="shared" si="0"/>
        <v>-6450.33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--119247.07</f>
        <v>119247.07</v>
      </c>
      <c r="U22" s="3"/>
      <c r="V22" s="20"/>
      <c r="W22" s="3"/>
      <c r="X22" s="3">
        <f t="shared" si="2"/>
        <v>-119247.07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","4102"," - ","NON-TAXABLE SALES-USED TEXT")</f>
        <v xml:space="preserve">          4102 - NON-TAXABLE SALES-USED TEXT</v>
      </c>
      <c r="C23" s="12"/>
      <c r="D23" s="3">
        <f>0</f>
        <v>0</v>
      </c>
      <c r="E23" s="3"/>
      <c r="F23" s="20"/>
      <c r="G23" s="3"/>
      <c r="H23" s="3">
        <f>--2343.31</f>
        <v>2343.31</v>
      </c>
      <c r="I23" s="3"/>
      <c r="J23" s="20"/>
      <c r="K23" s="3"/>
      <c r="L23" s="3">
        <f t="shared" si="0"/>
        <v>-2343.31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--51046.73</f>
        <v>51046.73</v>
      </c>
      <c r="U23" s="3"/>
      <c r="V23" s="20"/>
      <c r="W23" s="3"/>
      <c r="X23" s="3">
        <f t="shared" si="2"/>
        <v>-51046.73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","4103"," - ","NON-TAXABLE SALES-RENTAL TEXT")</f>
        <v xml:space="preserve">          4103 - NON-TAXABLE SALES-RENTAL TEXT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--1138.95</f>
        <v>1138.95</v>
      </c>
      <c r="U24" s="3"/>
      <c r="V24" s="20"/>
      <c r="W24" s="3"/>
      <c r="X24" s="3">
        <f t="shared" si="2"/>
        <v>-1138.95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","4104"," - ","NON-TAXABLE SALES-DIGITAL TEXT")</f>
        <v xml:space="preserve">          4104 - NON-TAXABLE SALES-DIGITAL TEXT</v>
      </c>
      <c r="C25" s="12"/>
      <c r="D25" s="3">
        <f>0</f>
        <v>0</v>
      </c>
      <c r="E25" s="3"/>
      <c r="F25" s="20"/>
      <c r="G25" s="3"/>
      <c r="H25" s="3">
        <f>--10484.56</f>
        <v>10484.56</v>
      </c>
      <c r="I25" s="3"/>
      <c r="J25" s="20"/>
      <c r="K25" s="3"/>
      <c r="L25" s="3">
        <f t="shared" si="0"/>
        <v>-10484.56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--490887.73</f>
        <v>490887.73</v>
      </c>
      <c r="U25" s="3"/>
      <c r="V25" s="20"/>
      <c r="W25" s="3"/>
      <c r="X25" s="3">
        <f t="shared" si="2"/>
        <v>-490887.73</v>
      </c>
      <c r="Y25" s="3"/>
      <c r="Z25" s="20">
        <f t="shared" si="3"/>
        <v>-1</v>
      </c>
    </row>
    <row r="26" spans="1:26" s="69" customFormat="1" ht="15" hidden="1" customHeight="1" outlineLevel="1" x14ac:dyDescent="0.25">
      <c r="A26" s="42"/>
      <c r="B26" s="12" t="str">
        <f>CONCATENATE("          ","4113"," - ","NON-TAXABLE SALES-TRADE BOOKS")</f>
        <v xml:space="preserve">          4113 - NON-TAXABLE SALES-TRADE BOOKS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--12127.25</f>
        <v>12127.25</v>
      </c>
      <c r="U26" s="3"/>
      <c r="V26" s="20"/>
      <c r="W26" s="3"/>
      <c r="X26" s="3">
        <f t="shared" si="2"/>
        <v>-12127.25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","4118"," - ","NON-TAXABLE SALES-STUDY GUIDES")</f>
        <v xml:space="preserve">          4118 - NON-TAXABLE SALES-STUDY GUIDES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--771.73</f>
        <v>771.73</v>
      </c>
      <c r="U27" s="3"/>
      <c r="V27" s="20"/>
      <c r="W27" s="3"/>
      <c r="X27" s="3">
        <f t="shared" si="2"/>
        <v>-771.73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","4200"," - ","TAXABLE RETURNS")</f>
        <v xml:space="preserve">          4200 - TAXABLE RETURNS</v>
      </c>
      <c r="C28" s="12"/>
      <c r="D28" s="3">
        <f>-6055.15</f>
        <v>-6055.15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-6055.15</v>
      </c>
      <c r="M28" s="3"/>
      <c r="N28" s="20">
        <f t="shared" si="1"/>
        <v>0</v>
      </c>
      <c r="O28" s="12"/>
      <c r="P28" s="3">
        <f>-58807.02</f>
        <v>-58807.02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-58807.02</v>
      </c>
      <c r="Y28" s="3"/>
      <c r="Z28" s="20">
        <f t="shared" si="3"/>
        <v>0</v>
      </c>
    </row>
    <row r="29" spans="1:26" s="69" customFormat="1" ht="15" hidden="1" customHeight="1" outlineLevel="1" x14ac:dyDescent="0.25">
      <c r="A29" s="42"/>
      <c r="B29" s="12" t="str">
        <f>CONCATENATE("          ","4201"," - ","SALES RETURN TAXABLE-NEW TEXT")</f>
        <v xml:space="preserve">          4201 - SALES RETURN TAXABLE-NEW TEXT</v>
      </c>
      <c r="C29" s="12"/>
      <c r="D29" s="3">
        <f>0</f>
        <v>0</v>
      </c>
      <c r="E29" s="3"/>
      <c r="F29" s="20"/>
      <c r="G29" s="3"/>
      <c r="H29" s="3">
        <f>-658.4</f>
        <v>-658.4</v>
      </c>
      <c r="I29" s="3"/>
      <c r="J29" s="20"/>
      <c r="K29" s="3"/>
      <c r="L29" s="3">
        <f t="shared" si="0"/>
        <v>658.4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-52296.42</f>
        <v>-52296.42</v>
      </c>
      <c r="U29" s="3"/>
      <c r="V29" s="20"/>
      <c r="W29" s="3"/>
      <c r="X29" s="3">
        <f t="shared" si="2"/>
        <v>52296.42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","4202"," - ","SALES RETURN TAXABLE-USED TEXT")</f>
        <v xml:space="preserve">          4202 - SALES RETURN TAXABLE-USED TEXT</v>
      </c>
      <c r="C30" s="12"/>
      <c r="D30" s="3">
        <f>0</f>
        <v>0</v>
      </c>
      <c r="E30" s="3"/>
      <c r="F30" s="20"/>
      <c r="G30" s="3"/>
      <c r="H30" s="3">
        <f>-359.4</f>
        <v>-359.4</v>
      </c>
      <c r="I30" s="3"/>
      <c r="J30" s="20"/>
      <c r="K30" s="3"/>
      <c r="L30" s="3">
        <f t="shared" si="0"/>
        <v>359.4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-20455.66</f>
        <v>-20455.66</v>
      </c>
      <c r="U30" s="3"/>
      <c r="V30" s="20"/>
      <c r="W30" s="3"/>
      <c r="X30" s="3">
        <f t="shared" si="2"/>
        <v>20455.66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","4204"," - ","SALES RETURN TAXABLE-DIGITAL T")</f>
        <v xml:space="preserve">          4204 - SALES RETURN TAXABLE-DIGITAL T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-1763.1</f>
        <v>-1763.1</v>
      </c>
      <c r="U31" s="3"/>
      <c r="V31" s="20"/>
      <c r="W31" s="3"/>
      <c r="X31" s="3">
        <f t="shared" si="2"/>
        <v>1763.1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","4213"," - ","NON-TAXABLE SALES-TRADE BOOKS")</f>
        <v xml:space="preserve">          4213 - NON-TAXABLE SALES-TRADE BOOKS</v>
      </c>
      <c r="C32" s="12"/>
      <c r="D32" s="3">
        <f>0</f>
        <v>0</v>
      </c>
      <c r="E32" s="3"/>
      <c r="F32" s="20"/>
      <c r="G32" s="3"/>
      <c r="H32" s="3">
        <f>-8.99</f>
        <v>-8.99</v>
      </c>
      <c r="I32" s="3"/>
      <c r="J32" s="20"/>
      <c r="K32" s="3"/>
      <c r="L32" s="3">
        <f t="shared" si="0"/>
        <v>8.99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-78.92</f>
        <v>-78.92</v>
      </c>
      <c r="U32" s="3"/>
      <c r="V32" s="20"/>
      <c r="W32" s="3"/>
      <c r="X32" s="3">
        <f t="shared" si="2"/>
        <v>78.92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","4218"," - ","SALES RETURN TAXABLE-STUDY GUI")</f>
        <v xml:space="preserve">          4218 - SALES RETURN TAXABLE-STUDY GUI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-5.21</f>
        <v>-5.21</v>
      </c>
      <c r="U33" s="3"/>
      <c r="V33" s="20"/>
      <c r="W33" s="3"/>
      <c r="X33" s="3">
        <f t="shared" si="2"/>
        <v>5.21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","4300"," - ","NON-TAX RETURNS")</f>
        <v xml:space="preserve">          4300 - NON-TAX RETURNS</v>
      </c>
      <c r="C34" s="12"/>
      <c r="D34" s="3">
        <f>-207.66</f>
        <v>-207.66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-207.66</v>
      </c>
      <c r="M34" s="3"/>
      <c r="N34" s="20">
        <f t="shared" si="1"/>
        <v>0</v>
      </c>
      <c r="O34" s="12"/>
      <c r="P34" s="3">
        <f>-38274.37</f>
        <v>-38274.370000000003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-38274.370000000003</v>
      </c>
      <c r="Y34" s="3"/>
      <c r="Z34" s="20">
        <f t="shared" si="3"/>
        <v>0</v>
      </c>
    </row>
    <row r="35" spans="1:26" s="69" customFormat="1" ht="15" hidden="1" customHeight="1" outlineLevel="1" x14ac:dyDescent="0.25">
      <c r="A35" s="42"/>
      <c r="B35" s="12" t="str">
        <f>CONCATENATE("          ","4301"," - ","SALES RETURN NON TAXABLE-NEW T")</f>
        <v xml:space="preserve">          4301 - SALES RETURN NON TAXABLE-NEW T</v>
      </c>
      <c r="C35" s="12"/>
      <c r="D35" s="3">
        <f>0</f>
        <v>0</v>
      </c>
      <c r="E35" s="3"/>
      <c r="F35" s="20"/>
      <c r="G35" s="3"/>
      <c r="H35" s="3">
        <f>-1333.16</f>
        <v>-1333.16</v>
      </c>
      <c r="I35" s="3"/>
      <c r="J35" s="20"/>
      <c r="K35" s="3"/>
      <c r="L35" s="3">
        <f t="shared" si="0"/>
        <v>1333.16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-4796.36</f>
        <v>-4796.3599999999997</v>
      </c>
      <c r="U35" s="3"/>
      <c r="V35" s="20"/>
      <c r="W35" s="3"/>
      <c r="X35" s="3">
        <f t="shared" si="2"/>
        <v>4796.3599999999997</v>
      </c>
      <c r="Y35" s="3"/>
      <c r="Z35" s="20">
        <f t="shared" si="3"/>
        <v>-1</v>
      </c>
    </row>
    <row r="36" spans="1:26" s="69" customFormat="1" ht="15" hidden="1" customHeight="1" outlineLevel="1" x14ac:dyDescent="0.25">
      <c r="A36" s="42"/>
      <c r="B36" s="12" t="str">
        <f>CONCATENATE("          ","4302"," - ","SALES RETURN NON TAXABLE-TEXT")</f>
        <v xml:space="preserve">          4302 - SALES RETURN NON TAXABLE-TEXT</v>
      </c>
      <c r="C36" s="12"/>
      <c r="D36" s="3">
        <f>0</f>
        <v>0</v>
      </c>
      <c r="E36" s="3"/>
      <c r="F36" s="20"/>
      <c r="G36" s="3"/>
      <c r="H36" s="3">
        <f>-134.22</f>
        <v>-134.22</v>
      </c>
      <c r="I36" s="3"/>
      <c r="J36" s="20"/>
      <c r="K36" s="3"/>
      <c r="L36" s="3">
        <f t="shared" si="0"/>
        <v>134.22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-2577.54</f>
        <v>-2577.54</v>
      </c>
      <c r="U36" s="3"/>
      <c r="V36" s="20"/>
      <c r="W36" s="3"/>
      <c r="X36" s="3">
        <f t="shared" si="2"/>
        <v>2577.54</v>
      </c>
      <c r="Y36" s="3"/>
      <c r="Z36" s="20">
        <f t="shared" si="3"/>
        <v>-1</v>
      </c>
    </row>
    <row r="37" spans="1:26" s="69" customFormat="1" ht="15" hidden="1" customHeight="1" outlineLevel="1" x14ac:dyDescent="0.25">
      <c r="A37" s="42"/>
      <c r="B37" s="12" t="str">
        <f>CONCATENATE("          ","4304"," - ","SALES RETURN NON TAXABLE-DIGIT")</f>
        <v xml:space="preserve">          4304 - SALES RETURN NON TAXABLE-DIGIT</v>
      </c>
      <c r="C37" s="12"/>
      <c r="D37" s="3">
        <f>0</f>
        <v>0</v>
      </c>
      <c r="E37" s="3"/>
      <c r="F37" s="20"/>
      <c r="G37" s="3"/>
      <c r="H37" s="3">
        <f>-3338.22</f>
        <v>-3338.22</v>
      </c>
      <c r="I37" s="3"/>
      <c r="J37" s="20"/>
      <c r="K37" s="3"/>
      <c r="L37" s="3">
        <f t="shared" si="0"/>
        <v>3338.22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-30881.98</f>
        <v>-30881.98</v>
      </c>
      <c r="U37" s="3"/>
      <c r="V37" s="20"/>
      <c r="W37" s="3"/>
      <c r="X37" s="3">
        <f t="shared" si="2"/>
        <v>30881.98</v>
      </c>
      <c r="Y37" s="3"/>
      <c r="Z37" s="20">
        <f t="shared" si="3"/>
        <v>-1</v>
      </c>
    </row>
    <row r="38" spans="1:26" s="69" customFormat="1" ht="15" hidden="1" customHeight="1" outlineLevel="1" x14ac:dyDescent="0.25">
      <c r="A38" s="42"/>
      <c r="B38" s="12" t="str">
        <f>CONCATENATE("          ","4500"," - ","SALES DISCOUNT")</f>
        <v xml:space="preserve">          4500 - SALES DISCOUNT</v>
      </c>
      <c r="C38" s="12"/>
      <c r="D38" s="3">
        <f>-262.49</f>
        <v>-262.49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-262.49</v>
      </c>
      <c r="M38" s="3"/>
      <c r="N38" s="20">
        <f t="shared" si="1"/>
        <v>0</v>
      </c>
      <c r="O38" s="12"/>
      <c r="P38" s="3">
        <f>-7759.05</f>
        <v>-7759.05</v>
      </c>
      <c r="Q38" s="3"/>
      <c r="R38" s="20"/>
      <c r="S38" s="3"/>
      <c r="T38" s="3">
        <f>0</f>
        <v>0</v>
      </c>
      <c r="U38" s="3"/>
      <c r="V38" s="20"/>
      <c r="W38" s="3"/>
      <c r="X38" s="3">
        <f t="shared" si="2"/>
        <v>-7759.05</v>
      </c>
      <c r="Y38" s="3"/>
      <c r="Z38" s="20">
        <f t="shared" si="3"/>
        <v>0</v>
      </c>
    </row>
    <row r="39" spans="1:26" ht="15" customHeight="1" x14ac:dyDescent="0.25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collapsed="1" x14ac:dyDescent="0.25">
      <c r="A40" s="11"/>
      <c r="B40" s="28" t="s">
        <v>287</v>
      </c>
      <c r="C40" s="11"/>
      <c r="D40" s="5">
        <f>SUM(OSRRefD16x_0)</f>
        <v>24508.920000000006</v>
      </c>
      <c r="E40" s="5"/>
      <c r="F40" s="13">
        <f t="shared" ref="F40:F57" si="4">IF(D$12=0,0,D40/D$12)</f>
        <v>0.73948205613432083</v>
      </c>
      <c r="G40" s="5"/>
      <c r="H40" s="5">
        <f>SUM(OSRRefH16x_0)</f>
        <v>52944.540000000008</v>
      </c>
      <c r="I40" s="5"/>
      <c r="J40" s="13">
        <f t="shared" ref="J40:J57" si="5">IF(H$12=0,0,H40/H$12)</f>
        <v>0.83123420472513176</v>
      </c>
      <c r="K40" s="5"/>
      <c r="L40" s="5">
        <f t="shared" ref="L40:L57" si="6">+D40-H40</f>
        <v>-28435.620000000003</v>
      </c>
      <c r="M40" s="5"/>
      <c r="N40" s="13">
        <f t="shared" ref="N40:N57" si="7">IF(H40=0,0,L40/H40)</f>
        <v>-0.53708314398425216</v>
      </c>
      <c r="O40" s="11"/>
      <c r="P40" s="5">
        <f>SUM(OSRRefP16x_0)</f>
        <v>1705292.12</v>
      </c>
      <c r="Q40" s="5"/>
      <c r="R40" s="13">
        <f t="shared" ref="R40:R57" si="8">IF(P$12=0,0,P40/P$12)</f>
        <v>0.7628700787511653</v>
      </c>
      <c r="S40" s="5"/>
      <c r="T40" s="5">
        <f>SUM(OSRRefT16x_0)</f>
        <v>1957463.76</v>
      </c>
      <c r="U40" s="5"/>
      <c r="V40" s="13">
        <f t="shared" ref="V40:V57" si="9">IF(T$12=0,0,T40/T$12)</f>
        <v>0.71353554528635876</v>
      </c>
      <c r="W40" s="5"/>
      <c r="X40" s="5">
        <f t="shared" ref="X40:X57" si="10">+P40-T40</f>
        <v>-252171.6399999999</v>
      </c>
      <c r="Y40" s="5"/>
      <c r="Z40" s="13">
        <f t="shared" ref="Z40:Z57" si="11">IF(T40=0,0,X40/T40)</f>
        <v>-0.12882570045639052</v>
      </c>
    </row>
    <row r="41" spans="1:26" s="69" customFormat="1" ht="15" hidden="1" customHeight="1" outlineLevel="1" x14ac:dyDescent="0.25">
      <c r="A41" s="42"/>
      <c r="B41" s="12" t="str">
        <f>CONCATENATE("          ","5000"," - ","PURCHASES @ COST")</f>
        <v xml:space="preserve">          5000 - PURCHASES @ COST</v>
      </c>
      <c r="C41" s="12"/>
      <c r="D41" s="3">
        <v>88650</v>
      </c>
      <c r="E41" s="3"/>
      <c r="F41" s="20">
        <f t="shared" si="4"/>
        <v>2.6747439004373725</v>
      </c>
      <c r="G41" s="3"/>
      <c r="H41" s="3"/>
      <c r="I41" s="3"/>
      <c r="J41" s="20">
        <f t="shared" si="5"/>
        <v>0</v>
      </c>
      <c r="K41" s="3"/>
      <c r="L41" s="3">
        <f t="shared" si="6"/>
        <v>88650</v>
      </c>
      <c r="M41" s="3"/>
      <c r="N41" s="20">
        <f t="shared" si="7"/>
        <v>0</v>
      </c>
      <c r="O41" s="12"/>
      <c r="P41" s="3">
        <v>1512963.55</v>
      </c>
      <c r="Q41" s="3"/>
      <c r="R41" s="20">
        <f t="shared" si="8"/>
        <v>0.67683103029652336</v>
      </c>
      <c r="S41" s="3"/>
      <c r="T41" s="3">
        <v>0</v>
      </c>
      <c r="U41" s="3"/>
      <c r="V41" s="20">
        <f t="shared" si="9"/>
        <v>0</v>
      </c>
      <c r="W41" s="3"/>
      <c r="X41" s="3">
        <f t="shared" si="10"/>
        <v>1512963.55</v>
      </c>
      <c r="Y41" s="3"/>
      <c r="Z41" s="20">
        <f t="shared" si="11"/>
        <v>0</v>
      </c>
    </row>
    <row r="42" spans="1:26" s="69" customFormat="1" ht="15" hidden="1" customHeight="1" outlineLevel="1" x14ac:dyDescent="0.25">
      <c r="A42" s="42"/>
      <c r="B42" s="12" t="str">
        <f>CONCATENATE("          ","5001"," - ","PURCHASES @ COST-NEW TEXT")</f>
        <v xml:space="preserve">          5001 - PURCHASES @ COST-NEW TEXT</v>
      </c>
      <c r="C42" s="12"/>
      <c r="D42" s="3"/>
      <c r="E42" s="3"/>
      <c r="F42" s="20">
        <f t="shared" si="4"/>
        <v>0</v>
      </c>
      <c r="G42" s="3"/>
      <c r="H42" s="3">
        <v>65020.01</v>
      </c>
      <c r="I42" s="3"/>
      <c r="J42" s="20">
        <f t="shared" si="5"/>
        <v>1.0208202074013695</v>
      </c>
      <c r="K42" s="3"/>
      <c r="L42" s="3">
        <f t="shared" si="6"/>
        <v>-65020.01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1071566.48</v>
      </c>
      <c r="U42" s="3"/>
      <c r="V42" s="20">
        <f t="shared" si="9"/>
        <v>0.39060788160766974</v>
      </c>
      <c r="W42" s="3"/>
      <c r="X42" s="3">
        <f t="shared" si="10"/>
        <v>-1071566.48</v>
      </c>
      <c r="Y42" s="3"/>
      <c r="Z42" s="20">
        <f t="shared" si="11"/>
        <v>-1</v>
      </c>
    </row>
    <row r="43" spans="1:26" s="69" customFormat="1" ht="15" hidden="1" customHeight="1" outlineLevel="1" x14ac:dyDescent="0.25">
      <c r="A43" s="42"/>
      <c r="B43" s="12" t="str">
        <f>CONCATENATE("          ","5002"," - ","PURCHASES @ COST-USED TEXT")</f>
        <v xml:space="preserve">          5002 - PURCHASES @ COST-USED TEXT</v>
      </c>
      <c r="C43" s="12"/>
      <c r="D43" s="3"/>
      <c r="E43" s="3"/>
      <c r="F43" s="20">
        <f t="shared" si="4"/>
        <v>0</v>
      </c>
      <c r="G43" s="3"/>
      <c r="H43" s="3">
        <v>4952.26</v>
      </c>
      <c r="I43" s="3"/>
      <c r="J43" s="20">
        <f t="shared" si="5"/>
        <v>7.7750942829838174E-2</v>
      </c>
      <c r="K43" s="3"/>
      <c r="L43" s="3">
        <f t="shared" si="6"/>
        <v>-4952.26</v>
      </c>
      <c r="M43" s="3"/>
      <c r="N43" s="20">
        <f t="shared" si="7"/>
        <v>-1</v>
      </c>
      <c r="O43" s="12"/>
      <c r="P43" s="3">
        <v>0</v>
      </c>
      <c r="Q43" s="3"/>
      <c r="R43" s="20">
        <f t="shared" si="8"/>
        <v>0</v>
      </c>
      <c r="S43" s="3"/>
      <c r="T43" s="3">
        <v>279913.28000000003</v>
      </c>
      <c r="U43" s="3"/>
      <c r="V43" s="20">
        <f t="shared" si="9"/>
        <v>0.10203411115907109</v>
      </c>
      <c r="W43" s="3"/>
      <c r="X43" s="3">
        <f t="shared" si="10"/>
        <v>-279913.28000000003</v>
      </c>
      <c r="Y43" s="3"/>
      <c r="Z43" s="20">
        <f t="shared" si="11"/>
        <v>-1</v>
      </c>
    </row>
    <row r="44" spans="1:26" s="69" customFormat="1" ht="15" hidden="1" customHeight="1" outlineLevel="1" x14ac:dyDescent="0.25">
      <c r="A44" s="42"/>
      <c r="B44" s="12" t="str">
        <f>CONCATENATE("          ","5003"," - ","PURCHASES @ COST-RENTAL TEXT")</f>
        <v xml:space="preserve">          5003 - PURCHASES @ COST-RENTAL TEXT</v>
      </c>
      <c r="C44" s="12"/>
      <c r="D44" s="3"/>
      <c r="E44" s="3"/>
      <c r="F44" s="20">
        <f t="shared" si="4"/>
        <v>0</v>
      </c>
      <c r="G44" s="3"/>
      <c r="H44" s="3">
        <v>7179.56</v>
      </c>
      <c r="I44" s="3"/>
      <c r="J44" s="20">
        <f t="shared" si="5"/>
        <v>0.11271976009001809</v>
      </c>
      <c r="K44" s="3"/>
      <c r="L44" s="3">
        <f t="shared" si="6"/>
        <v>-7179.56</v>
      </c>
      <c r="M44" s="3"/>
      <c r="N44" s="20">
        <f t="shared" si="7"/>
        <v>-1</v>
      </c>
      <c r="O44" s="12"/>
      <c r="P44" s="3"/>
      <c r="Q44" s="3"/>
      <c r="R44" s="20">
        <f t="shared" si="8"/>
        <v>0</v>
      </c>
      <c r="S44" s="3"/>
      <c r="T44" s="3">
        <v>7212.08</v>
      </c>
      <c r="U44" s="3"/>
      <c r="V44" s="20">
        <f t="shared" si="9"/>
        <v>2.6289505535718538E-3</v>
      </c>
      <c r="W44" s="3"/>
      <c r="X44" s="3">
        <f t="shared" si="10"/>
        <v>-7212.08</v>
      </c>
      <c r="Y44" s="3"/>
      <c r="Z44" s="20">
        <f t="shared" si="11"/>
        <v>-1</v>
      </c>
    </row>
    <row r="45" spans="1:26" s="69" customFormat="1" ht="15" hidden="1" customHeight="1" outlineLevel="1" x14ac:dyDescent="0.25">
      <c r="A45" s="42"/>
      <c r="B45" s="12" t="str">
        <f>CONCATENATE("          ","5004"," - ","PURCHASES @ COST-DIGITAL TEXT")</f>
        <v xml:space="preserve">          5004 - PURCHASES @ COST-DIGITAL TEXT</v>
      </c>
      <c r="C45" s="12"/>
      <c r="D45" s="3"/>
      <c r="E45" s="3"/>
      <c r="F45" s="20">
        <f t="shared" si="4"/>
        <v>0</v>
      </c>
      <c r="G45" s="3"/>
      <c r="H45" s="3">
        <v>-7843.95</v>
      </c>
      <c r="I45" s="3"/>
      <c r="J45" s="20">
        <f t="shared" si="5"/>
        <v>-0.12315074491446514</v>
      </c>
      <c r="K45" s="3"/>
      <c r="L45" s="3">
        <f t="shared" si="6"/>
        <v>7843.95</v>
      </c>
      <c r="M45" s="3"/>
      <c r="N45" s="20">
        <f t="shared" si="7"/>
        <v>-1</v>
      </c>
      <c r="O45" s="12"/>
      <c r="P45" s="3">
        <v>0</v>
      </c>
      <c r="Q45" s="3"/>
      <c r="R45" s="20">
        <f t="shared" si="8"/>
        <v>0</v>
      </c>
      <c r="S45" s="3"/>
      <c r="T45" s="3">
        <v>199606.43</v>
      </c>
      <c r="U45" s="3"/>
      <c r="V45" s="20">
        <f t="shared" si="9"/>
        <v>7.2760623099716232E-2</v>
      </c>
      <c r="W45" s="3"/>
      <c r="X45" s="3">
        <f t="shared" si="10"/>
        <v>-199606.43</v>
      </c>
      <c r="Y45" s="3"/>
      <c r="Z45" s="20">
        <f t="shared" si="11"/>
        <v>-1</v>
      </c>
    </row>
    <row r="46" spans="1:26" s="69" customFormat="1" ht="15" hidden="1" customHeight="1" outlineLevel="1" x14ac:dyDescent="0.25">
      <c r="A46" s="42"/>
      <c r="B46" s="12" t="str">
        <f>CONCATENATE("          ","5011"," - ","PURCHASES @ COST-NO VALUE TEXT")</f>
        <v xml:space="preserve">          5011 - PURCHASES @ COST-NO VALUE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67.17</v>
      </c>
      <c r="U46" s="3"/>
      <c r="V46" s="20">
        <f t="shared" si="9"/>
        <v>2.4484837756017879E-5</v>
      </c>
      <c r="W46" s="3"/>
      <c r="X46" s="3">
        <f t="shared" si="10"/>
        <v>-67.17</v>
      </c>
      <c r="Y46" s="3"/>
      <c r="Z46" s="20">
        <f t="shared" si="11"/>
        <v>-1</v>
      </c>
    </row>
    <row r="47" spans="1:26" s="69" customFormat="1" ht="15" hidden="1" customHeight="1" outlineLevel="1" x14ac:dyDescent="0.25">
      <c r="A47" s="42"/>
      <c r="B47" s="12" t="str">
        <f>CONCATENATE("          ","5013"," - ","PURCHASES @ COST-TRADE BOOKS")</f>
        <v xml:space="preserve">          5013 - PURCHASES @ COST-TRADE BOOKS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/>
      <c r="Q47" s="3"/>
      <c r="R47" s="20">
        <f t="shared" si="8"/>
        <v>0</v>
      </c>
      <c r="S47" s="3"/>
      <c r="T47" s="3">
        <v>9670.02</v>
      </c>
      <c r="U47" s="3"/>
      <c r="V47" s="20">
        <f t="shared" si="9"/>
        <v>3.5249199165914547E-3</v>
      </c>
      <c r="W47" s="3"/>
      <c r="X47" s="3">
        <f t="shared" si="10"/>
        <v>-9670.02</v>
      </c>
      <c r="Y47" s="3"/>
      <c r="Z47" s="20">
        <f t="shared" si="11"/>
        <v>-1</v>
      </c>
    </row>
    <row r="48" spans="1:26" s="69" customFormat="1" ht="15" hidden="1" customHeight="1" outlineLevel="1" x14ac:dyDescent="0.25">
      <c r="A48" s="42"/>
      <c r="B48" s="12" t="str">
        <f>CONCATENATE("          ","5014"," - ","PURCHASES @ COST-REMAINDERS")</f>
        <v xml:space="preserve">          5014 - PURCHASES @ COST-REMAINDERS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111.57</v>
      </c>
      <c r="U48" s="3"/>
      <c r="V48" s="20">
        <f t="shared" si="9"/>
        <v>4.0669545160621032E-5</v>
      </c>
      <c r="W48" s="3"/>
      <c r="X48" s="3">
        <f t="shared" si="10"/>
        <v>-111.57</v>
      </c>
      <c r="Y48" s="3"/>
      <c r="Z48" s="20">
        <f t="shared" si="11"/>
        <v>-1</v>
      </c>
    </row>
    <row r="49" spans="1:26" s="69" customFormat="1" ht="15" hidden="1" customHeight="1" outlineLevel="1" x14ac:dyDescent="0.25">
      <c r="A49" s="42"/>
      <c r="B49" s="12" t="str">
        <f>CONCATENATE("          ","5018"," - ","PURCHASES @ COST-STUDY GUIDES")</f>
        <v xml:space="preserve">          5018 - PURCHASES @ COST-STUDY GUIDES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967.21</v>
      </c>
      <c r="U49" s="3"/>
      <c r="V49" s="20">
        <f t="shared" si="9"/>
        <v>3.5256781191004991E-4</v>
      </c>
      <c r="W49" s="3"/>
      <c r="X49" s="3">
        <f t="shared" si="10"/>
        <v>-967.21</v>
      </c>
      <c r="Y49" s="3"/>
      <c r="Z49" s="20">
        <f t="shared" si="11"/>
        <v>-1</v>
      </c>
    </row>
    <row r="50" spans="1:26" s="69" customFormat="1" ht="15" hidden="1" customHeight="1" outlineLevel="1" x14ac:dyDescent="0.25">
      <c r="A50" s="42"/>
      <c r="B50" s="12" t="str">
        <f>CONCATENATE("          ","5200"," - ","PURCHASES OFFSET")</f>
        <v xml:space="preserve">          5200 - PURCHASES OFFSET</v>
      </c>
      <c r="C50" s="12"/>
      <c r="D50" s="3">
        <v>-87704.65</v>
      </c>
      <c r="E50" s="3"/>
      <c r="F50" s="20">
        <f t="shared" si="4"/>
        <v>-2.6462208418217101</v>
      </c>
      <c r="G50" s="3"/>
      <c r="H50" s="3">
        <v>-63605.72</v>
      </c>
      <c r="I50" s="3"/>
      <c r="J50" s="20">
        <f t="shared" si="5"/>
        <v>-0.99861572279538924</v>
      </c>
      <c r="K50" s="3"/>
      <c r="L50" s="3">
        <f t="shared" si="6"/>
        <v>-24098.929999999993</v>
      </c>
      <c r="M50" s="3"/>
      <c r="N50" s="20">
        <f t="shared" si="7"/>
        <v>0.37887991834696616</v>
      </c>
      <c r="O50" s="12"/>
      <c r="P50" s="3">
        <v>-1288787.26</v>
      </c>
      <c r="Q50" s="3"/>
      <c r="R50" s="20">
        <f t="shared" si="8"/>
        <v>-0.57654476145101663</v>
      </c>
      <c r="S50" s="3"/>
      <c r="T50" s="3">
        <v>-1088501.69</v>
      </c>
      <c r="U50" s="3"/>
      <c r="V50" s="20">
        <f t="shared" si="9"/>
        <v>-0.39678111175824426</v>
      </c>
      <c r="W50" s="3"/>
      <c r="X50" s="3">
        <f t="shared" si="10"/>
        <v>-200285.57000000007</v>
      </c>
      <c r="Y50" s="3"/>
      <c r="Z50" s="20">
        <f t="shared" si="11"/>
        <v>0.1840011566725267</v>
      </c>
    </row>
    <row r="51" spans="1:26" s="69" customFormat="1" ht="15" hidden="1" customHeight="1" outlineLevel="1" x14ac:dyDescent="0.25">
      <c r="A51" s="42"/>
      <c r="B51" s="12" t="str">
        <f>CONCATENATE("          ","5300"," - ","COG$ OFFSET")</f>
        <v xml:space="preserve">          5300 - COG$ OFFSET</v>
      </c>
      <c r="C51" s="12"/>
      <c r="D51" s="3">
        <v>21914.66</v>
      </c>
      <c r="E51" s="3"/>
      <c r="F51" s="20">
        <f t="shared" si="4"/>
        <v>0.66120815753140294</v>
      </c>
      <c r="G51" s="3"/>
      <c r="H51" s="3">
        <v>45586</v>
      </c>
      <c r="I51" s="3"/>
      <c r="J51" s="20">
        <f t="shared" si="5"/>
        <v>0.71570444198022776</v>
      </c>
      <c r="K51" s="3"/>
      <c r="L51" s="3">
        <f t="shared" si="6"/>
        <v>-23671.34</v>
      </c>
      <c r="M51" s="3"/>
      <c r="N51" s="20">
        <f t="shared" si="7"/>
        <v>-0.51926775764489097</v>
      </c>
      <c r="O51" s="12"/>
      <c r="P51" s="3">
        <v>1400408.3</v>
      </c>
      <c r="Q51" s="3"/>
      <c r="R51" s="20">
        <f t="shared" si="8"/>
        <v>0.6264789343568804</v>
      </c>
      <c r="S51" s="3"/>
      <c r="T51" s="3">
        <v>1406908</v>
      </c>
      <c r="U51" s="3"/>
      <c r="V51" s="20">
        <f t="shared" si="9"/>
        <v>0.51284671903593271</v>
      </c>
      <c r="W51" s="3"/>
      <c r="X51" s="3">
        <f t="shared" si="10"/>
        <v>-6499.6999999999534</v>
      </c>
      <c r="Y51" s="3"/>
      <c r="Z51" s="20">
        <f t="shared" si="11"/>
        <v>-4.6198472110471709E-3</v>
      </c>
    </row>
    <row r="52" spans="1:26" s="69" customFormat="1" ht="15" hidden="1" customHeight="1" outlineLevel="1" x14ac:dyDescent="0.25">
      <c r="A52" s="42"/>
      <c r="B52" s="12" t="str">
        <f>CONCATENATE("          ","5500"," - ","FREIGHT-IN")</f>
        <v xml:space="preserve">          5500 - FREIGHT-IN</v>
      </c>
      <c r="C52" s="12"/>
      <c r="D52" s="3">
        <v>1648.91</v>
      </c>
      <c r="E52" s="3"/>
      <c r="F52" s="20">
        <f t="shared" si="4"/>
        <v>4.9750839987255366E-2</v>
      </c>
      <c r="G52" s="3"/>
      <c r="H52" s="3">
        <v>0</v>
      </c>
      <c r="I52" s="3"/>
      <c r="J52" s="20">
        <f t="shared" si="5"/>
        <v>0</v>
      </c>
      <c r="K52" s="3"/>
      <c r="L52" s="3">
        <f t="shared" si="6"/>
        <v>1648.91</v>
      </c>
      <c r="M52" s="3"/>
      <c r="N52" s="20">
        <f t="shared" si="7"/>
        <v>0</v>
      </c>
      <c r="O52" s="12"/>
      <c r="P52" s="3">
        <v>80707.53</v>
      </c>
      <c r="Q52" s="3"/>
      <c r="R52" s="20">
        <f t="shared" si="8"/>
        <v>3.6104875548778136E-2</v>
      </c>
      <c r="S52" s="3"/>
      <c r="T52" s="3">
        <v>0</v>
      </c>
      <c r="U52" s="3"/>
      <c r="V52" s="20">
        <f t="shared" si="9"/>
        <v>0</v>
      </c>
      <c r="W52" s="3"/>
      <c r="X52" s="3">
        <f t="shared" si="10"/>
        <v>80707.53</v>
      </c>
      <c r="Y52" s="3"/>
      <c r="Z52" s="20">
        <f t="shared" si="11"/>
        <v>0</v>
      </c>
    </row>
    <row r="53" spans="1:26" s="69" customFormat="1" ht="15" hidden="1" customHeight="1" outlineLevel="1" x14ac:dyDescent="0.25">
      <c r="A53" s="42"/>
      <c r="B53" s="12" t="str">
        <f>CONCATENATE("          ","5501"," - ","FREIGHT-IN-NEW TEXT")</f>
        <v xml:space="preserve">          5501 - FREIGHT-IN-NEW TEXT</v>
      </c>
      <c r="C53" s="12"/>
      <c r="D53" s="3"/>
      <c r="E53" s="3"/>
      <c r="F53" s="20">
        <f t="shared" si="4"/>
        <v>0</v>
      </c>
      <c r="G53" s="3"/>
      <c r="H53" s="3">
        <v>1522.41</v>
      </c>
      <c r="I53" s="3"/>
      <c r="J53" s="20">
        <f t="shared" si="5"/>
        <v>2.3901978667027566E-2</v>
      </c>
      <c r="K53" s="3"/>
      <c r="L53" s="3">
        <f t="shared" si="6"/>
        <v>-1522.41</v>
      </c>
      <c r="M53" s="3"/>
      <c r="N53" s="20">
        <f t="shared" si="7"/>
        <v>-1</v>
      </c>
      <c r="O53" s="12"/>
      <c r="P53" s="3">
        <v>0</v>
      </c>
      <c r="Q53" s="3"/>
      <c r="R53" s="20">
        <f t="shared" si="8"/>
        <v>0</v>
      </c>
      <c r="S53" s="3"/>
      <c r="T53" s="3">
        <v>51836.14</v>
      </c>
      <c r="U53" s="3"/>
      <c r="V53" s="20">
        <f t="shared" si="9"/>
        <v>1.8895332407298328E-2</v>
      </c>
      <c r="W53" s="3"/>
      <c r="X53" s="3">
        <f t="shared" si="10"/>
        <v>-51836.14</v>
      </c>
      <c r="Y53" s="3"/>
      <c r="Z53" s="20">
        <f t="shared" si="11"/>
        <v>-1</v>
      </c>
    </row>
    <row r="54" spans="1:26" s="69" customFormat="1" ht="15" hidden="1" customHeight="1" outlineLevel="1" x14ac:dyDescent="0.25">
      <c r="A54" s="42"/>
      <c r="B54" s="12" t="str">
        <f>CONCATENATE("          ","5502"," - ","FREIGHT-IN-USED TEXT")</f>
        <v xml:space="preserve">          5502 - FREIGHT-IN-USED TEXT</v>
      </c>
      <c r="C54" s="12"/>
      <c r="D54" s="3"/>
      <c r="E54" s="3"/>
      <c r="F54" s="20">
        <f t="shared" si="4"/>
        <v>0</v>
      </c>
      <c r="G54" s="3"/>
      <c r="H54" s="3">
        <v>133.97</v>
      </c>
      <c r="I54" s="3"/>
      <c r="J54" s="20">
        <f t="shared" si="5"/>
        <v>2.1033414665048724E-3</v>
      </c>
      <c r="K54" s="3"/>
      <c r="L54" s="3">
        <f t="shared" si="6"/>
        <v>-133.97</v>
      </c>
      <c r="M54" s="3"/>
      <c r="N54" s="20">
        <f t="shared" si="7"/>
        <v>-1</v>
      </c>
      <c r="O54" s="12"/>
      <c r="P54" s="3">
        <v>0</v>
      </c>
      <c r="Q54" s="3"/>
      <c r="R54" s="20">
        <f t="shared" si="8"/>
        <v>0</v>
      </c>
      <c r="S54" s="3"/>
      <c r="T54" s="3">
        <v>17992.87</v>
      </c>
      <c r="U54" s="3"/>
      <c r="V54" s="20">
        <f t="shared" si="9"/>
        <v>6.5587688360149079E-3</v>
      </c>
      <c r="W54" s="3"/>
      <c r="X54" s="3">
        <f t="shared" si="10"/>
        <v>-17992.87</v>
      </c>
      <c r="Y54" s="3"/>
      <c r="Z54" s="20">
        <f t="shared" si="11"/>
        <v>-1</v>
      </c>
    </row>
    <row r="55" spans="1:26" s="69" customFormat="1" ht="15" hidden="1" customHeight="1" outlineLevel="1" x14ac:dyDescent="0.25">
      <c r="A55" s="42"/>
      <c r="B55" s="12" t="str">
        <f>CONCATENATE("          ","5504"," - ","FREIGHT-IN-DIGITAL TEXT")</f>
        <v xml:space="preserve">          5504 - FREIGHT-IN-DIGITAL TEXT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/>
      <c r="Q55" s="3"/>
      <c r="R55" s="20">
        <f t="shared" si="8"/>
        <v>0</v>
      </c>
      <c r="S55" s="3"/>
      <c r="T55" s="3">
        <v>28.92</v>
      </c>
      <c r="U55" s="3"/>
      <c r="V55" s="20">
        <f t="shared" si="9"/>
        <v>1.0541931039214488E-5</v>
      </c>
      <c r="W55" s="3"/>
      <c r="X55" s="3">
        <f t="shared" si="10"/>
        <v>-28.92</v>
      </c>
      <c r="Y55" s="3"/>
      <c r="Z55" s="20">
        <f t="shared" si="11"/>
        <v>-1</v>
      </c>
    </row>
    <row r="56" spans="1:26" s="69" customFormat="1" ht="15" hidden="1" customHeight="1" outlineLevel="1" x14ac:dyDescent="0.25">
      <c r="A56" s="42"/>
      <c r="B56" s="12" t="str">
        <f>CONCATENATE("          ","5513"," - ","FREIGHT-IN-TRADE BOOKS")</f>
        <v xml:space="preserve">          5513 - FREIGHT-IN-TRADE BOOKS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/>
      <c r="Q56" s="3"/>
      <c r="R56" s="20">
        <f t="shared" si="8"/>
        <v>0</v>
      </c>
      <c r="S56" s="3"/>
      <c r="T56" s="3">
        <v>85.28</v>
      </c>
      <c r="U56" s="3"/>
      <c r="V56" s="20">
        <f t="shared" si="9"/>
        <v>3.1086302870823358E-5</v>
      </c>
      <c r="W56" s="3"/>
      <c r="X56" s="3">
        <f t="shared" si="10"/>
        <v>-85.28</v>
      </c>
      <c r="Y56" s="3"/>
      <c r="Z56" s="20">
        <f t="shared" si="11"/>
        <v>-1</v>
      </c>
    </row>
    <row r="57" spans="1:26" s="69" customFormat="1" ht="15" hidden="1" customHeight="1" outlineLevel="1" x14ac:dyDescent="0.25">
      <c r="A57" s="42"/>
      <c r="B57" s="12" t="str">
        <f>CONCATENATE("          ","5518"," - ","FREIGHT-IN-STUDY GUIDES")</f>
        <v xml:space="preserve">          5518 - FREIGHT-IN-STUDY GUIDES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ht="15" customHeight="1" x14ac:dyDescent="0.25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25">
      <c r="A59" s="11"/>
      <c r="B59" s="27" t="s">
        <v>288</v>
      </c>
      <c r="C59" s="27"/>
      <c r="D59" s="22">
        <f>D12-D40</f>
        <v>8634.4399999999951</v>
      </c>
      <c r="E59" s="15"/>
      <c r="F59" s="23">
        <f>IF(D$12=0,0,D59/D$12)</f>
        <v>0.26051794386567911</v>
      </c>
      <c r="G59" s="15"/>
      <c r="H59" s="22">
        <f>H12-H40</f>
        <v>10749.349999999977</v>
      </c>
      <c r="I59" s="15"/>
      <c r="J59" s="23">
        <f>IF(H$12=0,0,H59/H$12)</f>
        <v>0.16876579527486826</v>
      </c>
      <c r="K59" s="16"/>
      <c r="L59" s="22">
        <f>+D59-H59</f>
        <v>-2114.9099999999817</v>
      </c>
      <c r="M59" s="16"/>
      <c r="N59" s="23">
        <f>IF(H59=0,0,L59/H59)</f>
        <v>-0.19674771032666963</v>
      </c>
      <c r="O59" s="28"/>
      <c r="P59" s="22">
        <f>P12-P40</f>
        <v>530071.62999999989</v>
      </c>
      <c r="Q59" s="15"/>
      <c r="R59" s="23">
        <f>IF(P$12=0,0,P59/P$12)</f>
        <v>0.23712992124883472</v>
      </c>
      <c r="S59" s="15"/>
      <c r="T59" s="22">
        <f>T12-T40</f>
        <v>785866.64999999967</v>
      </c>
      <c r="U59" s="15"/>
      <c r="V59" s="23">
        <f>IF(T$12=0,0,T59/T$12)</f>
        <v>0.28646445471364118</v>
      </c>
      <c r="W59" s="16"/>
      <c r="X59" s="22">
        <f>+P59-T59</f>
        <v>-255795.01999999979</v>
      </c>
      <c r="Y59" s="16"/>
      <c r="Z59" s="23">
        <f>IF(T59=0,0,X59/T59)</f>
        <v>-0.32549417894244514</v>
      </c>
    </row>
    <row r="60" spans="1:26" ht="15" customHeight="1" x14ac:dyDescent="0.25">
      <c r="A60" s="10"/>
      <c r="B60" s="11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x14ac:dyDescent="0.25">
      <c r="A61" s="11"/>
      <c r="B61" s="28" t="s">
        <v>289</v>
      </c>
      <c r="C61" s="11"/>
      <c r="D61" s="21" cm="1">
        <f t="array" ref="D61">SUM(OSRRefD22x_0)</f>
        <v>34291.019999999997</v>
      </c>
      <c r="E61" s="21"/>
      <c r="F61" s="31">
        <f t="shared" ref="F61:F92" si="12">IF(D$12=0,0,D61/D$12)</f>
        <v>1.0346271470363897</v>
      </c>
      <c r="G61" s="21"/>
      <c r="H61" s="21" cm="1">
        <f t="array" ref="H61">SUM(OSRRefH22x_0)</f>
        <v>45563.200000000012</v>
      </c>
      <c r="I61" s="21"/>
      <c r="J61" s="31">
        <f t="shared" ref="J61:J92" si="13">IF(H$12=0,0,H61/H$12)</f>
        <v>0.71534647985858646</v>
      </c>
      <c r="K61" s="5"/>
      <c r="L61" s="21">
        <f t="shared" ref="L61:L92" si="14">+D61-H61</f>
        <v>-11272.180000000015</v>
      </c>
      <c r="M61" s="5"/>
      <c r="N61" s="31">
        <f t="shared" ref="N61:N92" si="15">IF(H61=0,0,L61/H61)</f>
        <v>-0.24739658320750105</v>
      </c>
      <c r="O61" s="11"/>
      <c r="P61" s="21" cm="1">
        <f t="array" ref="P61">SUM(OSRRefP22x_0)</f>
        <v>482773.09</v>
      </c>
      <c r="Q61" s="21"/>
      <c r="R61" s="31">
        <f t="shared" ref="R61:R92" si="16">IF(P$12=0,0,P61/P$12)</f>
        <v>0.21597070722829786</v>
      </c>
      <c r="S61" s="21"/>
      <c r="T61" s="21" cm="1">
        <f t="array" ref="T61">SUM(OSRRefT22x_0)</f>
        <v>507407.53999999986</v>
      </c>
      <c r="U61" s="21"/>
      <c r="V61" s="31">
        <f t="shared" ref="V61:V92" si="17">IF(T$12=0,0,T61/T$12)</f>
        <v>0.18496041823850154</v>
      </c>
      <c r="W61" s="5"/>
      <c r="X61" s="21">
        <f t="shared" ref="X61:X92" si="18">+P61-T61</f>
        <v>-24634.449999999837</v>
      </c>
      <c r="Y61" s="5"/>
      <c r="Z61" s="31">
        <f t="shared" ref="Z61:Z92" si="19">IF(T61=0,0,X61/T61)</f>
        <v>-4.8549633298708657E-2</v>
      </c>
    </row>
    <row r="62" spans="1:26" s="68" customFormat="1" ht="15" customHeight="1" outlineLevel="1" collapsed="1" x14ac:dyDescent="0.25">
      <c r="A62" s="26"/>
      <c r="B62" s="14" t="str">
        <f>CONCATENATE("     ","*Benefits                                         ")</f>
        <v xml:space="preserve">     *Benefits                                         </v>
      </c>
      <c r="C62" s="14"/>
      <c r="D62" s="2">
        <f>SUM(OSRRefD22_0x_0)</f>
        <v>10813.289999999999</v>
      </c>
      <c r="E62" s="2"/>
      <c r="F62" s="6">
        <f t="shared" si="12"/>
        <v>0.32625811022177592</v>
      </c>
      <c r="G62" s="2"/>
      <c r="H62" s="2">
        <f>SUM(OSRRefH22_0x_0)</f>
        <v>11708.38</v>
      </c>
      <c r="I62" s="2"/>
      <c r="J62" s="6">
        <f t="shared" si="13"/>
        <v>0.18382265551687929</v>
      </c>
      <c r="K62" s="2"/>
      <c r="L62" s="2">
        <f t="shared" si="14"/>
        <v>-895.09000000000015</v>
      </c>
      <c r="M62" s="2"/>
      <c r="N62" s="6">
        <f t="shared" si="15"/>
        <v>-7.6448663265114403E-2</v>
      </c>
      <c r="O62" s="14"/>
      <c r="P62" s="2">
        <f>SUM(OSRRefP22_0x_0)</f>
        <v>117745.83</v>
      </c>
      <c r="Q62" s="2"/>
      <c r="R62" s="6">
        <f t="shared" si="16"/>
        <v>5.267412518432403E-2</v>
      </c>
      <c r="S62" s="2"/>
      <c r="T62" s="2">
        <f>SUM(OSRRefT22_0x_0)</f>
        <v>131878.37</v>
      </c>
      <c r="U62" s="2"/>
      <c r="V62" s="6">
        <f t="shared" si="17"/>
        <v>4.8072361068603478E-2</v>
      </c>
      <c r="W62" s="2"/>
      <c r="X62" s="2">
        <f t="shared" si="18"/>
        <v>-14132.539999999994</v>
      </c>
      <c r="Y62" s="2"/>
      <c r="Z62" s="6">
        <f t="shared" si="19"/>
        <v>-0.10716344158636472</v>
      </c>
    </row>
    <row r="63" spans="1:26" s="69" customFormat="1" ht="15" hidden="1" customHeight="1" outlineLevel="2" x14ac:dyDescent="0.25">
      <c r="A63" s="25"/>
      <c r="B63" s="12" t="str">
        <f>CONCATENATE("          ","6111"," - ","F.I.C.A.")</f>
        <v xml:space="preserve">          6111 - F.I.C.A.</v>
      </c>
      <c r="C63" s="12"/>
      <c r="D63" s="7">
        <v>1542.63</v>
      </c>
      <c r="E63" s="3"/>
      <c r="F63" s="8">
        <f t="shared" si="12"/>
        <v>4.6544164502331689E-2</v>
      </c>
      <c r="G63" s="3"/>
      <c r="H63" s="7">
        <v>2097.79</v>
      </c>
      <c r="I63" s="3"/>
      <c r="J63" s="8">
        <f t="shared" si="13"/>
        <v>3.2935498208697893E-2</v>
      </c>
      <c r="K63" s="3"/>
      <c r="L63" s="7">
        <f t="shared" si="14"/>
        <v>-555.15999999999985</v>
      </c>
      <c r="M63" s="3"/>
      <c r="N63" s="8">
        <f t="shared" si="15"/>
        <v>-0.26464040728576255</v>
      </c>
      <c r="O63" s="12"/>
      <c r="P63" s="7">
        <v>23424.71</v>
      </c>
      <c r="Q63" s="3"/>
      <c r="R63" s="8">
        <f t="shared" si="16"/>
        <v>1.0479149087033374E-2</v>
      </c>
      <c r="S63" s="3"/>
      <c r="T63" s="7">
        <v>24006.85</v>
      </c>
      <c r="U63" s="3"/>
      <c r="V63" s="8">
        <f t="shared" si="17"/>
        <v>8.7509874539684045E-3</v>
      </c>
      <c r="W63" s="3"/>
      <c r="X63" s="7">
        <f t="shared" si="18"/>
        <v>-582.13999999999942</v>
      </c>
      <c r="Y63" s="3"/>
      <c r="Z63" s="8">
        <f t="shared" si="19"/>
        <v>-2.4248912289617317E-2</v>
      </c>
    </row>
    <row r="64" spans="1:26" s="69" customFormat="1" ht="15" hidden="1" customHeight="1" outlineLevel="2" x14ac:dyDescent="0.25">
      <c r="A64" s="25"/>
      <c r="B64" s="12" t="str">
        <f>CONCATENATE("          ","6112"," - ","COMPENSATION INSURANCE")</f>
        <v xml:space="preserve">          6112 - COMPENSATION INSURANCE</v>
      </c>
      <c r="C64" s="12"/>
      <c r="D64" s="7">
        <v>403.79</v>
      </c>
      <c r="E64" s="3"/>
      <c r="F64" s="8">
        <f t="shared" si="12"/>
        <v>1.2183134117965106E-2</v>
      </c>
      <c r="G64" s="3"/>
      <c r="H64" s="7">
        <v>186.45</v>
      </c>
      <c r="I64" s="3"/>
      <c r="J64" s="8">
        <f t="shared" si="13"/>
        <v>2.927282350002489E-3</v>
      </c>
      <c r="K64" s="3"/>
      <c r="L64" s="7">
        <f t="shared" si="14"/>
        <v>217.34000000000003</v>
      </c>
      <c r="M64" s="3"/>
      <c r="N64" s="8">
        <f t="shared" si="15"/>
        <v>1.1656744435505499</v>
      </c>
      <c r="O64" s="12"/>
      <c r="P64" s="7">
        <v>4465.3900000000003</v>
      </c>
      <c r="Q64" s="3"/>
      <c r="R64" s="8">
        <f t="shared" si="16"/>
        <v>1.9976122454343284E-3</v>
      </c>
      <c r="S64" s="3"/>
      <c r="T64" s="7">
        <v>1371.89</v>
      </c>
      <c r="U64" s="3"/>
      <c r="V64" s="8">
        <f t="shared" si="17"/>
        <v>5.0008194237164468E-4</v>
      </c>
      <c r="W64" s="3"/>
      <c r="X64" s="7">
        <f t="shared" si="18"/>
        <v>3093.5</v>
      </c>
      <c r="Y64" s="3"/>
      <c r="Z64" s="8">
        <f t="shared" si="19"/>
        <v>2.2549183972475926</v>
      </c>
    </row>
    <row r="65" spans="1:26" s="69" customFormat="1" ht="15" hidden="1" customHeight="1" outlineLevel="2" x14ac:dyDescent="0.25">
      <c r="A65" s="25"/>
      <c r="B65" s="12" t="str">
        <f>CONCATENATE("          ","6113"," - ","GROUP INSURANCE")</f>
        <v xml:space="preserve">          6113 - GROUP INSURANCE</v>
      </c>
      <c r="C65" s="12"/>
      <c r="D65" s="7">
        <v>4226.1400000000003</v>
      </c>
      <c r="E65" s="3"/>
      <c r="F65" s="8">
        <f t="shared" si="12"/>
        <v>0.12751091017929383</v>
      </c>
      <c r="G65" s="3"/>
      <c r="H65" s="7">
        <v>4943.91</v>
      </c>
      <c r="I65" s="3"/>
      <c r="J65" s="8">
        <f t="shared" si="13"/>
        <v>7.7619847052833493E-2</v>
      </c>
      <c r="K65" s="3"/>
      <c r="L65" s="7">
        <f t="shared" si="14"/>
        <v>-717.76999999999953</v>
      </c>
      <c r="M65" s="3"/>
      <c r="N65" s="8">
        <f t="shared" si="15"/>
        <v>-0.14518265906944089</v>
      </c>
      <c r="O65" s="12"/>
      <c r="P65" s="7">
        <v>47823.83</v>
      </c>
      <c r="Q65" s="3"/>
      <c r="R65" s="8">
        <f t="shared" si="16"/>
        <v>2.1394204858157875E-2</v>
      </c>
      <c r="S65" s="3"/>
      <c r="T65" s="7">
        <v>50107.77</v>
      </c>
      <c r="U65" s="3"/>
      <c r="V65" s="8">
        <f t="shared" si="17"/>
        <v>1.8265306219530444E-2</v>
      </c>
      <c r="W65" s="3"/>
      <c r="X65" s="7">
        <f t="shared" si="18"/>
        <v>-2283.9399999999951</v>
      </c>
      <c r="Y65" s="3"/>
      <c r="Z65" s="8">
        <f t="shared" si="19"/>
        <v>-4.5580555670308123E-2</v>
      </c>
    </row>
    <row r="66" spans="1:26" s="69" customFormat="1" ht="15" hidden="1" customHeight="1" outlineLevel="2" x14ac:dyDescent="0.25">
      <c r="A66" s="25"/>
      <c r="B66" s="12" t="str">
        <f>CONCATENATE("          ","6114"," - ","STATE UNEMPLOYMENT INSURANCE")</f>
        <v xml:space="preserve">          6114 - STATE UNEMPLOYMENT INSURANCE</v>
      </c>
      <c r="C66" s="12"/>
      <c r="D66" s="7">
        <v>79.48</v>
      </c>
      <c r="E66" s="3"/>
      <c r="F66" s="8">
        <f t="shared" si="12"/>
        <v>2.3980670638100664E-3</v>
      </c>
      <c r="G66" s="3"/>
      <c r="H66" s="7">
        <v>113</v>
      </c>
      <c r="I66" s="3"/>
      <c r="J66" s="8">
        <f t="shared" si="13"/>
        <v>1.7741105151530237E-3</v>
      </c>
      <c r="K66" s="3"/>
      <c r="L66" s="7">
        <f t="shared" si="14"/>
        <v>-33.519999999999996</v>
      </c>
      <c r="M66" s="3"/>
      <c r="N66" s="8">
        <f t="shared" si="15"/>
        <v>-0.29663716814159291</v>
      </c>
      <c r="O66" s="12"/>
      <c r="P66" s="7">
        <v>885.1</v>
      </c>
      <c r="Q66" s="3"/>
      <c r="R66" s="8">
        <f t="shared" si="16"/>
        <v>3.9595345500256953E-4</v>
      </c>
      <c r="S66" s="3"/>
      <c r="T66" s="7">
        <v>875.51</v>
      </c>
      <c r="U66" s="3"/>
      <c r="V66" s="8">
        <f t="shared" si="17"/>
        <v>3.1914128783342582E-4</v>
      </c>
      <c r="W66" s="3"/>
      <c r="X66" s="7">
        <f t="shared" si="18"/>
        <v>9.5900000000000318</v>
      </c>
      <c r="Y66" s="3"/>
      <c r="Z66" s="8">
        <f t="shared" si="19"/>
        <v>1.0953615606903441E-2</v>
      </c>
    </row>
    <row r="67" spans="1:26" s="69" customFormat="1" ht="15" hidden="1" customHeight="1" outlineLevel="2" x14ac:dyDescent="0.25">
      <c r="A67" s="25"/>
      <c r="B67" s="12" t="str">
        <f>CONCATENATE("          ","6115"," - ","P.E.R.S.")</f>
        <v xml:space="preserve">          6115 - P.E.R.S.</v>
      </c>
      <c r="C67" s="12"/>
      <c r="D67" s="7">
        <v>1192.42</v>
      </c>
      <c r="E67" s="3"/>
      <c r="F67" s="8">
        <f t="shared" si="12"/>
        <v>3.5977643787473569E-2</v>
      </c>
      <c r="G67" s="3"/>
      <c r="H67" s="7">
        <v>1783.22</v>
      </c>
      <c r="I67" s="3"/>
      <c r="J67" s="8">
        <f t="shared" si="13"/>
        <v>2.799671993655907E-2</v>
      </c>
      <c r="K67" s="3"/>
      <c r="L67" s="7">
        <f t="shared" si="14"/>
        <v>-590.79999999999995</v>
      </c>
      <c r="M67" s="3"/>
      <c r="N67" s="8">
        <f t="shared" si="15"/>
        <v>-0.33131077489036681</v>
      </c>
      <c r="O67" s="12"/>
      <c r="P67" s="7">
        <v>20148.009999999998</v>
      </c>
      <c r="Q67" s="3"/>
      <c r="R67" s="8">
        <f t="shared" si="16"/>
        <v>9.0133026448156357E-3</v>
      </c>
      <c r="S67" s="3"/>
      <c r="T67" s="7">
        <v>20247.57</v>
      </c>
      <c r="U67" s="3"/>
      <c r="V67" s="8">
        <f t="shared" si="17"/>
        <v>7.3806530654103751E-3</v>
      </c>
      <c r="W67" s="3"/>
      <c r="X67" s="7">
        <f t="shared" si="18"/>
        <v>-99.56000000000131</v>
      </c>
      <c r="Y67" s="3"/>
      <c r="Z67" s="8">
        <f t="shared" si="19"/>
        <v>-4.9171332658685118E-3</v>
      </c>
    </row>
    <row r="68" spans="1:26" s="69" customFormat="1" ht="15" hidden="1" customHeight="1" outlineLevel="2" x14ac:dyDescent="0.25">
      <c r="A68" s="25"/>
      <c r="B68" s="12" t="str">
        <f>CONCATENATE("          ","6117"," - ","RETIREMENT STAFF HOURLY")</f>
        <v xml:space="preserve">          6117 - RETIREMENT STAFF HOURLY</v>
      </c>
      <c r="C68" s="12"/>
      <c r="D68" s="7">
        <v>161.08000000000001</v>
      </c>
      <c r="E68" s="3"/>
      <c r="F68" s="8">
        <f t="shared" si="12"/>
        <v>4.8600986743649408E-3</v>
      </c>
      <c r="G68" s="3"/>
      <c r="H68" s="7">
        <v>245.58</v>
      </c>
      <c r="I68" s="3"/>
      <c r="J68" s="8">
        <f t="shared" si="13"/>
        <v>3.8556288523122089E-3</v>
      </c>
      <c r="K68" s="3"/>
      <c r="L68" s="7">
        <f t="shared" si="14"/>
        <v>-84.5</v>
      </c>
      <c r="M68" s="3"/>
      <c r="N68" s="8">
        <f t="shared" si="15"/>
        <v>-0.34408339441322583</v>
      </c>
      <c r="O68" s="12"/>
      <c r="P68" s="7">
        <v>3376.44</v>
      </c>
      <c r="Q68" s="3"/>
      <c r="R68" s="8">
        <f t="shared" si="16"/>
        <v>1.5104655785887196E-3</v>
      </c>
      <c r="S68" s="3"/>
      <c r="T68" s="7">
        <v>3001.4</v>
      </c>
      <c r="U68" s="3"/>
      <c r="V68" s="8">
        <f t="shared" si="17"/>
        <v>1.0940716397336916E-3</v>
      </c>
      <c r="W68" s="3"/>
      <c r="X68" s="7">
        <f t="shared" si="18"/>
        <v>375.03999999999996</v>
      </c>
      <c r="Y68" s="3"/>
      <c r="Z68" s="8">
        <f t="shared" si="19"/>
        <v>0.12495502099020456</v>
      </c>
    </row>
    <row r="69" spans="1:26" s="69" customFormat="1" ht="15" hidden="1" customHeight="1" outlineLevel="2" x14ac:dyDescent="0.25">
      <c r="A69" s="25"/>
      <c r="B69" s="12" t="str">
        <f>CONCATENATE("          ","6118"," - ","VACATION")</f>
        <v xml:space="preserve">          6118 - VACATION</v>
      </c>
      <c r="C69" s="12"/>
      <c r="D69" s="7">
        <v>1330.2</v>
      </c>
      <c r="E69" s="3"/>
      <c r="F69" s="8">
        <f t="shared" si="12"/>
        <v>4.013473588676586E-2</v>
      </c>
      <c r="G69" s="3"/>
      <c r="H69" s="7">
        <v>1644.18</v>
      </c>
      <c r="I69" s="3"/>
      <c r="J69" s="8">
        <f t="shared" si="13"/>
        <v>2.581377899826813E-2</v>
      </c>
      <c r="K69" s="3"/>
      <c r="L69" s="7">
        <f t="shared" si="14"/>
        <v>-313.98</v>
      </c>
      <c r="M69" s="3"/>
      <c r="N69" s="8">
        <f t="shared" si="15"/>
        <v>-0.19096449293872933</v>
      </c>
      <c r="O69" s="12"/>
      <c r="P69" s="7">
        <v>20614.18</v>
      </c>
      <c r="Q69" s="3"/>
      <c r="R69" s="8">
        <f t="shared" si="16"/>
        <v>9.2218458852614035E-3</v>
      </c>
      <c r="S69" s="3"/>
      <c r="T69" s="7">
        <v>16145.13</v>
      </c>
      <c r="U69" s="3"/>
      <c r="V69" s="8">
        <f t="shared" si="17"/>
        <v>5.8852298436774886E-3</v>
      </c>
      <c r="W69" s="3"/>
      <c r="X69" s="7">
        <f t="shared" si="18"/>
        <v>4469.0500000000011</v>
      </c>
      <c r="Y69" s="3"/>
      <c r="Z69" s="8">
        <f t="shared" si="19"/>
        <v>0.27680483216920526</v>
      </c>
    </row>
    <row r="70" spans="1:26" s="69" customFormat="1" ht="15" hidden="1" customHeight="1" outlineLevel="2" x14ac:dyDescent="0.25">
      <c r="A70" s="25"/>
      <c r="B70" s="12" t="str">
        <f>CONCATENATE("          ","6119"," - ","SICK LEAVE")</f>
        <v xml:space="preserve">          6119 - SICK LEAVE</v>
      </c>
      <c r="C70" s="12"/>
      <c r="D70" s="7">
        <v>892.48</v>
      </c>
      <c r="E70" s="3"/>
      <c r="F70" s="8">
        <f t="shared" si="12"/>
        <v>2.6927867301323703E-2</v>
      </c>
      <c r="G70" s="3"/>
      <c r="H70" s="7">
        <v>284.64</v>
      </c>
      <c r="I70" s="3"/>
      <c r="J70" s="8">
        <f t="shared" si="13"/>
        <v>4.4688744870190851E-3</v>
      </c>
      <c r="K70" s="3"/>
      <c r="L70" s="7">
        <f t="shared" si="14"/>
        <v>607.84</v>
      </c>
      <c r="M70" s="3"/>
      <c r="N70" s="8">
        <f t="shared" si="15"/>
        <v>2.135469364811692</v>
      </c>
      <c r="O70" s="12"/>
      <c r="P70" s="7">
        <v>-13010.34</v>
      </c>
      <c r="Q70" s="3"/>
      <c r="R70" s="8">
        <f t="shared" si="16"/>
        <v>-5.8202339552119869E-3</v>
      </c>
      <c r="S70" s="3"/>
      <c r="T70" s="7">
        <v>11461.54</v>
      </c>
      <c r="U70" s="3"/>
      <c r="V70" s="8">
        <f t="shared" si="17"/>
        <v>4.1779655699584516E-3</v>
      </c>
      <c r="W70" s="3"/>
      <c r="X70" s="7">
        <f t="shared" si="18"/>
        <v>-24471.88</v>
      </c>
      <c r="Y70" s="3"/>
      <c r="Z70" s="8">
        <f t="shared" si="19"/>
        <v>-2.1351301832040024</v>
      </c>
    </row>
    <row r="71" spans="1:26" s="69" customFormat="1" ht="15" hidden="1" customHeight="1" outlineLevel="2" x14ac:dyDescent="0.25">
      <c r="A71" s="25"/>
      <c r="B71" s="12" t="str">
        <f>CONCATENATE("          ","6156"," - ","EMPLOYEE MEALS")</f>
        <v xml:space="preserve">          6156 - EMPLOYEE MEALS</v>
      </c>
      <c r="C71" s="12"/>
      <c r="D71" s="7">
        <v>985.07</v>
      </c>
      <c r="E71" s="3"/>
      <c r="F71" s="8">
        <f t="shared" si="12"/>
        <v>2.9721488708447184E-2</v>
      </c>
      <c r="G71" s="3"/>
      <c r="H71" s="7">
        <v>409.61</v>
      </c>
      <c r="I71" s="3"/>
      <c r="J71" s="8">
        <f t="shared" si="13"/>
        <v>6.4309151160338949E-3</v>
      </c>
      <c r="K71" s="3"/>
      <c r="L71" s="7">
        <f t="shared" si="14"/>
        <v>575.46</v>
      </c>
      <c r="M71" s="3"/>
      <c r="N71" s="8">
        <f t="shared" si="15"/>
        <v>1.4048973413735018</v>
      </c>
      <c r="O71" s="12"/>
      <c r="P71" s="7">
        <v>10018.51</v>
      </c>
      <c r="Q71" s="3"/>
      <c r="R71" s="8">
        <f t="shared" si="16"/>
        <v>4.4818253852421108E-3</v>
      </c>
      <c r="S71" s="3"/>
      <c r="T71" s="7">
        <v>4660.71</v>
      </c>
      <c r="U71" s="3"/>
      <c r="V71" s="8">
        <f t="shared" si="17"/>
        <v>1.6989240461195488E-3</v>
      </c>
      <c r="W71" s="3"/>
      <c r="X71" s="7">
        <f t="shared" si="18"/>
        <v>5357.8</v>
      </c>
      <c r="Y71" s="3"/>
      <c r="Z71" s="8">
        <f t="shared" si="19"/>
        <v>1.1495673405983209</v>
      </c>
    </row>
    <row r="72" spans="1:26" s="68" customFormat="1" ht="15" customHeight="1" outlineLevel="1" collapsed="1" x14ac:dyDescent="0.25">
      <c r="A72" s="26"/>
      <c r="B72" s="14" t="str">
        <f>CONCATENATE("     ","*Payroll                                          ")</f>
        <v xml:space="preserve">     *Payroll                                          </v>
      </c>
      <c r="C72" s="14"/>
      <c r="D72" s="2">
        <f>SUM(OSRRefD22_1x_0)</f>
        <v>18500.109999999997</v>
      </c>
      <c r="E72" s="2"/>
      <c r="F72" s="6">
        <f t="shared" si="12"/>
        <v>0.55818450513164619</v>
      </c>
      <c r="G72" s="2"/>
      <c r="H72" s="2">
        <f>SUM(OSRRefH22_1x_0)</f>
        <v>28613.609999999997</v>
      </c>
      <c r="I72" s="2"/>
      <c r="J72" s="6">
        <f t="shared" si="13"/>
        <v>0.44923633962378501</v>
      </c>
      <c r="K72" s="2"/>
      <c r="L72" s="2">
        <f t="shared" si="14"/>
        <v>-10113.5</v>
      </c>
      <c r="M72" s="2"/>
      <c r="N72" s="6">
        <f t="shared" si="15"/>
        <v>-0.35345068308402894</v>
      </c>
      <c r="O72" s="14"/>
      <c r="P72" s="2">
        <f>SUM(OSRRefP22_1x_0)</f>
        <v>313770.34999999998</v>
      </c>
      <c r="Q72" s="2"/>
      <c r="R72" s="6">
        <f t="shared" si="16"/>
        <v>0.14036657344917577</v>
      </c>
      <c r="S72" s="2"/>
      <c r="T72" s="2">
        <f>SUM(OSRRefT22_1x_0)</f>
        <v>310823.01999999996</v>
      </c>
      <c r="U72" s="2"/>
      <c r="V72" s="6">
        <f t="shared" si="17"/>
        <v>0.11330134309268274</v>
      </c>
      <c r="W72" s="2"/>
      <c r="X72" s="2">
        <f t="shared" si="18"/>
        <v>2947.3300000000163</v>
      </c>
      <c r="Y72" s="2"/>
      <c r="Z72" s="6">
        <f t="shared" si="19"/>
        <v>9.4823414301811251E-3</v>
      </c>
    </row>
    <row r="73" spans="1:26" s="69" customFormat="1" ht="15" hidden="1" customHeight="1" outlineLevel="2" x14ac:dyDescent="0.25">
      <c r="A73" s="25"/>
      <c r="B73" s="12" t="str">
        <f>CONCATENATE("          ","6001"," - ","ADMINISTRATIVE SALARIES")</f>
        <v xml:space="preserve">          6001 - ADMINISTRATIVE SALARIES</v>
      </c>
      <c r="C73" s="12"/>
      <c r="D73" s="7"/>
      <c r="E73" s="3"/>
      <c r="F73" s="8">
        <f t="shared" si="12"/>
        <v>0</v>
      </c>
      <c r="G73" s="3"/>
      <c r="H73" s="7"/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-311.32</v>
      </c>
      <c r="U73" s="3"/>
      <c r="V73" s="8">
        <f t="shared" si="17"/>
        <v>-1.134825024594832E-4</v>
      </c>
      <c r="W73" s="3"/>
      <c r="X73" s="7">
        <f t="shared" si="18"/>
        <v>311.32</v>
      </c>
      <c r="Y73" s="3"/>
      <c r="Z73" s="8">
        <f t="shared" si="19"/>
        <v>-1</v>
      </c>
    </row>
    <row r="74" spans="1:26" s="69" customFormat="1" ht="15" hidden="1" customHeight="1" outlineLevel="2" x14ac:dyDescent="0.25">
      <c r="A74" s="25"/>
      <c r="B74" s="12" t="str">
        <f>CONCATENATE("          ","6002"," - ","STAFF SALARIES")</f>
        <v xml:space="preserve">          6002 - STAFF SALARIES</v>
      </c>
      <c r="C74" s="12"/>
      <c r="D74" s="7">
        <v>13986.97</v>
      </c>
      <c r="E74" s="3"/>
      <c r="F74" s="8">
        <f t="shared" si="12"/>
        <v>0.42201424357699396</v>
      </c>
      <c r="G74" s="3"/>
      <c r="H74" s="7">
        <v>18291.48</v>
      </c>
      <c r="I74" s="3"/>
      <c r="J74" s="8">
        <f t="shared" si="13"/>
        <v>0.28717793810363917</v>
      </c>
      <c r="K74" s="3"/>
      <c r="L74" s="7">
        <f t="shared" si="14"/>
        <v>-4304.51</v>
      </c>
      <c r="M74" s="3"/>
      <c r="N74" s="8">
        <f t="shared" si="15"/>
        <v>-0.23532868854789227</v>
      </c>
      <c r="O74" s="12"/>
      <c r="P74" s="7">
        <v>203046.17</v>
      </c>
      <c r="Q74" s="3"/>
      <c r="R74" s="8">
        <f t="shared" si="16"/>
        <v>9.0833614887062569E-2</v>
      </c>
      <c r="S74" s="3"/>
      <c r="T74" s="7">
        <v>192215.53</v>
      </c>
      <c r="U74" s="3"/>
      <c r="V74" s="8">
        <f t="shared" si="17"/>
        <v>7.0066489001592777E-2</v>
      </c>
      <c r="W74" s="3"/>
      <c r="X74" s="7">
        <f t="shared" si="18"/>
        <v>10830.640000000014</v>
      </c>
      <c r="Y74" s="3"/>
      <c r="Z74" s="8">
        <f t="shared" si="19"/>
        <v>5.6346331641361207E-2</v>
      </c>
    </row>
    <row r="75" spans="1:26" s="69" customFormat="1" ht="15" hidden="1" customHeight="1" outlineLevel="2" x14ac:dyDescent="0.25">
      <c r="A75" s="25"/>
      <c r="B75" s="12" t="str">
        <f>CONCATENATE("          ","6004"," - ","STAFF HOURLY")</f>
        <v xml:space="preserve">          6004 - STAFF HOURLY</v>
      </c>
      <c r="C75" s="12"/>
      <c r="D75" s="7">
        <v>3355.54</v>
      </c>
      <c r="E75" s="3"/>
      <c r="F75" s="8">
        <f t="shared" si="12"/>
        <v>0.10124320527550616</v>
      </c>
      <c r="G75" s="3"/>
      <c r="H75" s="7">
        <v>6146.69</v>
      </c>
      <c r="I75" s="3"/>
      <c r="J75" s="8">
        <f t="shared" si="13"/>
        <v>9.6503604976866719E-2</v>
      </c>
      <c r="K75" s="3"/>
      <c r="L75" s="7">
        <f t="shared" si="14"/>
        <v>-2791.1499999999996</v>
      </c>
      <c r="M75" s="3"/>
      <c r="N75" s="8">
        <f t="shared" si="15"/>
        <v>-0.4540899248213266</v>
      </c>
      <c r="O75" s="12"/>
      <c r="P75" s="7">
        <v>65191.06</v>
      </c>
      <c r="Q75" s="3"/>
      <c r="R75" s="8">
        <f t="shared" si="16"/>
        <v>2.9163513097141349E-2</v>
      </c>
      <c r="S75" s="3"/>
      <c r="T75" s="7">
        <v>74445.429999999993</v>
      </c>
      <c r="U75" s="3"/>
      <c r="V75" s="8">
        <f t="shared" si="17"/>
        <v>2.7136880679276252E-2</v>
      </c>
      <c r="W75" s="3"/>
      <c r="X75" s="7">
        <f t="shared" si="18"/>
        <v>-9254.3699999999953</v>
      </c>
      <c r="Y75" s="3"/>
      <c r="Z75" s="8">
        <f t="shared" si="19"/>
        <v>-0.1243107871094303</v>
      </c>
    </row>
    <row r="76" spans="1:26" s="69" customFormat="1" ht="15" hidden="1" customHeight="1" outlineLevel="2" x14ac:dyDescent="0.25">
      <c r="A76" s="25"/>
      <c r="B76" s="12" t="str">
        <f>CONCATENATE("          ","6005"," - ","TEMPORARY WAGES-HOURLY")</f>
        <v xml:space="preserve">          6005 - TEMPORARY WAGES-HOURLY</v>
      </c>
      <c r="C76" s="12"/>
      <c r="D76" s="7"/>
      <c r="E76" s="3"/>
      <c r="F76" s="8">
        <f t="shared" si="12"/>
        <v>0</v>
      </c>
      <c r="G76" s="3"/>
      <c r="H76" s="7">
        <v>1870</v>
      </c>
      <c r="I76" s="3"/>
      <c r="J76" s="8">
        <f t="shared" si="13"/>
        <v>2.9359174011824377E-2</v>
      </c>
      <c r="K76" s="3"/>
      <c r="L76" s="7">
        <f t="shared" si="14"/>
        <v>-1870</v>
      </c>
      <c r="M76" s="3"/>
      <c r="N76" s="8">
        <f t="shared" si="15"/>
        <v>-1</v>
      </c>
      <c r="O76" s="12"/>
      <c r="P76" s="7">
        <v>14698.31</v>
      </c>
      <c r="Q76" s="3"/>
      <c r="R76" s="8">
        <f t="shared" si="16"/>
        <v>6.5753549058850036E-3</v>
      </c>
      <c r="S76" s="3"/>
      <c r="T76" s="7">
        <v>17555.16</v>
      </c>
      <c r="U76" s="3"/>
      <c r="V76" s="8">
        <f t="shared" si="17"/>
        <v>6.3992145955178627E-3</v>
      </c>
      <c r="W76" s="3"/>
      <c r="X76" s="7">
        <f t="shared" si="18"/>
        <v>-2856.8500000000004</v>
      </c>
      <c r="Y76" s="3"/>
      <c r="Z76" s="8">
        <f t="shared" si="19"/>
        <v>-0.16273562872682451</v>
      </c>
    </row>
    <row r="77" spans="1:26" s="69" customFormat="1" ht="15" hidden="1" customHeight="1" outlineLevel="2" x14ac:dyDescent="0.25">
      <c r="A77" s="25"/>
      <c r="B77" s="12" t="str">
        <f>CONCATENATE("          ","6006"," - ","TEMPORARY PART TIME")</f>
        <v xml:space="preserve">          6006 - TEMPORARY PART TIME</v>
      </c>
      <c r="C77" s="12"/>
      <c r="D77" s="7"/>
      <c r="E77" s="3"/>
      <c r="F77" s="8">
        <f t="shared" si="12"/>
        <v>0</v>
      </c>
      <c r="G77" s="3"/>
      <c r="H77" s="7">
        <v>411.75</v>
      </c>
      <c r="I77" s="3"/>
      <c r="J77" s="8">
        <f t="shared" si="13"/>
        <v>6.4645133151704209E-3</v>
      </c>
      <c r="K77" s="3"/>
      <c r="L77" s="7">
        <f t="shared" si="14"/>
        <v>-411.75</v>
      </c>
      <c r="M77" s="3"/>
      <c r="N77" s="8">
        <f t="shared" si="15"/>
        <v>-1</v>
      </c>
      <c r="O77" s="12"/>
      <c r="P77" s="7"/>
      <c r="Q77" s="3"/>
      <c r="R77" s="8">
        <f t="shared" si="16"/>
        <v>0</v>
      </c>
      <c r="S77" s="3"/>
      <c r="T77" s="7">
        <v>914.04</v>
      </c>
      <c r="U77" s="3"/>
      <c r="V77" s="8">
        <f t="shared" si="17"/>
        <v>3.3318626027260058E-4</v>
      </c>
      <c r="W77" s="3"/>
      <c r="X77" s="7">
        <f t="shared" si="18"/>
        <v>-914.04</v>
      </c>
      <c r="Y77" s="3"/>
      <c r="Z77" s="8">
        <f t="shared" si="19"/>
        <v>-1</v>
      </c>
    </row>
    <row r="78" spans="1:26" s="69" customFormat="1" ht="15" hidden="1" customHeight="1" outlineLevel="2" x14ac:dyDescent="0.25">
      <c r="A78" s="25"/>
      <c r="B78" s="12" t="str">
        <f>CONCATENATE("          ","6007"," - ","STUDENT HOURLY")</f>
        <v xml:space="preserve">          6007 - STUDENT HOURLY</v>
      </c>
      <c r="C78" s="12"/>
      <c r="D78" s="7">
        <v>1157.5999999999999</v>
      </c>
      <c r="E78" s="3"/>
      <c r="F78" s="8">
        <f t="shared" si="12"/>
        <v>3.4927056279146107E-2</v>
      </c>
      <c r="G78" s="3"/>
      <c r="H78" s="7">
        <v>1893.69</v>
      </c>
      <c r="I78" s="3"/>
      <c r="J78" s="8">
        <f t="shared" si="13"/>
        <v>2.9731109216284333E-2</v>
      </c>
      <c r="K78" s="3"/>
      <c r="L78" s="7">
        <f t="shared" si="14"/>
        <v>-736.09000000000015</v>
      </c>
      <c r="M78" s="3"/>
      <c r="N78" s="8">
        <f t="shared" si="15"/>
        <v>-0.38870670489890113</v>
      </c>
      <c r="O78" s="12"/>
      <c r="P78" s="7">
        <v>26868.33</v>
      </c>
      <c r="Q78" s="3"/>
      <c r="R78" s="8">
        <f t="shared" si="16"/>
        <v>1.2019667939949371E-2</v>
      </c>
      <c r="S78" s="3"/>
      <c r="T78" s="7">
        <v>25036.92</v>
      </c>
      <c r="U78" s="3"/>
      <c r="V78" s="8">
        <f t="shared" si="17"/>
        <v>9.1264690205508283E-3</v>
      </c>
      <c r="W78" s="3"/>
      <c r="X78" s="7">
        <f t="shared" si="18"/>
        <v>1831.4100000000035</v>
      </c>
      <c r="Y78" s="3"/>
      <c r="Z78" s="8">
        <f t="shared" si="19"/>
        <v>7.3148374480567241E-2</v>
      </c>
    </row>
    <row r="79" spans="1:26" s="69" customFormat="1" ht="15" hidden="1" customHeight="1" outlineLevel="2" x14ac:dyDescent="0.25">
      <c r="A79" s="25"/>
      <c r="B79" s="12" t="str">
        <f>CONCATENATE("          ","6008"," - ","STUDENT HOURLY-FICA EXEMPT")</f>
        <v xml:space="preserve">          6008 - STUDENT HOURLY-FICA EXEMPT</v>
      </c>
      <c r="C79" s="12"/>
      <c r="D79" s="7"/>
      <c r="E79" s="3"/>
      <c r="F79" s="8">
        <f t="shared" si="12"/>
        <v>0</v>
      </c>
      <c r="G79" s="3"/>
      <c r="H79" s="7"/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>
        <v>3966.48</v>
      </c>
      <c r="Q79" s="3"/>
      <c r="R79" s="8">
        <f t="shared" si="16"/>
        <v>1.7744226191374894E-3</v>
      </c>
      <c r="S79" s="3"/>
      <c r="T79" s="7">
        <v>967.26</v>
      </c>
      <c r="U79" s="3"/>
      <c r="V79" s="8">
        <f t="shared" si="17"/>
        <v>3.5258603793190192E-4</v>
      </c>
      <c r="W79" s="3"/>
      <c r="X79" s="7">
        <f t="shared" si="18"/>
        <v>2999.2200000000003</v>
      </c>
      <c r="Y79" s="3"/>
      <c r="Z79" s="8">
        <f t="shared" si="19"/>
        <v>3.100738167607469</v>
      </c>
    </row>
    <row r="80" spans="1:26" s="68" customFormat="1" ht="15" customHeight="1" outlineLevel="1" collapsed="1" x14ac:dyDescent="0.25">
      <c r="A80" s="26"/>
      <c r="B80" s="14" t="str">
        <f>CONCATENATE("     ","Advertising/Promo                                 ")</f>
        <v xml:space="preserve">     Advertising/Promo                                 </v>
      </c>
      <c r="C80" s="14"/>
      <c r="D80" s="2">
        <f>SUM(OSRRefD22_2x_0)</f>
        <v>29.4</v>
      </c>
      <c r="E80" s="2"/>
      <c r="F80" s="6">
        <f t="shared" si="12"/>
        <v>8.870555067440355E-4</v>
      </c>
      <c r="G80" s="2"/>
      <c r="H80" s="2">
        <f>SUM(OSRRefH22_2x_0)</f>
        <v>348.4</v>
      </c>
      <c r="I80" s="2"/>
      <c r="J80" s="6">
        <f t="shared" si="13"/>
        <v>5.4699124201709149E-3</v>
      </c>
      <c r="K80" s="2"/>
      <c r="L80" s="2">
        <f t="shared" si="14"/>
        <v>-319</v>
      </c>
      <c r="M80" s="2"/>
      <c r="N80" s="6">
        <f t="shared" si="15"/>
        <v>-0.91561423650975893</v>
      </c>
      <c r="O80" s="14"/>
      <c r="P80" s="2">
        <f>SUM(OSRRefP22_2x_0)</f>
        <v>965</v>
      </c>
      <c r="Q80" s="2"/>
      <c r="R80" s="6">
        <f t="shared" si="16"/>
        <v>4.3169707838377537E-4</v>
      </c>
      <c r="S80" s="2"/>
      <c r="T80" s="2">
        <f>SUM(OSRRefT22_2x_0)</f>
        <v>2380.9899999999998</v>
      </c>
      <c r="U80" s="2"/>
      <c r="V80" s="6">
        <f t="shared" si="17"/>
        <v>8.679195153893256E-4</v>
      </c>
      <c r="W80" s="2"/>
      <c r="X80" s="2">
        <f t="shared" si="18"/>
        <v>-1415.9899999999998</v>
      </c>
      <c r="Y80" s="2"/>
      <c r="Z80" s="6">
        <f t="shared" si="19"/>
        <v>-0.59470640363882243</v>
      </c>
    </row>
    <row r="81" spans="1:26" s="69" customFormat="1" ht="15" hidden="1" customHeight="1" outlineLevel="2" x14ac:dyDescent="0.25">
      <c r="A81" s="25"/>
      <c r="B81" s="12" t="str">
        <f>CONCATENATE("          ","6362"," - ","ADVERTISING EXPENSE")</f>
        <v xml:space="preserve">          6362 - ADVERTISING EXPENSE</v>
      </c>
      <c r="C81" s="12"/>
      <c r="D81" s="7">
        <v>29.4</v>
      </c>
      <c r="E81" s="3"/>
      <c r="F81" s="8">
        <f t="shared" si="12"/>
        <v>8.870555067440355E-4</v>
      </c>
      <c r="G81" s="3"/>
      <c r="H81" s="7">
        <v>348.4</v>
      </c>
      <c r="I81" s="3"/>
      <c r="J81" s="8">
        <f t="shared" si="13"/>
        <v>5.4699124201709149E-3</v>
      </c>
      <c r="K81" s="3"/>
      <c r="L81" s="7">
        <f t="shared" si="14"/>
        <v>-319</v>
      </c>
      <c r="M81" s="3"/>
      <c r="N81" s="8">
        <f t="shared" si="15"/>
        <v>-0.91561423650975893</v>
      </c>
      <c r="O81" s="12"/>
      <c r="P81" s="7">
        <v>965</v>
      </c>
      <c r="Q81" s="3"/>
      <c r="R81" s="8">
        <f t="shared" si="16"/>
        <v>4.3169707838377537E-4</v>
      </c>
      <c r="S81" s="3"/>
      <c r="T81" s="7">
        <v>2380.9899999999998</v>
      </c>
      <c r="U81" s="3"/>
      <c r="V81" s="8">
        <f t="shared" si="17"/>
        <v>8.679195153893256E-4</v>
      </c>
      <c r="W81" s="3"/>
      <c r="X81" s="7">
        <f t="shared" si="18"/>
        <v>-1415.9899999999998</v>
      </c>
      <c r="Y81" s="3"/>
      <c r="Z81" s="8">
        <f t="shared" si="19"/>
        <v>-0.59470640363882243</v>
      </c>
    </row>
    <row r="82" spans="1:26" s="68" customFormat="1" ht="15" customHeight="1" outlineLevel="1" collapsed="1" x14ac:dyDescent="0.25">
      <c r="A82" s="26"/>
      <c r="B82" s="14" t="str">
        <f>CONCATENATE("     ","Discounts and Markdowns                           ")</f>
        <v xml:space="preserve">     Discounts and Markdowns                           </v>
      </c>
      <c r="C82" s="14"/>
      <c r="D82" s="2">
        <f>SUM(OSRRefD22_3x_0)</f>
        <v>0</v>
      </c>
      <c r="E82" s="2"/>
      <c r="F82" s="6">
        <f t="shared" si="12"/>
        <v>0</v>
      </c>
      <c r="G82" s="2"/>
      <c r="H82" s="2">
        <f>SUM(OSRRefH22_3x_0)</f>
        <v>0</v>
      </c>
      <c r="I82" s="2"/>
      <c r="J82" s="6">
        <f t="shared" si="13"/>
        <v>0</v>
      </c>
      <c r="K82" s="2"/>
      <c r="L82" s="2">
        <f t="shared" si="14"/>
        <v>0</v>
      </c>
      <c r="M82" s="2"/>
      <c r="N82" s="6">
        <f t="shared" si="15"/>
        <v>0</v>
      </c>
      <c r="O82" s="14"/>
      <c r="P82" s="2">
        <f>SUM(OSRRefP22_3x_0)</f>
        <v>1.35</v>
      </c>
      <c r="Q82" s="2"/>
      <c r="R82" s="6">
        <f t="shared" si="16"/>
        <v>6.0392855525191372E-7</v>
      </c>
      <c r="S82" s="2"/>
      <c r="T82" s="2">
        <f>SUM(OSRRefT22_3x_0)</f>
        <v>0</v>
      </c>
      <c r="U82" s="2"/>
      <c r="V82" s="6">
        <f t="shared" si="17"/>
        <v>0</v>
      </c>
      <c r="W82" s="2"/>
      <c r="X82" s="2">
        <f t="shared" si="18"/>
        <v>1.35</v>
      </c>
      <c r="Y82" s="2"/>
      <c r="Z82" s="6">
        <f t="shared" si="19"/>
        <v>0</v>
      </c>
    </row>
    <row r="83" spans="1:26" s="69" customFormat="1" ht="15" hidden="1" customHeight="1" outlineLevel="2" x14ac:dyDescent="0.25">
      <c r="A83" s="25"/>
      <c r="B83" s="12" t="str">
        <f>CONCATENATE("          ","6382"," - ","DISCOUNTS/MARK DOWNS")</f>
        <v xml:space="preserve">          6382 - DISCOUNTS/MARK DOWNS</v>
      </c>
      <c r="C83" s="12"/>
      <c r="D83" s="7"/>
      <c r="E83" s="3"/>
      <c r="F83" s="8">
        <f t="shared" si="12"/>
        <v>0</v>
      </c>
      <c r="G83" s="3"/>
      <c r="H83" s="7">
        <v>0</v>
      </c>
      <c r="I83" s="3"/>
      <c r="J83" s="8">
        <f t="shared" si="13"/>
        <v>0</v>
      </c>
      <c r="K83" s="3"/>
      <c r="L83" s="7">
        <f t="shared" si="14"/>
        <v>0</v>
      </c>
      <c r="M83" s="3"/>
      <c r="N83" s="8">
        <f t="shared" si="15"/>
        <v>0</v>
      </c>
      <c r="O83" s="12"/>
      <c r="P83" s="7">
        <v>1.35</v>
      </c>
      <c r="Q83" s="3"/>
      <c r="R83" s="8">
        <f t="shared" si="16"/>
        <v>6.0392855525191372E-7</v>
      </c>
      <c r="S83" s="3"/>
      <c r="T83" s="7">
        <v>0</v>
      </c>
      <c r="U83" s="3"/>
      <c r="V83" s="8">
        <f t="shared" si="17"/>
        <v>0</v>
      </c>
      <c r="W83" s="3"/>
      <c r="X83" s="7">
        <f t="shared" si="18"/>
        <v>1.35</v>
      </c>
      <c r="Y83" s="3"/>
      <c r="Z83" s="8">
        <f t="shared" si="19"/>
        <v>0</v>
      </c>
    </row>
    <row r="84" spans="1:26" s="69" customFormat="1" ht="15" hidden="1" customHeight="1" outlineLevel="2" x14ac:dyDescent="0.25">
      <c r="A84" s="25"/>
      <c r="B84" s="12" t="str">
        <f>CONCATENATE("          ","9175"," - ","EARNED DISCOUNTS")</f>
        <v xml:space="preserve">          9175 - EARNED DISCOUNTS</v>
      </c>
      <c r="C84" s="12"/>
      <c r="D84" s="7"/>
      <c r="E84" s="3"/>
      <c r="F84" s="8">
        <f t="shared" si="12"/>
        <v>0</v>
      </c>
      <c r="G84" s="3"/>
      <c r="H84" s="7"/>
      <c r="I84" s="3"/>
      <c r="J84" s="8">
        <f t="shared" si="13"/>
        <v>0</v>
      </c>
      <c r="K84" s="3"/>
      <c r="L84" s="7">
        <f t="shared" si="14"/>
        <v>0</v>
      </c>
      <c r="M84" s="3"/>
      <c r="N84" s="8">
        <f t="shared" si="15"/>
        <v>0</v>
      </c>
      <c r="O84" s="12"/>
      <c r="P84" s="7"/>
      <c r="Q84" s="3"/>
      <c r="R84" s="8">
        <f t="shared" si="16"/>
        <v>0</v>
      </c>
      <c r="S84" s="3"/>
      <c r="T84" s="7">
        <v>0</v>
      </c>
      <c r="U84" s="3"/>
      <c r="V84" s="8">
        <f t="shared" si="17"/>
        <v>0</v>
      </c>
      <c r="W84" s="3"/>
      <c r="X84" s="7">
        <f t="shared" si="18"/>
        <v>0</v>
      </c>
      <c r="Y84" s="3"/>
      <c r="Z84" s="8">
        <f t="shared" si="19"/>
        <v>0</v>
      </c>
    </row>
    <row r="85" spans="1:26" s="68" customFormat="1" ht="15" customHeight="1" outlineLevel="1" collapsed="1" x14ac:dyDescent="0.25">
      <c r="A85" s="26"/>
      <c r="B85" s="14" t="str">
        <f>CONCATENATE("     ","Employees' Appreciation                           ")</f>
        <v xml:space="preserve">     Employees' Appreciation                           </v>
      </c>
      <c r="C85" s="14"/>
      <c r="D85" s="2">
        <f>SUM(OSRRefD22_4x_0)</f>
        <v>0</v>
      </c>
      <c r="E85" s="2"/>
      <c r="F85" s="6">
        <f t="shared" si="12"/>
        <v>0</v>
      </c>
      <c r="G85" s="2"/>
      <c r="H85" s="2">
        <f>SUM(OSRRefH22_4x_0)</f>
        <v>0</v>
      </c>
      <c r="I85" s="2"/>
      <c r="J85" s="6">
        <f t="shared" si="13"/>
        <v>0</v>
      </c>
      <c r="K85" s="2"/>
      <c r="L85" s="2">
        <f t="shared" si="14"/>
        <v>0</v>
      </c>
      <c r="M85" s="2"/>
      <c r="N85" s="6">
        <f t="shared" si="15"/>
        <v>0</v>
      </c>
      <c r="O85" s="14"/>
      <c r="P85" s="2">
        <f>SUM(OSRRefP22_4x_0)</f>
        <v>0</v>
      </c>
      <c r="Q85" s="2"/>
      <c r="R85" s="6">
        <f t="shared" si="16"/>
        <v>0</v>
      </c>
      <c r="S85" s="2"/>
      <c r="T85" s="2">
        <f>SUM(OSRRefT22_4x_0)</f>
        <v>107.7</v>
      </c>
      <c r="U85" s="2"/>
      <c r="V85" s="6">
        <f t="shared" si="17"/>
        <v>3.9258851069273868E-5</v>
      </c>
      <c r="W85" s="2"/>
      <c r="X85" s="2">
        <f t="shared" si="18"/>
        <v>-107.7</v>
      </c>
      <c r="Y85" s="2"/>
      <c r="Z85" s="6">
        <f t="shared" si="19"/>
        <v>-1</v>
      </c>
    </row>
    <row r="86" spans="1:26" s="69" customFormat="1" ht="15" hidden="1" customHeight="1" outlineLevel="2" x14ac:dyDescent="0.25">
      <c r="A86" s="25"/>
      <c r="B86" s="12" t="str">
        <f>CONCATENATE("          ","6277"," - ","EMPLOYEE APPRECIATION")</f>
        <v xml:space="preserve">          6277 - EMPLOYEE APPRECIATION</v>
      </c>
      <c r="C86" s="12"/>
      <c r="D86" s="7"/>
      <c r="E86" s="3"/>
      <c r="F86" s="8">
        <f t="shared" si="12"/>
        <v>0</v>
      </c>
      <c r="G86" s="3"/>
      <c r="H86" s="7"/>
      <c r="I86" s="3"/>
      <c r="J86" s="8">
        <f t="shared" si="13"/>
        <v>0</v>
      </c>
      <c r="K86" s="3"/>
      <c r="L86" s="7">
        <f t="shared" si="14"/>
        <v>0</v>
      </c>
      <c r="M86" s="3"/>
      <c r="N86" s="8">
        <f t="shared" si="15"/>
        <v>0</v>
      </c>
      <c r="O86" s="12"/>
      <c r="P86" s="7"/>
      <c r="Q86" s="3"/>
      <c r="R86" s="8">
        <f t="shared" si="16"/>
        <v>0</v>
      </c>
      <c r="S86" s="3"/>
      <c r="T86" s="7">
        <v>107.7</v>
      </c>
      <c r="U86" s="3"/>
      <c r="V86" s="8">
        <f t="shared" si="17"/>
        <v>3.9258851069273868E-5</v>
      </c>
      <c r="W86" s="3"/>
      <c r="X86" s="7">
        <f t="shared" si="18"/>
        <v>-107.7</v>
      </c>
      <c r="Y86" s="3"/>
      <c r="Z86" s="8">
        <f t="shared" si="19"/>
        <v>-1</v>
      </c>
    </row>
    <row r="87" spans="1:26" s="68" customFormat="1" ht="15" customHeight="1" outlineLevel="1" collapsed="1" x14ac:dyDescent="0.25">
      <c r="A87" s="26"/>
      <c r="B87" s="14" t="str">
        <f>CONCATENATE("     ","Equipment Rental                                  ")</f>
        <v xml:space="preserve">     Equipment Rental                                  </v>
      </c>
      <c r="C87" s="14"/>
      <c r="D87" s="2">
        <f>SUM(OSRRefD22_5x_0)</f>
        <v>91.26</v>
      </c>
      <c r="E87" s="2"/>
      <c r="F87" s="6">
        <f t="shared" si="12"/>
        <v>2.7534927056279148E-3</v>
      </c>
      <c r="G87" s="2"/>
      <c r="H87" s="2">
        <f>SUM(OSRRefH22_5x_0)</f>
        <v>91.26</v>
      </c>
      <c r="I87" s="2"/>
      <c r="J87" s="6">
        <f t="shared" si="13"/>
        <v>1.4327904921492473E-3</v>
      </c>
      <c r="K87" s="2"/>
      <c r="L87" s="2">
        <f t="shared" si="14"/>
        <v>0</v>
      </c>
      <c r="M87" s="2"/>
      <c r="N87" s="6">
        <f t="shared" si="15"/>
        <v>0</v>
      </c>
      <c r="O87" s="14"/>
      <c r="P87" s="2">
        <f>SUM(OSRRefP22_5x_0)</f>
        <v>1003.86</v>
      </c>
      <c r="Q87" s="2"/>
      <c r="R87" s="6">
        <f t="shared" si="16"/>
        <v>4.4908127368532304E-4</v>
      </c>
      <c r="S87" s="2"/>
      <c r="T87" s="2">
        <f>SUM(OSRRefT22_5x_0)</f>
        <v>1003.86</v>
      </c>
      <c r="U87" s="2"/>
      <c r="V87" s="6">
        <f t="shared" si="17"/>
        <v>3.6592748592758831E-4</v>
      </c>
      <c r="W87" s="2"/>
      <c r="X87" s="2">
        <f t="shared" si="18"/>
        <v>0</v>
      </c>
      <c r="Y87" s="2"/>
      <c r="Z87" s="6">
        <f t="shared" si="19"/>
        <v>0</v>
      </c>
    </row>
    <row r="88" spans="1:26" s="69" customFormat="1" ht="15" hidden="1" customHeight="1" outlineLevel="2" x14ac:dyDescent="0.25">
      <c r="A88" s="25"/>
      <c r="B88" s="12" t="str">
        <f>CONCATENATE("          ","6351"," - ","EQUIPMENT RENTAL")</f>
        <v xml:space="preserve">          6351 - EQUIPMENT RENTAL</v>
      </c>
      <c r="C88" s="12"/>
      <c r="D88" s="7">
        <v>91.26</v>
      </c>
      <c r="E88" s="3"/>
      <c r="F88" s="8">
        <f t="shared" si="12"/>
        <v>2.7534927056279148E-3</v>
      </c>
      <c r="G88" s="3"/>
      <c r="H88" s="7">
        <v>91.26</v>
      </c>
      <c r="I88" s="3"/>
      <c r="J88" s="8">
        <f t="shared" si="13"/>
        <v>1.4327904921492473E-3</v>
      </c>
      <c r="K88" s="3"/>
      <c r="L88" s="7">
        <f t="shared" si="14"/>
        <v>0</v>
      </c>
      <c r="M88" s="3"/>
      <c r="N88" s="8">
        <f t="shared" si="15"/>
        <v>0</v>
      </c>
      <c r="O88" s="12"/>
      <c r="P88" s="7">
        <v>1003.86</v>
      </c>
      <c r="Q88" s="3"/>
      <c r="R88" s="8">
        <f t="shared" si="16"/>
        <v>4.4908127368532304E-4</v>
      </c>
      <c r="S88" s="3"/>
      <c r="T88" s="7">
        <v>1003.86</v>
      </c>
      <c r="U88" s="3"/>
      <c r="V88" s="8">
        <f t="shared" si="17"/>
        <v>3.6592748592758831E-4</v>
      </c>
      <c r="W88" s="3"/>
      <c r="X88" s="7">
        <f t="shared" si="18"/>
        <v>0</v>
      </c>
      <c r="Y88" s="3"/>
      <c r="Z88" s="8">
        <f t="shared" si="19"/>
        <v>0</v>
      </c>
    </row>
    <row r="89" spans="1:26" s="68" customFormat="1" ht="15" customHeight="1" outlineLevel="1" collapsed="1" x14ac:dyDescent="0.25">
      <c r="A89" s="26"/>
      <c r="B89" s="14" t="str">
        <f>CONCATENATE("     ","Freight out/Postage                               ")</f>
        <v xml:space="preserve">     Freight out/Postage                               </v>
      </c>
      <c r="C89" s="14"/>
      <c r="D89" s="2">
        <f>SUM(OSRRefD22_6x_0)</f>
        <v>814.34</v>
      </c>
      <c r="E89" s="2"/>
      <c r="F89" s="6">
        <f t="shared" si="12"/>
        <v>2.4570230658569319E-2</v>
      </c>
      <c r="G89" s="2"/>
      <c r="H89" s="2">
        <f>SUM(OSRRefH22_6x_0)</f>
        <v>2675.75</v>
      </c>
      <c r="I89" s="2"/>
      <c r="J89" s="6">
        <f t="shared" si="13"/>
        <v>4.2009523990448702E-2</v>
      </c>
      <c r="K89" s="2"/>
      <c r="L89" s="2">
        <f t="shared" si="14"/>
        <v>-1861.4099999999999</v>
      </c>
      <c r="M89" s="2"/>
      <c r="N89" s="6">
        <f t="shared" si="15"/>
        <v>-0.69565916098290193</v>
      </c>
      <c r="O89" s="14"/>
      <c r="P89" s="2">
        <f>SUM(OSRRefP22_6x_0)</f>
        <v>13206.12</v>
      </c>
      <c r="Q89" s="2"/>
      <c r="R89" s="6">
        <f t="shared" si="16"/>
        <v>5.9078170163580765E-3</v>
      </c>
      <c r="S89" s="2"/>
      <c r="T89" s="2">
        <f>SUM(OSRRefT22_6x_0)</f>
        <v>26453.74</v>
      </c>
      <c r="U89" s="2"/>
      <c r="V89" s="6">
        <f t="shared" si="17"/>
        <v>9.6429288661587093E-3</v>
      </c>
      <c r="W89" s="2"/>
      <c r="X89" s="2">
        <f t="shared" si="18"/>
        <v>-13247.62</v>
      </c>
      <c r="Y89" s="2"/>
      <c r="Z89" s="6">
        <f t="shared" si="19"/>
        <v>-0.50078438814322668</v>
      </c>
    </row>
    <row r="90" spans="1:26" s="69" customFormat="1" ht="15" hidden="1" customHeight="1" outlineLevel="2" x14ac:dyDescent="0.25">
      <c r="A90" s="25"/>
      <c r="B90" s="12" t="str">
        <f>CONCATENATE("          ","6305"," - ","FREIGHT OUT")</f>
        <v xml:space="preserve">          6305 - FREIGHT OUT</v>
      </c>
      <c r="C90" s="12"/>
      <c r="D90" s="7">
        <v>814.34</v>
      </c>
      <c r="E90" s="3"/>
      <c r="F90" s="8">
        <f t="shared" si="12"/>
        <v>2.4570230658569319E-2</v>
      </c>
      <c r="G90" s="3"/>
      <c r="H90" s="7">
        <v>2675.75</v>
      </c>
      <c r="I90" s="3"/>
      <c r="J90" s="8">
        <f t="shared" si="13"/>
        <v>4.2009523990448702E-2</v>
      </c>
      <c r="K90" s="3"/>
      <c r="L90" s="7">
        <f t="shared" si="14"/>
        <v>-1861.4099999999999</v>
      </c>
      <c r="M90" s="3"/>
      <c r="N90" s="8">
        <f t="shared" si="15"/>
        <v>-0.69565916098290193</v>
      </c>
      <c r="O90" s="12"/>
      <c r="P90" s="7">
        <v>13204.53</v>
      </c>
      <c r="Q90" s="3"/>
      <c r="R90" s="8">
        <f t="shared" si="16"/>
        <v>5.9071057227263347E-3</v>
      </c>
      <c r="S90" s="3"/>
      <c r="T90" s="7">
        <v>26453.24</v>
      </c>
      <c r="U90" s="3"/>
      <c r="V90" s="8">
        <f t="shared" si="17"/>
        <v>9.6427466059401876E-3</v>
      </c>
      <c r="W90" s="3"/>
      <c r="X90" s="7">
        <f t="shared" si="18"/>
        <v>-13248.710000000001</v>
      </c>
      <c r="Y90" s="3"/>
      <c r="Z90" s="8">
        <f t="shared" si="19"/>
        <v>-0.50083505838982301</v>
      </c>
    </row>
    <row r="91" spans="1:26" s="69" customFormat="1" ht="15" hidden="1" customHeight="1" outlineLevel="2" x14ac:dyDescent="0.25">
      <c r="A91" s="25"/>
      <c r="B91" s="12" t="str">
        <f>CONCATENATE("          ","6307"," - ","POSTAGE")</f>
        <v xml:space="preserve">          6307 - POSTAGE</v>
      </c>
      <c r="C91" s="12"/>
      <c r="D91" s="7"/>
      <c r="E91" s="3"/>
      <c r="F91" s="8">
        <f t="shared" si="12"/>
        <v>0</v>
      </c>
      <c r="G91" s="3"/>
      <c r="H91" s="7"/>
      <c r="I91" s="3"/>
      <c r="J91" s="8">
        <f t="shared" si="13"/>
        <v>0</v>
      </c>
      <c r="K91" s="3"/>
      <c r="L91" s="7">
        <f t="shared" si="14"/>
        <v>0</v>
      </c>
      <c r="M91" s="3"/>
      <c r="N91" s="8">
        <f t="shared" si="15"/>
        <v>0</v>
      </c>
      <c r="O91" s="12"/>
      <c r="P91" s="7">
        <v>1.59</v>
      </c>
      <c r="Q91" s="3"/>
      <c r="R91" s="8">
        <f t="shared" si="16"/>
        <v>7.1129363174114287E-7</v>
      </c>
      <c r="S91" s="3"/>
      <c r="T91" s="7">
        <v>0.5</v>
      </c>
      <c r="U91" s="3"/>
      <c r="V91" s="8">
        <f t="shared" si="17"/>
        <v>1.8226021852030578E-7</v>
      </c>
      <c r="W91" s="3"/>
      <c r="X91" s="7">
        <f t="shared" si="18"/>
        <v>1.0900000000000001</v>
      </c>
      <c r="Y91" s="3"/>
      <c r="Z91" s="8">
        <f t="shared" si="19"/>
        <v>2.1800000000000002</v>
      </c>
    </row>
    <row r="92" spans="1:26" s="68" customFormat="1" ht="15" customHeight="1" outlineLevel="1" collapsed="1" x14ac:dyDescent="0.25">
      <c r="A92" s="26"/>
      <c r="B92" s="14" t="str">
        <f>CONCATENATE("     ","General                                           ")</f>
        <v xml:space="preserve">     General                                           </v>
      </c>
      <c r="C92" s="14"/>
      <c r="D92" s="2">
        <f>SUM(OSRRefD22_7x_0)</f>
        <v>0</v>
      </c>
      <c r="E92" s="2"/>
      <c r="F92" s="6">
        <f t="shared" si="12"/>
        <v>0</v>
      </c>
      <c r="G92" s="2"/>
      <c r="H92" s="2">
        <f>SUM(OSRRefH22_7x_0)</f>
        <v>0</v>
      </c>
      <c r="I92" s="2"/>
      <c r="J92" s="6">
        <f t="shared" si="13"/>
        <v>0</v>
      </c>
      <c r="K92" s="2"/>
      <c r="L92" s="2">
        <f t="shared" si="14"/>
        <v>0</v>
      </c>
      <c r="M92" s="2"/>
      <c r="N92" s="6">
        <f t="shared" si="15"/>
        <v>0</v>
      </c>
      <c r="O92" s="14"/>
      <c r="P92" s="2">
        <f>SUM(OSRRefP22_7x_0)</f>
        <v>0</v>
      </c>
      <c r="Q92" s="2"/>
      <c r="R92" s="6">
        <f t="shared" si="16"/>
        <v>0</v>
      </c>
      <c r="S92" s="2"/>
      <c r="T92" s="2">
        <f>SUM(OSRRefT22_7x_0)</f>
        <v>-1043.02</v>
      </c>
      <c r="U92" s="2"/>
      <c r="V92" s="6">
        <f t="shared" si="17"/>
        <v>-3.8020210624209867E-4</v>
      </c>
      <c r="W92" s="2"/>
      <c r="X92" s="2">
        <f t="shared" si="18"/>
        <v>1043.02</v>
      </c>
      <c r="Y92" s="2"/>
      <c r="Z92" s="6">
        <f t="shared" si="19"/>
        <v>-1</v>
      </c>
    </row>
    <row r="93" spans="1:26" s="69" customFormat="1" ht="15" hidden="1" customHeight="1" outlineLevel="2" x14ac:dyDescent="0.25">
      <c r="A93" s="25"/>
      <c r="B93" s="12" t="str">
        <f>CONCATENATE("          ","6279"," - ","GENERAL EXPENSE")</f>
        <v xml:space="preserve">          6279 - GENERAL EXPENSE</v>
      </c>
      <c r="C93" s="12"/>
      <c r="D93" s="7"/>
      <c r="E93" s="3"/>
      <c r="F93" s="8">
        <f t="shared" ref="F93:F112" si="20">IF(D$12=0,0,D93/D$12)</f>
        <v>0</v>
      </c>
      <c r="G93" s="3"/>
      <c r="H93" s="7"/>
      <c r="I93" s="3"/>
      <c r="J93" s="8">
        <f t="shared" ref="J93:J112" si="21">IF(H$12=0,0,H93/H$12)</f>
        <v>0</v>
      </c>
      <c r="K93" s="3"/>
      <c r="L93" s="7">
        <f t="shared" ref="L93:L112" si="22">+D93-H93</f>
        <v>0</v>
      </c>
      <c r="M93" s="3"/>
      <c r="N93" s="8">
        <f t="shared" ref="N93:N112" si="23">IF(H93=0,0,L93/H93)</f>
        <v>0</v>
      </c>
      <c r="O93" s="12"/>
      <c r="P93" s="7"/>
      <c r="Q93" s="3"/>
      <c r="R93" s="8">
        <f t="shared" ref="R93:R112" si="24">IF(P$12=0,0,P93/P$12)</f>
        <v>0</v>
      </c>
      <c r="S93" s="3"/>
      <c r="T93" s="7">
        <v>-1043.02</v>
      </c>
      <c r="U93" s="3"/>
      <c r="V93" s="8">
        <f t="shared" ref="V93:V112" si="25">IF(T$12=0,0,T93/T$12)</f>
        <v>-3.8020210624209867E-4</v>
      </c>
      <c r="W93" s="3"/>
      <c r="X93" s="7">
        <f t="shared" ref="X93:X112" si="26">+P93-T93</f>
        <v>1043.02</v>
      </c>
      <c r="Y93" s="3"/>
      <c r="Z93" s="8">
        <f t="shared" ref="Z93:Z112" si="27">IF(T93=0,0,X93/T93)</f>
        <v>-1</v>
      </c>
    </row>
    <row r="94" spans="1:26" s="68" customFormat="1" ht="15" customHeight="1" outlineLevel="1" collapsed="1" x14ac:dyDescent="0.25">
      <c r="A94" s="26"/>
      <c r="B94" s="14" t="str">
        <f>CONCATENATE("     ","Inventory Adjustment                              ")</f>
        <v xml:space="preserve">     Inventory Adjustment                              </v>
      </c>
      <c r="C94" s="14"/>
      <c r="D94" s="2">
        <f>SUM(OSRRefD22_8x_0)</f>
        <v>1000</v>
      </c>
      <c r="E94" s="2"/>
      <c r="F94" s="6">
        <f t="shared" si="20"/>
        <v>3.0171956011701889E-2</v>
      </c>
      <c r="G94" s="2"/>
      <c r="H94" s="2">
        <f>SUM(OSRRefH22_8x_0)</f>
        <v>1000</v>
      </c>
      <c r="I94" s="2"/>
      <c r="J94" s="6">
        <f t="shared" si="21"/>
        <v>1.5700093054451539E-2</v>
      </c>
      <c r="K94" s="2"/>
      <c r="L94" s="2">
        <f t="shared" si="22"/>
        <v>0</v>
      </c>
      <c r="M94" s="2"/>
      <c r="N94" s="6">
        <f t="shared" si="23"/>
        <v>0</v>
      </c>
      <c r="O94" s="14"/>
      <c r="P94" s="2">
        <f>SUM(OSRRefP22_8x_0)</f>
        <v>15000</v>
      </c>
      <c r="Q94" s="2"/>
      <c r="R94" s="6">
        <f t="shared" si="24"/>
        <v>6.7103172805768191E-3</v>
      </c>
      <c r="S94" s="2"/>
      <c r="T94" s="2">
        <f>SUM(OSRRefT22_8x_0)</f>
        <v>16000</v>
      </c>
      <c r="U94" s="2"/>
      <c r="V94" s="6">
        <f t="shared" si="25"/>
        <v>5.8323269926497849E-3</v>
      </c>
      <c r="W94" s="2"/>
      <c r="X94" s="2">
        <f t="shared" si="26"/>
        <v>-1000</v>
      </c>
      <c r="Y94" s="2"/>
      <c r="Z94" s="6">
        <f t="shared" si="27"/>
        <v>-6.25E-2</v>
      </c>
    </row>
    <row r="95" spans="1:26" s="69" customFormat="1" ht="15" hidden="1" customHeight="1" outlineLevel="2" x14ac:dyDescent="0.25">
      <c r="A95" s="25"/>
      <c r="B95" s="12" t="str">
        <f>CONCATENATE("          ","6408"," - ","INVENTORY ADJUSTMENT")</f>
        <v xml:space="preserve">          6408 - INVENTORY ADJUSTMENT</v>
      </c>
      <c r="C95" s="12"/>
      <c r="D95" s="7">
        <v>1000</v>
      </c>
      <c r="E95" s="3"/>
      <c r="F95" s="8">
        <f t="shared" si="20"/>
        <v>3.0171956011701889E-2</v>
      </c>
      <c r="G95" s="3"/>
      <c r="H95" s="7">
        <v>1000</v>
      </c>
      <c r="I95" s="3"/>
      <c r="J95" s="8">
        <f t="shared" si="21"/>
        <v>1.5700093054451539E-2</v>
      </c>
      <c r="K95" s="3"/>
      <c r="L95" s="7">
        <f t="shared" si="22"/>
        <v>0</v>
      </c>
      <c r="M95" s="3"/>
      <c r="N95" s="8">
        <f t="shared" si="23"/>
        <v>0</v>
      </c>
      <c r="O95" s="12"/>
      <c r="P95" s="7">
        <v>15000</v>
      </c>
      <c r="Q95" s="3"/>
      <c r="R95" s="8">
        <f t="shared" si="24"/>
        <v>6.7103172805768191E-3</v>
      </c>
      <c r="S95" s="3"/>
      <c r="T95" s="7">
        <v>16000</v>
      </c>
      <c r="U95" s="3"/>
      <c r="V95" s="8">
        <f t="shared" si="25"/>
        <v>5.8323269926497849E-3</v>
      </c>
      <c r="W95" s="3"/>
      <c r="X95" s="7">
        <f t="shared" si="26"/>
        <v>-1000</v>
      </c>
      <c r="Y95" s="3"/>
      <c r="Z95" s="8">
        <f t="shared" si="27"/>
        <v>-6.25E-2</v>
      </c>
    </row>
    <row r="96" spans="1:26" s="68" customFormat="1" ht="15" customHeight="1" outlineLevel="1" collapsed="1" x14ac:dyDescent="0.25">
      <c r="A96" s="26"/>
      <c r="B96" s="14" t="str">
        <f>CONCATENATE("     ","Repair and Maintenance                            ")</f>
        <v xml:space="preserve">     Repair and Maintenance                            </v>
      </c>
      <c r="C96" s="14"/>
      <c r="D96" s="2">
        <f>SUM(OSRRefD22_9x_0)</f>
        <v>21.85</v>
      </c>
      <c r="E96" s="2"/>
      <c r="F96" s="6">
        <f t="shared" si="20"/>
        <v>6.5925723885568632E-4</v>
      </c>
      <c r="G96" s="2"/>
      <c r="H96" s="2">
        <f>SUM(OSRRefH22_9x_0)</f>
        <v>14.74</v>
      </c>
      <c r="I96" s="2"/>
      <c r="J96" s="6">
        <f t="shared" si="21"/>
        <v>2.3141937162261567E-4</v>
      </c>
      <c r="K96" s="2"/>
      <c r="L96" s="2">
        <f t="shared" si="22"/>
        <v>7.1100000000000012</v>
      </c>
      <c r="M96" s="2"/>
      <c r="N96" s="6">
        <f t="shared" si="23"/>
        <v>0.4823609226594302</v>
      </c>
      <c r="O96" s="14"/>
      <c r="P96" s="2">
        <f>SUM(OSRRefP22_9x_0)</f>
        <v>6084.25</v>
      </c>
      <c r="Q96" s="2"/>
      <c r="R96" s="6">
        <f t="shared" si="24"/>
        <v>2.7218165276233007E-3</v>
      </c>
      <c r="S96" s="2"/>
      <c r="T96" s="2">
        <f>SUM(OSRRefT22_9x_0)</f>
        <v>476.99</v>
      </c>
      <c r="U96" s="2"/>
      <c r="V96" s="6">
        <f t="shared" si="25"/>
        <v>1.7387260326400133E-4</v>
      </c>
      <c r="W96" s="2"/>
      <c r="X96" s="2">
        <f t="shared" si="26"/>
        <v>5607.26</v>
      </c>
      <c r="Y96" s="2"/>
      <c r="Z96" s="6">
        <f t="shared" si="27"/>
        <v>11.755508501226441</v>
      </c>
    </row>
    <row r="97" spans="1:26" s="69" customFormat="1" ht="15" hidden="1" customHeight="1" outlineLevel="2" x14ac:dyDescent="0.25">
      <c r="A97" s="25"/>
      <c r="B97" s="12" t="str">
        <f>CONCATENATE("          ","6371"," - ","COMPUTER SOFTWARE MAINTENANCE")</f>
        <v xml:space="preserve">          6371 - COMPUTER SOFTWARE MAINTENANCE</v>
      </c>
      <c r="C97" s="12"/>
      <c r="D97" s="7"/>
      <c r="E97" s="3"/>
      <c r="F97" s="8">
        <f t="shared" si="20"/>
        <v>0</v>
      </c>
      <c r="G97" s="3"/>
      <c r="H97" s="7"/>
      <c r="I97" s="3"/>
      <c r="J97" s="8">
        <f t="shared" si="21"/>
        <v>0</v>
      </c>
      <c r="K97" s="3"/>
      <c r="L97" s="7">
        <f t="shared" si="22"/>
        <v>0</v>
      </c>
      <c r="M97" s="3"/>
      <c r="N97" s="8">
        <f t="shared" si="23"/>
        <v>0</v>
      </c>
      <c r="O97" s="12"/>
      <c r="P97" s="7">
        <v>5775</v>
      </c>
      <c r="Q97" s="3"/>
      <c r="R97" s="8">
        <f t="shared" si="24"/>
        <v>2.5834721530220753E-3</v>
      </c>
      <c r="S97" s="3"/>
      <c r="T97" s="7"/>
      <c r="U97" s="3"/>
      <c r="V97" s="8">
        <f t="shared" si="25"/>
        <v>0</v>
      </c>
      <c r="W97" s="3"/>
      <c r="X97" s="7">
        <f t="shared" si="26"/>
        <v>5775</v>
      </c>
      <c r="Y97" s="3"/>
      <c r="Z97" s="8">
        <f t="shared" si="27"/>
        <v>0</v>
      </c>
    </row>
    <row r="98" spans="1:26" s="69" customFormat="1" ht="15" hidden="1" customHeight="1" outlineLevel="2" x14ac:dyDescent="0.25">
      <c r="A98" s="25"/>
      <c r="B98" s="12" t="str">
        <f>CONCATENATE("          ","6373"," - ","MAINTENANCE CONTRACTS")</f>
        <v xml:space="preserve">          6373 - MAINTENANCE CONTRACTS</v>
      </c>
      <c r="C98" s="12"/>
      <c r="D98" s="7">
        <v>21.85</v>
      </c>
      <c r="E98" s="3"/>
      <c r="F98" s="8">
        <f t="shared" si="20"/>
        <v>6.5925723885568632E-4</v>
      </c>
      <c r="G98" s="3"/>
      <c r="H98" s="7">
        <v>14.74</v>
      </c>
      <c r="I98" s="3"/>
      <c r="J98" s="8">
        <f t="shared" si="21"/>
        <v>2.3141937162261567E-4</v>
      </c>
      <c r="K98" s="3"/>
      <c r="L98" s="7">
        <f t="shared" si="22"/>
        <v>7.1100000000000012</v>
      </c>
      <c r="M98" s="3"/>
      <c r="N98" s="8">
        <f t="shared" si="23"/>
        <v>0.4823609226594302</v>
      </c>
      <c r="O98" s="12"/>
      <c r="P98" s="7">
        <v>171.83</v>
      </c>
      <c r="Q98" s="3"/>
      <c r="R98" s="8">
        <f t="shared" si="24"/>
        <v>7.6868921221434324E-5</v>
      </c>
      <c r="S98" s="3"/>
      <c r="T98" s="7">
        <v>219.48</v>
      </c>
      <c r="U98" s="3"/>
      <c r="V98" s="8">
        <f t="shared" si="25"/>
        <v>8.0004945521673423E-5</v>
      </c>
      <c r="W98" s="3"/>
      <c r="X98" s="7">
        <f t="shared" si="26"/>
        <v>-47.649999999999977</v>
      </c>
      <c r="Y98" s="3"/>
      <c r="Z98" s="8">
        <f t="shared" si="27"/>
        <v>-0.21710406415163103</v>
      </c>
    </row>
    <row r="99" spans="1:26" s="69" customFormat="1" ht="15" hidden="1" customHeight="1" outlineLevel="2" x14ac:dyDescent="0.25">
      <c r="A99" s="25"/>
      <c r="B99" s="12" t="str">
        <f>CONCATENATE("          ","6375"," - ","OUTSIDE REPAIRS &amp; MAINTENANCE")</f>
        <v xml:space="preserve">          6375 - OUTSIDE REPAIRS &amp; MAINTENANCE</v>
      </c>
      <c r="C99" s="12"/>
      <c r="D99" s="7"/>
      <c r="E99" s="3"/>
      <c r="F99" s="8">
        <f t="shared" si="20"/>
        <v>0</v>
      </c>
      <c r="G99" s="3"/>
      <c r="H99" s="7"/>
      <c r="I99" s="3"/>
      <c r="J99" s="8">
        <f t="shared" si="21"/>
        <v>0</v>
      </c>
      <c r="K99" s="3"/>
      <c r="L99" s="7">
        <f t="shared" si="22"/>
        <v>0</v>
      </c>
      <c r="M99" s="3"/>
      <c r="N99" s="8">
        <f t="shared" si="23"/>
        <v>0</v>
      </c>
      <c r="O99" s="12"/>
      <c r="P99" s="7">
        <v>137.41999999999999</v>
      </c>
      <c r="Q99" s="3"/>
      <c r="R99" s="8">
        <f t="shared" si="24"/>
        <v>6.1475453379791097E-5</v>
      </c>
      <c r="S99" s="3"/>
      <c r="T99" s="7">
        <v>257.51</v>
      </c>
      <c r="U99" s="3"/>
      <c r="V99" s="8">
        <f t="shared" si="25"/>
        <v>9.3867657742327876E-5</v>
      </c>
      <c r="W99" s="3"/>
      <c r="X99" s="7">
        <f t="shared" si="26"/>
        <v>-120.09</v>
      </c>
      <c r="Y99" s="3"/>
      <c r="Z99" s="8">
        <f t="shared" si="27"/>
        <v>-0.46635082132732714</v>
      </c>
    </row>
    <row r="100" spans="1:26" s="68" customFormat="1" ht="15" customHeight="1" outlineLevel="1" collapsed="1" x14ac:dyDescent="0.25">
      <c r="A100" s="26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SUM(OSRRefD22_10x_0)</f>
        <v>1587.59</v>
      </c>
      <c r="E100" s="2"/>
      <c r="F100" s="6">
        <f t="shared" si="20"/>
        <v>4.7900695644617804E-2</v>
      </c>
      <c r="G100" s="2"/>
      <c r="H100" s="2">
        <f>SUM(OSRRefH22_10x_0)</f>
        <v>554.32000000000005</v>
      </c>
      <c r="I100" s="2"/>
      <c r="J100" s="6">
        <f t="shared" si="21"/>
        <v>8.7028755819435772E-3</v>
      </c>
      <c r="K100" s="2"/>
      <c r="L100" s="2">
        <f t="shared" si="22"/>
        <v>1033.27</v>
      </c>
      <c r="M100" s="2"/>
      <c r="N100" s="6">
        <f t="shared" si="23"/>
        <v>1.8640316062923941</v>
      </c>
      <c r="O100" s="14"/>
      <c r="P100" s="2">
        <f>SUM(OSRRefP22_10x_0)</f>
        <v>6427.98</v>
      </c>
      <c r="Q100" s="2"/>
      <c r="R100" s="6">
        <f t="shared" si="24"/>
        <v>2.8755856848801452E-3</v>
      </c>
      <c r="S100" s="2"/>
      <c r="T100" s="2">
        <f>SUM(OSRRefT22_10x_0)</f>
        <v>5209.66</v>
      </c>
      <c r="U100" s="2"/>
      <c r="V100" s="6">
        <f t="shared" si="25"/>
        <v>1.8990275400329925E-3</v>
      </c>
      <c r="W100" s="2"/>
      <c r="X100" s="2">
        <f t="shared" si="26"/>
        <v>1218.3199999999997</v>
      </c>
      <c r="Y100" s="2"/>
      <c r="Z100" s="6">
        <f t="shared" si="27"/>
        <v>0.2338578717229147</v>
      </c>
    </row>
    <row r="101" spans="1:26" s="69" customFormat="1" ht="15" hidden="1" customHeight="1" outlineLevel="2" x14ac:dyDescent="0.25">
      <c r="A101" s="25"/>
      <c r="B101" s="12" t="str">
        <f>CONCATENATE("          ","6258"," - ","MEMBERSHIP DUES")</f>
        <v xml:space="preserve">          6258 - MEMBERSHIP DUES</v>
      </c>
      <c r="C101" s="12"/>
      <c r="D101" s="7">
        <v>143.84</v>
      </c>
      <c r="E101" s="3"/>
      <c r="F101" s="8">
        <f t="shared" si="20"/>
        <v>4.3399341527231997E-3</v>
      </c>
      <c r="G101" s="3"/>
      <c r="H101" s="7">
        <v>554.32000000000005</v>
      </c>
      <c r="I101" s="3"/>
      <c r="J101" s="8">
        <f t="shared" si="21"/>
        <v>8.7028755819435772E-3</v>
      </c>
      <c r="K101" s="3"/>
      <c r="L101" s="7">
        <f t="shared" si="22"/>
        <v>-410.48</v>
      </c>
      <c r="M101" s="3"/>
      <c r="N101" s="8">
        <f t="shared" si="23"/>
        <v>-0.74051089623322264</v>
      </c>
      <c r="O101" s="12"/>
      <c r="P101" s="7">
        <v>3076.59</v>
      </c>
      <c r="Q101" s="3"/>
      <c r="R101" s="8">
        <f t="shared" si="24"/>
        <v>1.3763263361499891E-3</v>
      </c>
      <c r="S101" s="3"/>
      <c r="T101" s="7">
        <v>3357.58</v>
      </c>
      <c r="U101" s="3"/>
      <c r="V101" s="8">
        <f t="shared" si="25"/>
        <v>1.2239065289988166E-3</v>
      </c>
      <c r="W101" s="3"/>
      <c r="X101" s="7">
        <f t="shared" si="26"/>
        <v>-280.98999999999978</v>
      </c>
      <c r="Y101" s="3"/>
      <c r="Z101" s="8">
        <f t="shared" si="27"/>
        <v>-8.3688251657443688E-2</v>
      </c>
    </row>
    <row r="102" spans="1:26" s="69" customFormat="1" ht="15" hidden="1" customHeight="1" outlineLevel="2" x14ac:dyDescent="0.25">
      <c r="A102" s="25"/>
      <c r="B102" s="12" t="str">
        <f>CONCATENATE("          ","6275"," - ","SUBSCRIPTIONS")</f>
        <v xml:space="preserve">          6275 - SUBSCRIPTIONS</v>
      </c>
      <c r="C102" s="12"/>
      <c r="D102" s="7">
        <v>1443.75</v>
      </c>
      <c r="E102" s="3"/>
      <c r="F102" s="8">
        <f t="shared" si="20"/>
        <v>4.3560761491894605E-2</v>
      </c>
      <c r="G102" s="3"/>
      <c r="H102" s="7"/>
      <c r="I102" s="3"/>
      <c r="J102" s="8">
        <f t="shared" si="21"/>
        <v>0</v>
      </c>
      <c r="K102" s="3"/>
      <c r="L102" s="7">
        <f t="shared" si="22"/>
        <v>1443.75</v>
      </c>
      <c r="M102" s="3"/>
      <c r="N102" s="8">
        <f t="shared" si="23"/>
        <v>0</v>
      </c>
      <c r="O102" s="12"/>
      <c r="P102" s="7">
        <v>3351.39</v>
      </c>
      <c r="Q102" s="3"/>
      <c r="R102" s="8">
        <f t="shared" si="24"/>
        <v>1.4992593487301563E-3</v>
      </c>
      <c r="S102" s="3"/>
      <c r="T102" s="7">
        <v>1852.08</v>
      </c>
      <c r="U102" s="3"/>
      <c r="V102" s="8">
        <f t="shared" si="25"/>
        <v>6.7512101103417584E-4</v>
      </c>
      <c r="W102" s="3"/>
      <c r="X102" s="7">
        <f t="shared" si="26"/>
        <v>1499.31</v>
      </c>
      <c r="Y102" s="3"/>
      <c r="Z102" s="8">
        <f t="shared" si="27"/>
        <v>0.80952766619152516</v>
      </c>
    </row>
    <row r="103" spans="1:26" s="68" customFormat="1" ht="15" customHeight="1" outlineLevel="1" collapsed="1" x14ac:dyDescent="0.25">
      <c r="A103" s="26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SUM(OSRRefD22_11x_0)</f>
        <v>950.13</v>
      </c>
      <c r="E103" s="2"/>
      <c r="F103" s="6">
        <f t="shared" si="20"/>
        <v>2.8667280565398318E-2</v>
      </c>
      <c r="G103" s="2"/>
      <c r="H103" s="2">
        <f>SUM(OSRRefH22_11x_0)</f>
        <v>-7.0600000000000023</v>
      </c>
      <c r="I103" s="2"/>
      <c r="J103" s="6">
        <f t="shared" si="21"/>
        <v>-1.1084265696442789E-4</v>
      </c>
      <c r="K103" s="2"/>
      <c r="L103" s="2">
        <f t="shared" si="22"/>
        <v>957.19</v>
      </c>
      <c r="M103" s="2"/>
      <c r="N103" s="6">
        <f t="shared" si="23"/>
        <v>-135.57932011331442</v>
      </c>
      <c r="O103" s="14"/>
      <c r="P103" s="2">
        <f>SUM(OSRRefP22_11x_0)</f>
        <v>2483.75</v>
      </c>
      <c r="Q103" s="2"/>
      <c r="R103" s="6">
        <f t="shared" si="24"/>
        <v>1.1111167030421782E-3</v>
      </c>
      <c r="S103" s="2"/>
      <c r="T103" s="2">
        <f>SUM(OSRRefT22_11x_0)</f>
        <v>5366.37</v>
      </c>
      <c r="U103" s="2"/>
      <c r="V103" s="6">
        <f t="shared" si="25"/>
        <v>1.9561515377216265E-3</v>
      </c>
      <c r="W103" s="2"/>
      <c r="X103" s="2">
        <f t="shared" si="26"/>
        <v>-2882.62</v>
      </c>
      <c r="Y103" s="2"/>
      <c r="Z103" s="6">
        <f t="shared" si="27"/>
        <v>-0.53716385564170943</v>
      </c>
    </row>
    <row r="104" spans="1:26" s="69" customFormat="1" ht="15" hidden="1" customHeight="1" outlineLevel="2" x14ac:dyDescent="0.25">
      <c r="A104" s="25"/>
      <c r="B104" s="12" t="str">
        <f>CONCATENATE("          ","6241"," - ","OFFICE EXPENSE")</f>
        <v xml:space="preserve">          6241 - OFFICE EXPENSE</v>
      </c>
      <c r="C104" s="12"/>
      <c r="D104" s="7">
        <v>433.78</v>
      </c>
      <c r="E104" s="3"/>
      <c r="F104" s="8">
        <f t="shared" si="20"/>
        <v>1.3087991078756045E-2</v>
      </c>
      <c r="G104" s="3"/>
      <c r="H104" s="7">
        <v>58.08</v>
      </c>
      <c r="I104" s="3"/>
      <c r="J104" s="8">
        <f t="shared" si="21"/>
        <v>9.1186140460254529E-4</v>
      </c>
      <c r="K104" s="3"/>
      <c r="L104" s="7">
        <f t="shared" si="22"/>
        <v>375.7</v>
      </c>
      <c r="M104" s="3"/>
      <c r="N104" s="8">
        <f t="shared" si="23"/>
        <v>6.4686639118457299</v>
      </c>
      <c r="O104" s="12"/>
      <c r="P104" s="7">
        <v>1772.37</v>
      </c>
      <c r="Q104" s="3"/>
      <c r="R104" s="8">
        <f t="shared" si="24"/>
        <v>7.928776692383957E-4</v>
      </c>
      <c r="S104" s="3"/>
      <c r="T104" s="7">
        <v>1624.75</v>
      </c>
      <c r="U104" s="3"/>
      <c r="V104" s="8">
        <f t="shared" si="25"/>
        <v>5.9225458008173369E-4</v>
      </c>
      <c r="W104" s="3"/>
      <c r="X104" s="7">
        <f t="shared" si="26"/>
        <v>147.61999999999989</v>
      </c>
      <c r="Y104" s="3"/>
      <c r="Z104" s="8">
        <f t="shared" si="27"/>
        <v>9.0857054931527861E-2</v>
      </c>
    </row>
    <row r="105" spans="1:26" s="69" customFormat="1" ht="15" hidden="1" customHeight="1" outlineLevel="2" x14ac:dyDescent="0.25">
      <c r="A105" s="25"/>
      <c r="B105" s="12" t="str">
        <f>CONCATENATE("          ","6247"," - ","STORE SUPPLIES")</f>
        <v xml:space="preserve">          6247 - STORE SUPPLIES</v>
      </c>
      <c r="C105" s="12"/>
      <c r="D105" s="7">
        <v>516.35</v>
      </c>
      <c r="E105" s="3"/>
      <c r="F105" s="8">
        <f t="shared" si="20"/>
        <v>1.5579289486642271E-2</v>
      </c>
      <c r="G105" s="3"/>
      <c r="H105" s="7">
        <v>-65.14</v>
      </c>
      <c r="I105" s="3"/>
      <c r="J105" s="8">
        <f t="shared" si="21"/>
        <v>-1.0227040615669732E-3</v>
      </c>
      <c r="K105" s="3"/>
      <c r="L105" s="7">
        <f t="shared" si="22"/>
        <v>581.49</v>
      </c>
      <c r="M105" s="3"/>
      <c r="N105" s="8">
        <f t="shared" si="23"/>
        <v>-8.9267731040835123</v>
      </c>
      <c r="O105" s="12"/>
      <c r="P105" s="7">
        <v>711.38</v>
      </c>
      <c r="Q105" s="3"/>
      <c r="R105" s="8">
        <f t="shared" si="24"/>
        <v>3.1823903380378247E-4</v>
      </c>
      <c r="S105" s="3"/>
      <c r="T105" s="7">
        <v>3741.62</v>
      </c>
      <c r="U105" s="3"/>
      <c r="V105" s="8">
        <f t="shared" si="25"/>
        <v>1.363896957639893E-3</v>
      </c>
      <c r="W105" s="3"/>
      <c r="X105" s="7">
        <f t="shared" si="26"/>
        <v>-3030.24</v>
      </c>
      <c r="Y105" s="3"/>
      <c r="Z105" s="8">
        <f t="shared" si="27"/>
        <v>-0.80987379798055381</v>
      </c>
    </row>
    <row r="106" spans="1:26" s="68" customFormat="1" ht="15" customHeight="1" outlineLevel="1" collapsed="1" x14ac:dyDescent="0.25">
      <c r="A106" s="26"/>
      <c r="B106" s="14" t="str">
        <f>CONCATENATE("     ","Telephone/Data Lines                              ")</f>
        <v xml:space="preserve">     Telephone/Data Lines                              </v>
      </c>
      <c r="C106" s="14"/>
      <c r="D106" s="2">
        <f>SUM(OSRRefD22_12x_0)</f>
        <v>483.05</v>
      </c>
      <c r="E106" s="2"/>
      <c r="F106" s="6">
        <f t="shared" si="20"/>
        <v>1.4574563351452598E-2</v>
      </c>
      <c r="G106" s="2"/>
      <c r="H106" s="2">
        <f>SUM(OSRRefH22_12x_0)</f>
        <v>563.79999999999995</v>
      </c>
      <c r="I106" s="2"/>
      <c r="J106" s="6">
        <f t="shared" si="21"/>
        <v>8.8517124640997754E-3</v>
      </c>
      <c r="K106" s="2"/>
      <c r="L106" s="2">
        <f t="shared" si="22"/>
        <v>-80.749999999999943</v>
      </c>
      <c r="M106" s="2"/>
      <c r="N106" s="6">
        <f t="shared" si="23"/>
        <v>-0.1432245477119545</v>
      </c>
      <c r="O106" s="14"/>
      <c r="P106" s="2">
        <f>SUM(OSRRefP22_12x_0)</f>
        <v>5959.6</v>
      </c>
      <c r="Q106" s="2"/>
      <c r="R106" s="6">
        <f t="shared" si="24"/>
        <v>2.6660537910217076E-3</v>
      </c>
      <c r="S106" s="2"/>
      <c r="T106" s="2">
        <f>SUM(OSRRefT22_12x_0)</f>
        <v>8749.7000000000007</v>
      </c>
      <c r="U106" s="2"/>
      <c r="V106" s="6">
        <f t="shared" si="25"/>
        <v>3.1894444679742393E-3</v>
      </c>
      <c r="W106" s="2"/>
      <c r="X106" s="2">
        <f t="shared" si="26"/>
        <v>-2790.1000000000004</v>
      </c>
      <c r="Y106" s="2"/>
      <c r="Z106" s="6">
        <f t="shared" si="27"/>
        <v>-0.31887950444015223</v>
      </c>
    </row>
    <row r="107" spans="1:26" s="69" customFormat="1" ht="15" hidden="1" customHeight="1" outlineLevel="2" x14ac:dyDescent="0.25">
      <c r="A107" s="25"/>
      <c r="B107" s="12" t="str">
        <f>CONCATENATE("          ","6303"," - ","DATA PHONE LINES")</f>
        <v xml:space="preserve">          6303 - DATA PHONE LINES</v>
      </c>
      <c r="C107" s="12"/>
      <c r="D107" s="7"/>
      <c r="E107" s="3"/>
      <c r="F107" s="8">
        <f t="shared" si="20"/>
        <v>0</v>
      </c>
      <c r="G107" s="3"/>
      <c r="H107" s="7"/>
      <c r="I107" s="3"/>
      <c r="J107" s="8">
        <f t="shared" si="21"/>
        <v>0</v>
      </c>
      <c r="K107" s="3"/>
      <c r="L107" s="7">
        <f t="shared" si="22"/>
        <v>0</v>
      </c>
      <c r="M107" s="3"/>
      <c r="N107" s="8">
        <f t="shared" si="23"/>
        <v>0</v>
      </c>
      <c r="O107" s="12"/>
      <c r="P107" s="7">
        <v>295</v>
      </c>
      <c r="Q107" s="3"/>
      <c r="R107" s="8">
        <f t="shared" si="24"/>
        <v>1.3196957318467744E-4</v>
      </c>
      <c r="S107" s="3"/>
      <c r="T107" s="7">
        <v>3540</v>
      </c>
      <c r="U107" s="3"/>
      <c r="V107" s="8">
        <f t="shared" si="25"/>
        <v>1.290402347123765E-3</v>
      </c>
      <c r="W107" s="3"/>
      <c r="X107" s="7">
        <f t="shared" si="26"/>
        <v>-3245</v>
      </c>
      <c r="Y107" s="3"/>
      <c r="Z107" s="8">
        <f t="shared" si="27"/>
        <v>-0.91666666666666663</v>
      </c>
    </row>
    <row r="108" spans="1:26" s="69" customFormat="1" ht="15" hidden="1" customHeight="1" outlineLevel="2" x14ac:dyDescent="0.25">
      <c r="A108" s="25"/>
      <c r="B108" s="12" t="str">
        <f>CONCATENATE("          ","6309"," - ","TELEPHONE")</f>
        <v xml:space="preserve">          6309 - TELEPHONE</v>
      </c>
      <c r="C108" s="12"/>
      <c r="D108" s="7">
        <v>483.05</v>
      </c>
      <c r="E108" s="3"/>
      <c r="F108" s="8">
        <f t="shared" si="20"/>
        <v>1.4574563351452598E-2</v>
      </c>
      <c r="G108" s="3"/>
      <c r="H108" s="7">
        <v>563.79999999999995</v>
      </c>
      <c r="I108" s="3"/>
      <c r="J108" s="8">
        <f t="shared" si="21"/>
        <v>8.8517124640997754E-3</v>
      </c>
      <c r="K108" s="3"/>
      <c r="L108" s="7">
        <f t="shared" si="22"/>
        <v>-80.749999999999943</v>
      </c>
      <c r="M108" s="3"/>
      <c r="N108" s="8">
        <f t="shared" si="23"/>
        <v>-0.1432245477119545</v>
      </c>
      <c r="O108" s="12"/>
      <c r="P108" s="7">
        <v>5664.6</v>
      </c>
      <c r="Q108" s="3"/>
      <c r="R108" s="8">
        <f t="shared" si="24"/>
        <v>2.5340842178370299E-3</v>
      </c>
      <c r="S108" s="3"/>
      <c r="T108" s="7">
        <v>5209.7</v>
      </c>
      <c r="U108" s="3"/>
      <c r="V108" s="8">
        <f t="shared" si="25"/>
        <v>1.899042120850474E-3</v>
      </c>
      <c r="W108" s="3"/>
      <c r="X108" s="7">
        <f t="shared" si="26"/>
        <v>454.90000000000055</v>
      </c>
      <c r="Y108" s="3"/>
      <c r="Z108" s="8">
        <f t="shared" si="27"/>
        <v>8.7317887786244996E-2</v>
      </c>
    </row>
    <row r="109" spans="1:26" s="68" customFormat="1" ht="15" customHeight="1" outlineLevel="1" collapsed="1" x14ac:dyDescent="0.25">
      <c r="A109" s="26"/>
      <c r="B109" s="14" t="str">
        <f>CONCATENATE("     ","Training                                          ")</f>
        <v xml:space="preserve">     Training                                          </v>
      </c>
      <c r="C109" s="14"/>
      <c r="D109" s="2">
        <f>SUM(OSRRefD22_13x_0)</f>
        <v>0</v>
      </c>
      <c r="E109" s="2"/>
      <c r="F109" s="6">
        <f t="shared" si="20"/>
        <v>0</v>
      </c>
      <c r="G109" s="2"/>
      <c r="H109" s="2">
        <f>SUM(OSRRefH22_13x_0)</f>
        <v>0</v>
      </c>
      <c r="I109" s="2"/>
      <c r="J109" s="6">
        <f t="shared" si="21"/>
        <v>0</v>
      </c>
      <c r="K109" s="2"/>
      <c r="L109" s="2">
        <f t="shared" si="22"/>
        <v>0</v>
      </c>
      <c r="M109" s="2"/>
      <c r="N109" s="6">
        <f t="shared" si="23"/>
        <v>0</v>
      </c>
      <c r="O109" s="14"/>
      <c r="P109" s="2">
        <f>SUM(OSRRefP22_13x_0)</f>
        <v>125</v>
      </c>
      <c r="Q109" s="2"/>
      <c r="R109" s="6">
        <f t="shared" si="24"/>
        <v>5.5919310671473489E-5</v>
      </c>
      <c r="S109" s="2"/>
      <c r="T109" s="2">
        <f>SUM(OSRRefT22_13x_0)</f>
        <v>0</v>
      </c>
      <c r="U109" s="2"/>
      <c r="V109" s="6">
        <f t="shared" si="25"/>
        <v>0</v>
      </c>
      <c r="W109" s="2"/>
      <c r="X109" s="2">
        <f t="shared" si="26"/>
        <v>125</v>
      </c>
      <c r="Y109" s="2"/>
      <c r="Z109" s="6">
        <f t="shared" si="27"/>
        <v>0</v>
      </c>
    </row>
    <row r="110" spans="1:26" s="69" customFormat="1" ht="15" hidden="1" customHeight="1" outlineLevel="2" x14ac:dyDescent="0.25">
      <c r="A110" s="25"/>
      <c r="B110" s="12" t="str">
        <f>CONCATENATE("          ","6376"," - ","TRAINING")</f>
        <v xml:space="preserve">          6376 - TRAINING</v>
      </c>
      <c r="C110" s="12"/>
      <c r="D110" s="7"/>
      <c r="E110" s="3"/>
      <c r="F110" s="8">
        <f t="shared" si="20"/>
        <v>0</v>
      </c>
      <c r="G110" s="3"/>
      <c r="H110" s="7"/>
      <c r="I110" s="3"/>
      <c r="J110" s="8">
        <f t="shared" si="21"/>
        <v>0</v>
      </c>
      <c r="K110" s="3"/>
      <c r="L110" s="7">
        <f t="shared" si="22"/>
        <v>0</v>
      </c>
      <c r="M110" s="3"/>
      <c r="N110" s="8">
        <f t="shared" si="23"/>
        <v>0</v>
      </c>
      <c r="O110" s="12"/>
      <c r="P110" s="7">
        <v>125</v>
      </c>
      <c r="Q110" s="3"/>
      <c r="R110" s="8">
        <f t="shared" si="24"/>
        <v>5.5919310671473489E-5</v>
      </c>
      <c r="S110" s="3"/>
      <c r="T110" s="7"/>
      <c r="U110" s="3"/>
      <c r="V110" s="8">
        <f t="shared" si="25"/>
        <v>0</v>
      </c>
      <c r="W110" s="3"/>
      <c r="X110" s="7">
        <f t="shared" si="26"/>
        <v>125</v>
      </c>
      <c r="Y110" s="3"/>
      <c r="Z110" s="8">
        <f t="shared" si="27"/>
        <v>0</v>
      </c>
    </row>
    <row r="111" spans="1:26" s="68" customFormat="1" ht="15" customHeight="1" outlineLevel="1" collapsed="1" x14ac:dyDescent="0.25">
      <c r="A111" s="26"/>
      <c r="B111" s="14" t="str">
        <f>CONCATENATE("     ","Travel                                            ")</f>
        <v xml:space="preserve">     Travel                                            </v>
      </c>
      <c r="C111" s="14"/>
      <c r="D111" s="2">
        <f>SUM(OSRRefD22_14x_0)</f>
        <v>0</v>
      </c>
      <c r="E111" s="2"/>
      <c r="F111" s="6">
        <f t="shared" si="20"/>
        <v>0</v>
      </c>
      <c r="G111" s="2"/>
      <c r="H111" s="2">
        <f>SUM(OSRRefH22_14x_0)</f>
        <v>0</v>
      </c>
      <c r="I111" s="2"/>
      <c r="J111" s="6">
        <f t="shared" si="21"/>
        <v>0</v>
      </c>
      <c r="K111" s="2"/>
      <c r="L111" s="2">
        <f t="shared" si="22"/>
        <v>0</v>
      </c>
      <c r="M111" s="2"/>
      <c r="N111" s="6">
        <f t="shared" si="23"/>
        <v>0</v>
      </c>
      <c r="O111" s="14"/>
      <c r="P111" s="2">
        <f>SUM(OSRRefP22_14x_0)</f>
        <v>0</v>
      </c>
      <c r="Q111" s="2"/>
      <c r="R111" s="6">
        <f t="shared" si="24"/>
        <v>0</v>
      </c>
      <c r="S111" s="2"/>
      <c r="T111" s="2">
        <f>SUM(OSRRefT22_14x_0)</f>
        <v>0.16</v>
      </c>
      <c r="U111" s="2"/>
      <c r="V111" s="6">
        <f t="shared" si="25"/>
        <v>5.8323269926497855E-8</v>
      </c>
      <c r="W111" s="2"/>
      <c r="X111" s="2">
        <f t="shared" si="26"/>
        <v>-0.16</v>
      </c>
      <c r="Y111" s="2"/>
      <c r="Z111" s="6">
        <f t="shared" si="27"/>
        <v>-1</v>
      </c>
    </row>
    <row r="112" spans="1:26" s="69" customFormat="1" ht="15" hidden="1" customHeight="1" outlineLevel="2" x14ac:dyDescent="0.25">
      <c r="A112" s="25"/>
      <c r="B112" s="12" t="str">
        <f>CONCATENATE("          ","6292"," - ","TRAVEL/CONFERENCE")</f>
        <v xml:space="preserve">          6292 - TRAVEL/CONFERENCE</v>
      </c>
      <c r="C112" s="12"/>
      <c r="D112" s="7"/>
      <c r="E112" s="3"/>
      <c r="F112" s="8">
        <f t="shared" si="20"/>
        <v>0</v>
      </c>
      <c r="G112" s="3"/>
      <c r="H112" s="7"/>
      <c r="I112" s="3"/>
      <c r="J112" s="8">
        <f t="shared" si="21"/>
        <v>0</v>
      </c>
      <c r="K112" s="3"/>
      <c r="L112" s="7">
        <f t="shared" si="22"/>
        <v>0</v>
      </c>
      <c r="M112" s="3"/>
      <c r="N112" s="8">
        <f t="shared" si="23"/>
        <v>0</v>
      </c>
      <c r="O112" s="12"/>
      <c r="P112" s="7"/>
      <c r="Q112" s="3"/>
      <c r="R112" s="8">
        <f t="shared" si="24"/>
        <v>0</v>
      </c>
      <c r="S112" s="3"/>
      <c r="T112" s="7">
        <v>0.16</v>
      </c>
      <c r="U112" s="3"/>
      <c r="V112" s="8">
        <f t="shared" si="25"/>
        <v>5.8323269926497855E-8</v>
      </c>
      <c r="W112" s="3"/>
      <c r="X112" s="7">
        <f t="shared" si="26"/>
        <v>-0.16</v>
      </c>
      <c r="Y112" s="3"/>
      <c r="Z112" s="8">
        <f t="shared" si="27"/>
        <v>-1</v>
      </c>
    </row>
    <row r="113" spans="1:26" s="64" customFormat="1" ht="15" customHeight="1" x14ac:dyDescent="0.25">
      <c r="A113" s="36"/>
      <c r="B113" s="36"/>
      <c r="C113" s="36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O113" s="3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62" customFormat="1" ht="15" customHeight="1" collapsed="1" x14ac:dyDescent="0.25">
      <c r="A114" s="11"/>
      <c r="B114" s="28" t="s">
        <v>290</v>
      </c>
      <c r="C114" s="11"/>
      <c r="D114" s="5">
        <f>SUM(OSRRefD25x_0)</f>
        <v>2412.0299999999997</v>
      </c>
      <c r="E114" s="5"/>
      <c r="F114" s="13">
        <f>IF(D$12=0,0,D114/D$12)</f>
        <v>7.2775663058905302E-2</v>
      </c>
      <c r="G114" s="5"/>
      <c r="H114" s="5">
        <f>SUM(OSRRefH25x_0)</f>
        <v>3009.01</v>
      </c>
      <c r="I114" s="5"/>
      <c r="J114" s="13">
        <f>IF(H$12=0,0,H114/H$12)</f>
        <v>4.7241737001775225E-2</v>
      </c>
      <c r="K114" s="5"/>
      <c r="L114" s="5">
        <f>+D114-H114</f>
        <v>-596.98000000000047</v>
      </c>
      <c r="M114" s="5"/>
      <c r="N114" s="13">
        <f>IF(H114=0,0,L114/H114)</f>
        <v>-0.1983974795696925</v>
      </c>
      <c r="O114" s="11"/>
      <c r="P114" s="5">
        <f>SUM(OSRRefP25x_0)</f>
        <v>359676.87</v>
      </c>
      <c r="Q114" s="5"/>
      <c r="R114" s="13">
        <f>IF(P$12=0,0,P114/P$12)</f>
        <v>0.16090306107898547</v>
      </c>
      <c r="S114" s="5"/>
      <c r="T114" s="5">
        <f>SUM(OSRRefT25x_0)</f>
        <v>334317.08</v>
      </c>
      <c r="U114" s="5"/>
      <c r="V114" s="13">
        <f>IF(T$12=0,0,T114/T$12)</f>
        <v>0.12186540811174111</v>
      </c>
      <c r="W114" s="5"/>
      <c r="X114" s="5">
        <f>+P114-T114</f>
        <v>25359.789999999979</v>
      </c>
      <c r="Y114" s="5"/>
      <c r="Z114" s="13">
        <f>IF(T114=0,0,X114/T114)</f>
        <v>7.5855502207664585E-2</v>
      </c>
    </row>
    <row r="115" spans="1:26" s="69" customFormat="1" ht="15" hidden="1" customHeight="1" outlineLevel="1" x14ac:dyDescent="0.25">
      <c r="A115" s="42"/>
      <c r="B115" s="12" t="str">
        <f>CONCATENATE("          ","9150"," - ","MISC. INCOME")</f>
        <v xml:space="preserve">          9150 - MISC. INCOME</v>
      </c>
      <c r="C115" s="12"/>
      <c r="D115" s="3">
        <f>--427.31</f>
        <v>427.31</v>
      </c>
      <c r="E115" s="3"/>
      <c r="F115" s="20">
        <f>IF(D$12=0,0,D115/D$12)</f>
        <v>1.2892778523360335E-2</v>
      </c>
      <c r="G115" s="3"/>
      <c r="H115" s="3">
        <f>--1572.94</f>
        <v>1572.94</v>
      </c>
      <c r="I115" s="3"/>
      <c r="J115" s="20">
        <f>IF(H$12=0,0,H115/H$12)</f>
        <v>2.4695304369069002E-2</v>
      </c>
      <c r="K115" s="3"/>
      <c r="L115" s="3">
        <f>+D115-H115</f>
        <v>-1145.6300000000001</v>
      </c>
      <c r="M115" s="3"/>
      <c r="N115" s="20">
        <f>IF(H115=0,0,L115/H115)</f>
        <v>-0.72833674520324998</v>
      </c>
      <c r="O115" s="12"/>
      <c r="P115" s="3">
        <f>--30042.02</f>
        <v>30042.02</v>
      </c>
      <c r="Q115" s="3"/>
      <c r="R115" s="20">
        <f>IF(P$12=0,0,P115/P$12)</f>
        <v>1.343943239662896E-2</v>
      </c>
      <c r="S115" s="3"/>
      <c r="T115" s="3">
        <f>--33036.05</f>
        <v>33036.050000000003</v>
      </c>
      <c r="U115" s="3"/>
      <c r="V115" s="20">
        <f>IF(T$12=0,0,T115/T$12)</f>
        <v>1.2042315384095496E-2</v>
      </c>
      <c r="W115" s="3"/>
      <c r="X115" s="3">
        <f>+P115-T115</f>
        <v>-2994.0300000000025</v>
      </c>
      <c r="Y115" s="3"/>
      <c r="Z115" s="20">
        <f>IF(T115=0,0,X115/T115)</f>
        <v>-9.0629176308911083E-2</v>
      </c>
    </row>
    <row r="116" spans="1:26" s="69" customFormat="1" ht="15" hidden="1" customHeight="1" outlineLevel="1" x14ac:dyDescent="0.25">
      <c r="A116" s="42"/>
      <c r="B116" s="12" t="str">
        <f>CONCATENATE("          ","9151"," - ","MISC. INCOME")</f>
        <v xml:space="preserve">          9151 - MISC. INCOME</v>
      </c>
      <c r="C116" s="12"/>
      <c r="D116" s="3">
        <f>--626.04</f>
        <v>626.04</v>
      </c>
      <c r="E116" s="3"/>
      <c r="F116" s="20">
        <f>IF(D$12=0,0,D116/D$12)</f>
        <v>1.888885134156585E-2</v>
      </c>
      <c r="G116" s="3"/>
      <c r="H116" s="3">
        <f>0</f>
        <v>0</v>
      </c>
      <c r="I116" s="3"/>
      <c r="J116" s="20">
        <f>IF(H$12=0,0,H116/H$12)</f>
        <v>0</v>
      </c>
      <c r="K116" s="3"/>
      <c r="L116" s="3">
        <f>+D116-H116</f>
        <v>626.04</v>
      </c>
      <c r="M116" s="3"/>
      <c r="N116" s="20">
        <f>IF(H116=0,0,L116/H116)</f>
        <v>0</v>
      </c>
      <c r="O116" s="12"/>
      <c r="P116" s="3">
        <f>--324387.74</f>
        <v>324387.74</v>
      </c>
      <c r="Q116" s="3"/>
      <c r="R116" s="20">
        <f>IF(P$12=0,0,P116/P$12)</f>
        <v>0.14511631048861734</v>
      </c>
      <c r="S116" s="3"/>
      <c r="T116" s="3">
        <f>--295628.46</f>
        <v>295628.46000000002</v>
      </c>
      <c r="U116" s="3"/>
      <c r="V116" s="20">
        <f>IF(T$12=0,0,T116/T$12)</f>
        <v>0.10776261544084297</v>
      </c>
      <c r="W116" s="3"/>
      <c r="X116" s="3">
        <f>+P116-T116</f>
        <v>28759.27999999997</v>
      </c>
      <c r="Y116" s="3"/>
      <c r="Z116" s="20">
        <f>IF(T116=0,0,X116/T116)</f>
        <v>9.7281838155906797E-2</v>
      </c>
    </row>
    <row r="117" spans="1:26" s="69" customFormat="1" ht="15" hidden="1" customHeight="1" outlineLevel="1" x14ac:dyDescent="0.25">
      <c r="A117" s="42"/>
      <c r="B117" s="12" t="str">
        <f>CONCATENATE("          ","9152"," - ","MISC. INCOME")</f>
        <v xml:space="preserve">          9152 - MISC. INCOME</v>
      </c>
      <c r="C117" s="12"/>
      <c r="D117" s="3">
        <f>--1358.68</f>
        <v>1358.68</v>
      </c>
      <c r="E117" s="3"/>
      <c r="F117" s="20">
        <f>IF(D$12=0,0,D117/D$12)</f>
        <v>4.0994033193979124E-2</v>
      </c>
      <c r="G117" s="3"/>
      <c r="H117" s="3">
        <f>--1436.07</f>
        <v>1436.07</v>
      </c>
      <c r="I117" s="3"/>
      <c r="J117" s="20">
        <f>IF(H$12=0,0,H117/H$12)</f>
        <v>2.2546432632706219E-2</v>
      </c>
      <c r="K117" s="3"/>
      <c r="L117" s="3">
        <f>+D117-H117</f>
        <v>-77.389999999999873</v>
      </c>
      <c r="M117" s="3"/>
      <c r="N117" s="20">
        <f>IF(H117=0,0,L117/H117)</f>
        <v>-5.389013070393496E-2</v>
      </c>
      <c r="O117" s="12"/>
      <c r="P117" s="3">
        <f>--5247.11</f>
        <v>5247.11</v>
      </c>
      <c r="Q117" s="3"/>
      <c r="R117" s="20">
        <f>IF(P$12=0,0,P117/P$12)</f>
        <v>2.347318193739162E-3</v>
      </c>
      <c r="S117" s="3"/>
      <c r="T117" s="3">
        <f>--5652.57</f>
        <v>5652.57</v>
      </c>
      <c r="U117" s="3"/>
      <c r="V117" s="20">
        <f>IF(T$12=0,0,T117/T$12)</f>
        <v>2.0604772868026496E-3</v>
      </c>
      <c r="W117" s="3"/>
      <c r="X117" s="3">
        <f>+P117-T117</f>
        <v>-405.46000000000004</v>
      </c>
      <c r="Y117" s="3"/>
      <c r="Z117" s="20">
        <f>IF(T117=0,0,X117/T117)</f>
        <v>-7.1730204137233161E-2</v>
      </c>
    </row>
    <row r="118" spans="1:26" ht="15" customHeight="1" x14ac:dyDescent="0.25">
      <c r="A118" s="10"/>
      <c r="B118" s="11"/>
      <c r="C118" s="11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O118" s="11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2" customFormat="1" ht="15" customHeight="1" x14ac:dyDescent="0.25">
      <c r="A119" s="11"/>
      <c r="B119" s="27" t="s">
        <v>291</v>
      </c>
      <c r="C119" s="27"/>
      <c r="D119" s="22">
        <f>+D59-D61+D114</f>
        <v>-23244.550000000003</v>
      </c>
      <c r="E119" s="15"/>
      <c r="F119" s="23">
        <f>IF(D$12=0,0,D119/D$12)</f>
        <v>-0.70133354011180526</v>
      </c>
      <c r="G119" s="15"/>
      <c r="H119" s="22">
        <f>+H59-H61+H114</f>
        <v>-31804.840000000033</v>
      </c>
      <c r="I119" s="15"/>
      <c r="J119" s="23">
        <f>IF(H$12=0,0,H119/H$12)</f>
        <v>-0.49933894758194297</v>
      </c>
      <c r="K119" s="16"/>
      <c r="L119" s="22">
        <f>+D119-H119</f>
        <v>8560.29000000003</v>
      </c>
      <c r="M119" s="16"/>
      <c r="N119" s="23">
        <f>IF(H119=0,0,L119/H119)</f>
        <v>-0.26915054438255376</v>
      </c>
      <c r="O119" s="28"/>
      <c r="P119" s="22">
        <f>+P59-P61+P114</f>
        <v>406975.40999999986</v>
      </c>
      <c r="Q119" s="15"/>
      <c r="R119" s="23">
        <f>IF(P$12=0,0,P119/P$12)</f>
        <v>0.18206227509952233</v>
      </c>
      <c r="S119" s="15"/>
      <c r="T119" s="22">
        <f>+T59-T61+T114</f>
        <v>612776.18999999983</v>
      </c>
      <c r="U119" s="15"/>
      <c r="V119" s="23">
        <f>IF(T$12=0,0,T119/T$12)</f>
        <v>0.22336944458688077</v>
      </c>
      <c r="W119" s="16"/>
      <c r="X119" s="22">
        <f>+P119-T119</f>
        <v>-205800.77999999997</v>
      </c>
      <c r="Y119" s="16"/>
      <c r="Z119" s="23">
        <f>IF(T119=0,0,X119/T119)</f>
        <v>-0.33584983124099521</v>
      </c>
    </row>
    <row r="120" spans="1:26" ht="15" customHeight="1" x14ac:dyDescent="0.25">
      <c r="A120" s="10"/>
      <c r="B120" s="11"/>
      <c r="C120" s="10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2" customFormat="1" ht="15" customHeight="1" x14ac:dyDescent="0.25">
      <c r="A121" s="48"/>
      <c r="B121" s="11" t="s">
        <v>292</v>
      </c>
      <c r="C121" s="11"/>
      <c r="D121" s="5">
        <v>1835.49</v>
      </c>
      <c r="E121" s="5"/>
      <c r="F121" s="13">
        <f>IF(D$12=0,0,D121/D$12)</f>
        <v>5.5380323539918702E-2</v>
      </c>
      <c r="G121" s="5"/>
      <c r="H121" s="5">
        <v>25632.87</v>
      </c>
      <c r="I121" s="5"/>
      <c r="J121" s="13">
        <f>IF(H$12=0,0,H121/H$12)</f>
        <v>0.40243844425265918</v>
      </c>
      <c r="K121" s="5"/>
      <c r="L121" s="5">
        <f>+D121-H121</f>
        <v>-23797.379999999997</v>
      </c>
      <c r="M121" s="5"/>
      <c r="N121" s="13">
        <f>IF(H121=0,0,L121/H121)</f>
        <v>-0.92839311399776925</v>
      </c>
      <c r="O121" s="11"/>
      <c r="P121" s="5">
        <v>251311.56</v>
      </c>
      <c r="Q121" s="5"/>
      <c r="R121" s="13">
        <f>IF(P$12=0,0,P121/P$12)</f>
        <v>0.1124253535917812</v>
      </c>
      <c r="S121" s="5"/>
      <c r="T121" s="5">
        <v>586223.69999999995</v>
      </c>
      <c r="U121" s="5"/>
      <c r="V121" s="13">
        <f>IF(T$12=0,0,T121/T$12)</f>
        <v>0.21369051932756433</v>
      </c>
      <c r="W121" s="5"/>
      <c r="X121" s="5">
        <f>+P121-T121</f>
        <v>-334912.13999999996</v>
      </c>
      <c r="Y121" s="5"/>
      <c r="Z121" s="13">
        <f>IF(T121=0,0,X121/T121)</f>
        <v>-0.57130433314108586</v>
      </c>
    </row>
    <row r="122" spans="1:26" ht="15" customHeight="1" x14ac:dyDescent="0.25">
      <c r="A122" s="10"/>
      <c r="B122" s="11"/>
      <c r="C122" s="11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O122" s="11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2" customFormat="1" ht="15" customHeight="1" x14ac:dyDescent="0.25">
      <c r="A123" s="11"/>
      <c r="B123" s="27" t="s">
        <v>293</v>
      </c>
      <c r="C123" s="27"/>
      <c r="D123" s="35">
        <f>+D119-D121</f>
        <v>-25080.040000000005</v>
      </c>
      <c r="E123" s="15"/>
      <c r="F123" s="30">
        <f>IF(D$12=0,0,D123/D$12)</f>
        <v>-0.75671386365172399</v>
      </c>
      <c r="G123" s="15"/>
      <c r="H123" s="35">
        <f>+H119-H121</f>
        <v>-57437.710000000036</v>
      </c>
      <c r="I123" s="15"/>
      <c r="J123" s="30">
        <f>IF(H$12=0,0,H123/H$12)</f>
        <v>-0.90177739183460215</v>
      </c>
      <c r="K123" s="16"/>
      <c r="L123" s="35">
        <f>D123-H123</f>
        <v>32357.670000000031</v>
      </c>
      <c r="M123" s="16"/>
      <c r="N123" s="30">
        <f>IF(H123=0,0,L123/H123)</f>
        <v>-0.56335236902724728</v>
      </c>
      <c r="O123" s="28"/>
      <c r="P123" s="35">
        <f>+P119-P121</f>
        <v>155663.84999999986</v>
      </c>
      <c r="Q123" s="15"/>
      <c r="R123" s="30">
        <f>IF(P$12=0,0,P123/P$12)</f>
        <v>6.9636921507741131E-2</v>
      </c>
      <c r="S123" s="15"/>
      <c r="T123" s="35">
        <f>+T119-T121</f>
        <v>26552.489999999874</v>
      </c>
      <c r="U123" s="15"/>
      <c r="V123" s="30">
        <f>IF(T$12=0,0,T123/T$12)</f>
        <v>9.6789252593164222E-3</v>
      </c>
      <c r="W123" s="16"/>
      <c r="X123" s="35">
        <f>P123-T123</f>
        <v>129111.35999999999</v>
      </c>
      <c r="Y123" s="16"/>
      <c r="Z123" s="30">
        <f>IF(T123=0,0,X123/T123)</f>
        <v>4.862495381789075</v>
      </c>
    </row>
    <row r="124" spans="1:26" ht="15" customHeight="1" x14ac:dyDescent="0.25">
      <c r="A124" s="10"/>
      <c r="B124" s="10"/>
      <c r="C124" s="10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ht="15" customHeight="1" x14ac:dyDescent="0.25">
      <c r="A125" s="10"/>
      <c r="B125" s="10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2" customFormat="1" ht="15" customHeight="1" x14ac:dyDescent="0.25">
      <c r="A126" s="11"/>
      <c r="B126" s="27" t="s">
        <v>296</v>
      </c>
      <c r="C126" s="27"/>
      <c r="D126" s="32">
        <f>SUM(D123:D125)</f>
        <v>-25080.040000000005</v>
      </c>
      <c r="E126" s="15"/>
      <c r="F126" s="34">
        <f>IF(D$12=0,0,D126/D$12)</f>
        <v>-0.75671386365172399</v>
      </c>
      <c r="G126" s="15"/>
      <c r="H126" s="32">
        <f>SUM(H123:H125)</f>
        <v>-57437.710000000036</v>
      </c>
      <c r="I126" s="15"/>
      <c r="J126" s="34">
        <f>IF(H$12=0,0,H126/H$12)</f>
        <v>-0.90177739183460215</v>
      </c>
      <c r="K126" s="16"/>
      <c r="L126" s="32">
        <f>+D126-H126</f>
        <v>32357.670000000031</v>
      </c>
      <c r="M126" s="16"/>
      <c r="N126" s="34">
        <f>IF(H126=0,0,L126/H126)</f>
        <v>-0.56335236902724728</v>
      </c>
      <c r="O126" s="28"/>
      <c r="P126" s="32">
        <f>SUM(P123:P125)</f>
        <v>155663.84999999986</v>
      </c>
      <c r="Q126" s="15"/>
      <c r="R126" s="34">
        <f>IF(P$12=0,0,P126/P$12)</f>
        <v>6.9636921507741131E-2</v>
      </c>
      <c r="S126" s="15"/>
      <c r="T126" s="32">
        <f>SUM(T123:T125)</f>
        <v>26552.489999999874</v>
      </c>
      <c r="U126" s="15"/>
      <c r="V126" s="34">
        <f>IF(T$12=0,0,T126/T$12)</f>
        <v>9.6789252593164222E-3</v>
      </c>
      <c r="W126" s="16"/>
      <c r="X126" s="32">
        <f>+P126-T126</f>
        <v>129111.35999999999</v>
      </c>
      <c r="Y126" s="16"/>
      <c r="Z126" s="34">
        <f>IF(T126=0,0,X126/T126)</f>
        <v>4.862495381789075</v>
      </c>
    </row>
    <row r="127" spans="1:26" ht="15" customHeight="1" x14ac:dyDescent="0.25">
      <c r="A127" s="10"/>
      <c r="C127" s="10"/>
      <c r="D127" s="18"/>
      <c r="E127" s="18"/>
      <c r="G127" s="18"/>
      <c r="H127" s="18"/>
      <c r="I127" s="18"/>
      <c r="J127" s="41"/>
      <c r="K127" s="18"/>
      <c r="L127" s="18"/>
      <c r="M127" s="18"/>
      <c r="P127" s="18"/>
      <c r="Q127" s="18"/>
      <c r="R127" s="41"/>
      <c r="S127" s="18"/>
      <c r="T127" s="18"/>
      <c r="U127" s="18"/>
      <c r="V127" s="41"/>
      <c r="W127" s="18"/>
      <c r="X127" s="18"/>
    </row>
    <row r="128" spans="1:26" ht="15" customHeight="1" x14ac:dyDescent="0.25">
      <c r="A128" s="10"/>
      <c r="B128" s="50">
        <v>44727.879636458332</v>
      </c>
      <c r="D128" s="18"/>
      <c r="E128" s="18"/>
      <c r="G128" s="18"/>
      <c r="H128" s="18"/>
      <c r="I128" s="18"/>
      <c r="J128" s="41"/>
      <c r="K128" s="18"/>
      <c r="L128" s="18"/>
      <c r="M128" s="18"/>
      <c r="P128" s="18"/>
      <c r="Q128" s="18"/>
      <c r="R128" s="41"/>
      <c r="S128" s="18"/>
      <c r="T128" s="18"/>
      <c r="U128" s="18"/>
      <c r="V128" s="41"/>
      <c r="W128" s="18"/>
      <c r="X128" s="18"/>
    </row>
    <row r="129" spans="1:24" ht="15" customHeight="1" x14ac:dyDescent="0.25">
      <c r="A129" s="10"/>
      <c r="B129" s="53" t="s">
        <v>297</v>
      </c>
      <c r="D129" s="18"/>
      <c r="E129" s="18"/>
      <c r="G129" s="18"/>
      <c r="H129" s="18"/>
      <c r="I129" s="18"/>
      <c r="J129" s="41"/>
      <c r="K129" s="18"/>
      <c r="L129" s="18"/>
      <c r="M129" s="18"/>
      <c r="P129" s="18"/>
      <c r="Q129" s="18"/>
      <c r="R129" s="41"/>
      <c r="S129" s="18"/>
      <c r="T129" s="18"/>
      <c r="U129" s="18"/>
      <c r="V129" s="41"/>
      <c r="W129" s="18"/>
      <c r="X129" s="18"/>
    </row>
    <row r="130" spans="1:24" ht="15" customHeight="1" x14ac:dyDescent="0.25">
      <c r="A130" s="10"/>
      <c r="B130" s="55"/>
      <c r="D130" s="18"/>
      <c r="E130" s="18"/>
      <c r="G130" s="18"/>
      <c r="H130" s="18"/>
      <c r="I130" s="18"/>
      <c r="J130" s="41"/>
      <c r="K130" s="18"/>
      <c r="L130" s="18"/>
      <c r="M130" s="18"/>
      <c r="P130" s="18"/>
      <c r="Q130" s="18"/>
      <c r="R130" s="41"/>
      <c r="S130" s="18"/>
      <c r="T130" s="18"/>
      <c r="U130" s="18"/>
      <c r="V130" s="41"/>
      <c r="W130" s="18"/>
      <c r="X130" s="18"/>
    </row>
    <row r="131" spans="1:24" ht="15" customHeight="1" x14ac:dyDescent="0.25">
      <c r="D131" s="18"/>
      <c r="E131" s="18"/>
      <c r="G131" s="18"/>
      <c r="H131" s="18"/>
      <c r="I131" s="18"/>
      <c r="J131" s="41"/>
      <c r="K131" s="18"/>
      <c r="L131" s="18"/>
      <c r="M131" s="18"/>
      <c r="P131" s="18"/>
      <c r="Q131" s="18"/>
      <c r="R131" s="41"/>
      <c r="S131" s="18"/>
      <c r="T131" s="18"/>
      <c r="U131" s="18"/>
      <c r="V131" s="41"/>
      <c r="W131" s="18"/>
      <c r="X13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4844D-4B12-71CD-F1BA-659EE290CCA9}">
  <sheetPr>
    <tabColor rgb="FF92D050"/>
    <outlinePr summaryBelow="0" summaryRight="0"/>
  </sheetPr>
  <dimension ref="A2:Z13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","311"," - ","Textbooks")</f>
        <v>Department 311 - Textbooks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23286.019999999997</v>
      </c>
      <c r="E12" s="5"/>
      <c r="F12" s="13"/>
      <c r="G12" s="5"/>
      <c r="H12" s="5">
        <f>SUM(OSRRefH13x_0)</f>
        <v>51588.349999999984</v>
      </c>
      <c r="I12" s="5"/>
      <c r="J12" s="13"/>
      <c r="K12" s="5"/>
      <c r="L12" s="5">
        <f t="shared" ref="L12:L38" si="0">+D12-H12</f>
        <v>-28302.329999999987</v>
      </c>
      <c r="M12" s="5"/>
      <c r="N12" s="13">
        <f t="shared" ref="N12:N38" si="1">IF(H12=0,0,L12/H12)</f>
        <v>-0.54861863191980353</v>
      </c>
      <c r="O12" s="11"/>
      <c r="P12" s="5">
        <f>SUM(OSRRefP13x_0)</f>
        <v>1790494.2</v>
      </c>
      <c r="Q12" s="5"/>
      <c r="R12" s="13"/>
      <c r="S12" s="5"/>
      <c r="T12" s="5">
        <f>SUM(OSRRefT13x_0)</f>
        <v>1966145.06</v>
      </c>
      <c r="U12" s="5"/>
      <c r="V12" s="13"/>
      <c r="W12" s="5"/>
      <c r="X12" s="5">
        <f t="shared" ref="X12:X38" si="2">+P12-T12</f>
        <v>-175650.8600000001</v>
      </c>
      <c r="Y12" s="5"/>
      <c r="Z12" s="13">
        <f t="shared" ref="Z12:Z38" si="3">IF(T12=0,0,X12/T12)</f>
        <v>-8.9337691085722884E-2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--23794.17</f>
        <v>23794.17</v>
      </c>
      <c r="E13" s="3"/>
      <c r="F13" s="20"/>
      <c r="G13" s="3"/>
      <c r="H13" s="3">
        <f>-701.64</f>
        <v>-701.64</v>
      </c>
      <c r="I13" s="3"/>
      <c r="J13" s="20"/>
      <c r="K13" s="3"/>
      <c r="L13" s="3">
        <f t="shared" si="0"/>
        <v>24495.809999999998</v>
      </c>
      <c r="M13" s="3"/>
      <c r="N13" s="20">
        <f t="shared" si="1"/>
        <v>-34.912219941850516</v>
      </c>
      <c r="O13" s="12"/>
      <c r="P13" s="3">
        <f>--1417949.37</f>
        <v>1417949.37</v>
      </c>
      <c r="Q13" s="3"/>
      <c r="R13" s="20"/>
      <c r="S13" s="3"/>
      <c r="T13" s="3">
        <f>-9280.36</f>
        <v>-9280.36</v>
      </c>
      <c r="U13" s="3"/>
      <c r="V13" s="20"/>
      <c r="W13" s="3"/>
      <c r="X13" s="3">
        <f t="shared" si="2"/>
        <v>1427229.7300000002</v>
      </c>
      <c r="Y13" s="3"/>
      <c r="Z13" s="20">
        <f t="shared" si="3"/>
        <v>-153.79034110745704</v>
      </c>
    </row>
    <row r="14" spans="1:26" s="69" customFormat="1" ht="15" hidden="1" customHeight="1" outlineLevel="1" x14ac:dyDescent="0.25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--29436.91</f>
        <v>29436.91</v>
      </c>
      <c r="I14" s="3"/>
      <c r="J14" s="20"/>
      <c r="K14" s="3"/>
      <c r="L14" s="3">
        <f t="shared" si="0"/>
        <v>-29436.91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--1029241.89</f>
        <v>1029241.89</v>
      </c>
      <c r="U14" s="3"/>
      <c r="V14" s="20"/>
      <c r="W14" s="3"/>
      <c r="X14" s="3">
        <f t="shared" si="2"/>
        <v>-1029241.89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--8783.8</f>
        <v>8783.7999999999993</v>
      </c>
      <c r="I15" s="3"/>
      <c r="J15" s="20"/>
      <c r="K15" s="3"/>
      <c r="L15" s="3">
        <f t="shared" si="0"/>
        <v>-8783.7999999999993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--360316.77</f>
        <v>360316.77</v>
      </c>
      <c r="U15" s="3"/>
      <c r="V15" s="20"/>
      <c r="W15" s="3"/>
      <c r="X15" s="3">
        <f t="shared" si="2"/>
        <v>-360316.77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--494.96</f>
        <v>494.96</v>
      </c>
      <c r="I16" s="3"/>
      <c r="J16" s="20"/>
      <c r="K16" s="3"/>
      <c r="L16" s="3">
        <f t="shared" si="0"/>
        <v>-494.96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--18492.84</f>
        <v>18492.84</v>
      </c>
      <c r="U16" s="3"/>
      <c r="V16" s="20"/>
      <c r="W16" s="3"/>
      <c r="X16" s="3">
        <f t="shared" si="2"/>
        <v>-18492.84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--61.96</f>
        <v>61.96</v>
      </c>
      <c r="I18" s="3"/>
      <c r="J18" s="20"/>
      <c r="K18" s="3"/>
      <c r="L18" s="3">
        <f t="shared" si="0"/>
        <v>-61.96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--1325.79</f>
        <v>1325.79</v>
      </c>
      <c r="U18" s="3"/>
      <c r="V18" s="20"/>
      <c r="W18" s="3"/>
      <c r="X18" s="3">
        <f t="shared" si="2"/>
        <v>-1325.79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--31.17</f>
        <v>31.17</v>
      </c>
      <c r="I19" s="3"/>
      <c r="J19" s="20"/>
      <c r="K19" s="3"/>
      <c r="L19" s="3">
        <f t="shared" si="0"/>
        <v>-31.17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--515.72</f>
        <v>515.72</v>
      </c>
      <c r="U19" s="3"/>
      <c r="V19" s="20"/>
      <c r="W19" s="3"/>
      <c r="X19" s="3">
        <f t="shared" si="2"/>
        <v>-515.72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--35.38</f>
        <v>35.380000000000003</v>
      </c>
      <c r="I20" s="3"/>
      <c r="J20" s="20"/>
      <c r="K20" s="3"/>
      <c r="L20" s="3">
        <f t="shared" si="0"/>
        <v>-35.380000000000003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--508.48</f>
        <v>508.48</v>
      </c>
      <c r="U20" s="3"/>
      <c r="V20" s="20"/>
      <c r="W20" s="3"/>
      <c r="X20" s="3">
        <f t="shared" si="2"/>
        <v>-508.48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","4100"," - ","NON-TAXABLE SALES")</f>
        <v xml:space="preserve">          4100 - NON-TAXABLE SALES</v>
      </c>
      <c r="C21" s="12"/>
      <c r="D21" s="3">
        <f>--6017.15</f>
        <v>6017.15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6017.15</v>
      </c>
      <c r="M21" s="3"/>
      <c r="N21" s="20">
        <f t="shared" si="1"/>
        <v>0</v>
      </c>
      <c r="O21" s="12"/>
      <c r="P21" s="3">
        <f>--477385.27</f>
        <v>477385.27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477385.27</v>
      </c>
      <c r="Y21" s="3"/>
      <c r="Z21" s="20">
        <f t="shared" si="3"/>
        <v>0</v>
      </c>
    </row>
    <row r="22" spans="1:26" s="69" customFormat="1" ht="15" hidden="1" customHeight="1" outlineLevel="1" x14ac:dyDescent="0.25">
      <c r="A22" s="42"/>
      <c r="B22" s="12" t="str">
        <f>CONCATENATE("          ","4101"," - ","NON-TAXABLE SALES-NEW TEXT")</f>
        <v xml:space="preserve">          4101 - NON-TAXABLE SALES-NEW TEXT</v>
      </c>
      <c r="C22" s="12"/>
      <c r="D22" s="3">
        <f>0</f>
        <v>0</v>
      </c>
      <c r="E22" s="3"/>
      <c r="F22" s="20"/>
      <c r="G22" s="3"/>
      <c r="H22" s="3">
        <f>--6450.33</f>
        <v>6450.33</v>
      </c>
      <c r="I22" s="3"/>
      <c r="J22" s="20"/>
      <c r="K22" s="3"/>
      <c r="L22" s="3">
        <f t="shared" si="0"/>
        <v>-6450.33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--119247.07</f>
        <v>119247.07</v>
      </c>
      <c r="U22" s="3"/>
      <c r="V22" s="20"/>
      <c r="W22" s="3"/>
      <c r="X22" s="3">
        <f t="shared" si="2"/>
        <v>-119247.07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","4102"," - ","NON-TAXABLE SALES-USED TEXT")</f>
        <v xml:space="preserve">          4102 - NON-TAXABLE SALES-USED TEXT</v>
      </c>
      <c r="C23" s="12"/>
      <c r="D23" s="3">
        <f>0</f>
        <v>0</v>
      </c>
      <c r="E23" s="3"/>
      <c r="F23" s="20"/>
      <c r="G23" s="3"/>
      <c r="H23" s="3">
        <f>--2343.31</f>
        <v>2343.31</v>
      </c>
      <c r="I23" s="3"/>
      <c r="J23" s="20"/>
      <c r="K23" s="3"/>
      <c r="L23" s="3">
        <f t="shared" si="0"/>
        <v>-2343.31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--51046.73</f>
        <v>51046.73</v>
      </c>
      <c r="U23" s="3"/>
      <c r="V23" s="20"/>
      <c r="W23" s="3"/>
      <c r="X23" s="3">
        <f t="shared" si="2"/>
        <v>-51046.73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","4103"," - ","NON-TAXABLE SALES-RENTAL TEXT")</f>
        <v xml:space="preserve">          4103 - NON-TAXABLE SALES-RENTAL TEXT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--1138.95</f>
        <v>1138.95</v>
      </c>
      <c r="U24" s="3"/>
      <c r="V24" s="20"/>
      <c r="W24" s="3"/>
      <c r="X24" s="3">
        <f t="shared" si="2"/>
        <v>-1138.95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","4104"," - ","NON-TAXABLE SALES-DIGITAL TEXT")</f>
        <v xml:space="preserve">          4104 - NON-TAXABLE SALES-DIGITAL TEXT</v>
      </c>
      <c r="C25" s="12"/>
      <c r="D25" s="3">
        <f>0</f>
        <v>0</v>
      </c>
      <c r="E25" s="3"/>
      <c r="F25" s="20"/>
      <c r="G25" s="3"/>
      <c r="H25" s="3">
        <f>--10484.56</f>
        <v>10484.56</v>
      </c>
      <c r="I25" s="3"/>
      <c r="J25" s="20"/>
      <c r="K25" s="3"/>
      <c r="L25" s="3">
        <f t="shared" si="0"/>
        <v>-10484.56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--490887.73</f>
        <v>490887.73</v>
      </c>
      <c r="U25" s="3"/>
      <c r="V25" s="20"/>
      <c r="W25" s="3"/>
      <c r="X25" s="3">
        <f t="shared" si="2"/>
        <v>-490887.73</v>
      </c>
      <c r="Y25" s="3"/>
      <c r="Z25" s="20">
        <f t="shared" si="3"/>
        <v>-1</v>
      </c>
    </row>
    <row r="26" spans="1:26" s="69" customFormat="1" ht="15" hidden="1" customHeight="1" outlineLevel="1" x14ac:dyDescent="0.25">
      <c r="A26" s="42"/>
      <c r="B26" s="12" t="str">
        <f>CONCATENATE("          ","4113"," - ","NON-TAXABLE SALES-TRADE BOOKS")</f>
        <v xml:space="preserve">          4113 - NON-TAXABLE SALES-TRADE BOOKS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--12127.25</f>
        <v>12127.25</v>
      </c>
      <c r="U26" s="3"/>
      <c r="V26" s="20"/>
      <c r="W26" s="3"/>
      <c r="X26" s="3">
        <f t="shared" si="2"/>
        <v>-12127.25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","4118"," - ","NON-TAXABLE SALES-STUDY GUIDES")</f>
        <v xml:space="preserve">          4118 - NON-TAXABLE SALES-STUDY GUIDES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--771.73</f>
        <v>771.73</v>
      </c>
      <c r="U27" s="3"/>
      <c r="V27" s="20"/>
      <c r="W27" s="3"/>
      <c r="X27" s="3">
        <f t="shared" si="2"/>
        <v>-771.73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","4200"," - ","TAXABLE RETURNS")</f>
        <v xml:space="preserve">          4200 - TAXABLE RETURNS</v>
      </c>
      <c r="C28" s="12"/>
      <c r="D28" s="3">
        <f>-6055.15</f>
        <v>-6055.15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-6055.15</v>
      </c>
      <c r="M28" s="3"/>
      <c r="N28" s="20">
        <f t="shared" si="1"/>
        <v>0</v>
      </c>
      <c r="O28" s="12"/>
      <c r="P28" s="3">
        <f>-58807.02</f>
        <v>-58807.02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-58807.02</v>
      </c>
      <c r="Y28" s="3"/>
      <c r="Z28" s="20">
        <f t="shared" si="3"/>
        <v>0</v>
      </c>
    </row>
    <row r="29" spans="1:26" s="69" customFormat="1" ht="15" hidden="1" customHeight="1" outlineLevel="1" x14ac:dyDescent="0.25">
      <c r="A29" s="42"/>
      <c r="B29" s="12" t="str">
        <f>CONCATENATE("          ","4201"," - ","SALES RETURN TAXABLE-NEW TEXT")</f>
        <v xml:space="preserve">          4201 - SALES RETURN TAXABLE-NEW TEXT</v>
      </c>
      <c r="C29" s="12"/>
      <c r="D29" s="3">
        <f>0</f>
        <v>0</v>
      </c>
      <c r="E29" s="3"/>
      <c r="F29" s="20"/>
      <c r="G29" s="3"/>
      <c r="H29" s="3">
        <f>-658.4</f>
        <v>-658.4</v>
      </c>
      <c r="I29" s="3"/>
      <c r="J29" s="20"/>
      <c r="K29" s="3"/>
      <c r="L29" s="3">
        <f t="shared" si="0"/>
        <v>658.4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-52296.42</f>
        <v>-52296.42</v>
      </c>
      <c r="U29" s="3"/>
      <c r="V29" s="20"/>
      <c r="W29" s="3"/>
      <c r="X29" s="3">
        <f t="shared" si="2"/>
        <v>52296.42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","4202"," - ","SALES RETURN TAXABLE-USED TEXT")</f>
        <v xml:space="preserve">          4202 - SALES RETURN TAXABLE-USED TEXT</v>
      </c>
      <c r="C30" s="12"/>
      <c r="D30" s="3">
        <f>0</f>
        <v>0</v>
      </c>
      <c r="E30" s="3"/>
      <c r="F30" s="20"/>
      <c r="G30" s="3"/>
      <c r="H30" s="3">
        <f>-359.4</f>
        <v>-359.4</v>
      </c>
      <c r="I30" s="3"/>
      <c r="J30" s="20"/>
      <c r="K30" s="3"/>
      <c r="L30" s="3">
        <f t="shared" si="0"/>
        <v>359.4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-20455.66</f>
        <v>-20455.66</v>
      </c>
      <c r="U30" s="3"/>
      <c r="V30" s="20"/>
      <c r="W30" s="3"/>
      <c r="X30" s="3">
        <f t="shared" si="2"/>
        <v>20455.66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","4204"," - ","SALES RETURN TAXABLE-DIGITAL T")</f>
        <v xml:space="preserve">          4204 - SALES RETURN TAXABLE-DIGITAL T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-1763.1</f>
        <v>-1763.1</v>
      </c>
      <c r="U31" s="3"/>
      <c r="V31" s="20"/>
      <c r="W31" s="3"/>
      <c r="X31" s="3">
        <f t="shared" si="2"/>
        <v>1763.1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","4213"," - ","NON-TAXABLE SALES-TRADE BOOKS")</f>
        <v xml:space="preserve">          4213 - NON-TAXABLE SALES-TRADE BOOKS</v>
      </c>
      <c r="C32" s="12"/>
      <c r="D32" s="3">
        <f>0</f>
        <v>0</v>
      </c>
      <c r="E32" s="3"/>
      <c r="F32" s="20"/>
      <c r="G32" s="3"/>
      <c r="H32" s="3">
        <f>-8.99</f>
        <v>-8.99</v>
      </c>
      <c r="I32" s="3"/>
      <c r="J32" s="20"/>
      <c r="K32" s="3"/>
      <c r="L32" s="3">
        <f t="shared" si="0"/>
        <v>8.99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-78.92</f>
        <v>-78.92</v>
      </c>
      <c r="U32" s="3"/>
      <c r="V32" s="20"/>
      <c r="W32" s="3"/>
      <c r="X32" s="3">
        <f t="shared" si="2"/>
        <v>78.92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","4218"," - ","SALES RETURN TAXABLE-STUDY GUI")</f>
        <v xml:space="preserve">          4218 - SALES RETURN TAXABLE-STUDY GUI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-5.21</f>
        <v>-5.21</v>
      </c>
      <c r="U33" s="3"/>
      <c r="V33" s="20"/>
      <c r="W33" s="3"/>
      <c r="X33" s="3">
        <f t="shared" si="2"/>
        <v>5.21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","4300"," - ","NON-TAX RETURNS")</f>
        <v xml:space="preserve">          4300 - NON-TAX RETURNS</v>
      </c>
      <c r="C34" s="12"/>
      <c r="D34" s="3">
        <f>-207.66</f>
        <v>-207.66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-207.66</v>
      </c>
      <c r="M34" s="3"/>
      <c r="N34" s="20">
        <f t="shared" si="1"/>
        <v>0</v>
      </c>
      <c r="O34" s="12"/>
      <c r="P34" s="3">
        <f>-38274.37</f>
        <v>-38274.370000000003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-38274.370000000003</v>
      </c>
      <c r="Y34" s="3"/>
      <c r="Z34" s="20">
        <f t="shared" si="3"/>
        <v>0</v>
      </c>
    </row>
    <row r="35" spans="1:26" s="69" customFormat="1" ht="15" hidden="1" customHeight="1" outlineLevel="1" x14ac:dyDescent="0.25">
      <c r="A35" s="42"/>
      <c r="B35" s="12" t="str">
        <f>CONCATENATE("          ","4301"," - ","SALES RETURN NON TAXABLE-NEW T")</f>
        <v xml:space="preserve">          4301 - SALES RETURN NON TAXABLE-NEW T</v>
      </c>
      <c r="C35" s="12"/>
      <c r="D35" s="3">
        <f>0</f>
        <v>0</v>
      </c>
      <c r="E35" s="3"/>
      <c r="F35" s="20"/>
      <c r="G35" s="3"/>
      <c r="H35" s="3">
        <f>-1333.16</f>
        <v>-1333.16</v>
      </c>
      <c r="I35" s="3"/>
      <c r="J35" s="20"/>
      <c r="K35" s="3"/>
      <c r="L35" s="3">
        <f t="shared" si="0"/>
        <v>1333.16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-4796.36</f>
        <v>-4796.3599999999997</v>
      </c>
      <c r="U35" s="3"/>
      <c r="V35" s="20"/>
      <c r="W35" s="3"/>
      <c r="X35" s="3">
        <f t="shared" si="2"/>
        <v>4796.3599999999997</v>
      </c>
      <c r="Y35" s="3"/>
      <c r="Z35" s="20">
        <f t="shared" si="3"/>
        <v>-1</v>
      </c>
    </row>
    <row r="36" spans="1:26" s="69" customFormat="1" ht="15" hidden="1" customHeight="1" outlineLevel="1" x14ac:dyDescent="0.25">
      <c r="A36" s="42"/>
      <c r="B36" s="12" t="str">
        <f>CONCATENATE("          ","4302"," - ","SALES RETURN NON TAXABLE-TEXT")</f>
        <v xml:space="preserve">          4302 - SALES RETURN NON TAXABLE-TEXT</v>
      </c>
      <c r="C36" s="12"/>
      <c r="D36" s="3">
        <f>0</f>
        <v>0</v>
      </c>
      <c r="E36" s="3"/>
      <c r="F36" s="20"/>
      <c r="G36" s="3"/>
      <c r="H36" s="3">
        <f>-134.22</f>
        <v>-134.22</v>
      </c>
      <c r="I36" s="3"/>
      <c r="J36" s="20"/>
      <c r="K36" s="3"/>
      <c r="L36" s="3">
        <f t="shared" si="0"/>
        <v>134.22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-2577.54</f>
        <v>-2577.54</v>
      </c>
      <c r="U36" s="3"/>
      <c r="V36" s="20"/>
      <c r="W36" s="3"/>
      <c r="X36" s="3">
        <f t="shared" si="2"/>
        <v>2577.54</v>
      </c>
      <c r="Y36" s="3"/>
      <c r="Z36" s="20">
        <f t="shared" si="3"/>
        <v>-1</v>
      </c>
    </row>
    <row r="37" spans="1:26" s="69" customFormat="1" ht="15" hidden="1" customHeight="1" outlineLevel="1" x14ac:dyDescent="0.25">
      <c r="A37" s="42"/>
      <c r="B37" s="12" t="str">
        <f>CONCATENATE("          ","4304"," - ","SALES RETURN NON TAXABLE-DIGIT")</f>
        <v xml:space="preserve">          4304 - SALES RETURN NON TAXABLE-DIGIT</v>
      </c>
      <c r="C37" s="12"/>
      <c r="D37" s="3">
        <f>0</f>
        <v>0</v>
      </c>
      <c r="E37" s="3"/>
      <c r="F37" s="20"/>
      <c r="G37" s="3"/>
      <c r="H37" s="3">
        <f>-3338.22</f>
        <v>-3338.22</v>
      </c>
      <c r="I37" s="3"/>
      <c r="J37" s="20"/>
      <c r="K37" s="3"/>
      <c r="L37" s="3">
        <f t="shared" si="0"/>
        <v>3338.22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-30881.98</f>
        <v>-30881.98</v>
      </c>
      <c r="U37" s="3"/>
      <c r="V37" s="20"/>
      <c r="W37" s="3"/>
      <c r="X37" s="3">
        <f t="shared" si="2"/>
        <v>30881.98</v>
      </c>
      <c r="Y37" s="3"/>
      <c r="Z37" s="20">
        <f t="shared" si="3"/>
        <v>-1</v>
      </c>
    </row>
    <row r="38" spans="1:26" s="69" customFormat="1" ht="15" hidden="1" customHeight="1" outlineLevel="1" x14ac:dyDescent="0.25">
      <c r="A38" s="42"/>
      <c r="B38" s="12" t="str">
        <f>CONCATENATE("          ","4500"," - ","SALES DISCOUNT")</f>
        <v xml:space="preserve">          4500 - SALES DISCOUNT</v>
      </c>
      <c r="C38" s="12"/>
      <c r="D38" s="3">
        <f>-262.49</f>
        <v>-262.49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-262.49</v>
      </c>
      <c r="M38" s="3"/>
      <c r="N38" s="20">
        <f t="shared" si="1"/>
        <v>0</v>
      </c>
      <c r="O38" s="12"/>
      <c r="P38" s="3">
        <f>-7759.05</f>
        <v>-7759.05</v>
      </c>
      <c r="Q38" s="3"/>
      <c r="R38" s="20"/>
      <c r="S38" s="3"/>
      <c r="T38" s="3">
        <f>0</f>
        <v>0</v>
      </c>
      <c r="U38" s="3"/>
      <c r="V38" s="20"/>
      <c r="W38" s="3"/>
      <c r="X38" s="3">
        <f t="shared" si="2"/>
        <v>-7759.05</v>
      </c>
      <c r="Y38" s="3"/>
      <c r="Z38" s="20">
        <f t="shared" si="3"/>
        <v>0</v>
      </c>
    </row>
    <row r="39" spans="1:26" ht="15" customHeight="1" x14ac:dyDescent="0.25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collapsed="1" x14ac:dyDescent="0.25">
      <c r="A40" s="11"/>
      <c r="B40" s="28" t="s">
        <v>287</v>
      </c>
      <c r="C40" s="11"/>
      <c r="D40" s="5">
        <f>SUM(OSRRefD16x_0)</f>
        <v>21914.660000000011</v>
      </c>
      <c r="E40" s="5"/>
      <c r="F40" s="13">
        <f t="shared" ref="F40:F57" si="4">IF(D$12=0,0,D40/D$12)</f>
        <v>0.94110801244695375</v>
      </c>
      <c r="G40" s="5"/>
      <c r="H40" s="5">
        <f>SUM(OSRRefH16x_0)</f>
        <v>45586</v>
      </c>
      <c r="I40" s="5"/>
      <c r="J40" s="13">
        <f t="shared" ref="J40:J57" si="5">IF(H$12=0,0,H40/H$12)</f>
        <v>0.88364911845406979</v>
      </c>
      <c r="K40" s="5"/>
      <c r="L40" s="5">
        <f t="shared" ref="L40:L57" si="6">+D40-H40</f>
        <v>-23671.339999999989</v>
      </c>
      <c r="M40" s="5"/>
      <c r="N40" s="13">
        <f t="shared" ref="N40:N57" si="7">IF(H40=0,0,L40/H40)</f>
        <v>-0.51926775764489075</v>
      </c>
      <c r="O40" s="11"/>
      <c r="P40" s="5">
        <f>SUM(OSRRefP16x_0)</f>
        <v>1400295.11</v>
      </c>
      <c r="Q40" s="5"/>
      <c r="R40" s="13">
        <f t="shared" ref="R40:R57" si="8">IF(P$12=0,0,P40/P$12)</f>
        <v>0.78207184921347417</v>
      </c>
      <c r="S40" s="5"/>
      <c r="T40" s="5">
        <f>SUM(OSRRefT16x_0)</f>
        <v>1406908</v>
      </c>
      <c r="U40" s="5"/>
      <c r="V40" s="13">
        <f t="shared" ref="V40:V57" si="9">IF(T$12=0,0,T40/T$12)</f>
        <v>0.7155667344300628</v>
      </c>
      <c r="W40" s="5"/>
      <c r="X40" s="5">
        <f t="shared" ref="X40:X57" si="10">+P40-T40</f>
        <v>-6612.8899999998976</v>
      </c>
      <c r="Y40" s="5"/>
      <c r="Z40" s="13">
        <f t="shared" ref="Z40:Z57" si="11">IF(T40=0,0,X40/T40)</f>
        <v>-4.7003002328509739E-3</v>
      </c>
    </row>
    <row r="41" spans="1:26" s="69" customFormat="1" ht="15" hidden="1" customHeight="1" outlineLevel="1" x14ac:dyDescent="0.25">
      <c r="A41" s="42"/>
      <c r="B41" s="12" t="str">
        <f>CONCATENATE("          ","5000"," - ","PURCHASES @ COST")</f>
        <v xml:space="preserve">          5000 - PURCHASES @ COST</v>
      </c>
      <c r="C41" s="12"/>
      <c r="D41" s="3">
        <v>86055.74</v>
      </c>
      <c r="E41" s="3"/>
      <c r="F41" s="20">
        <f t="shared" si="4"/>
        <v>3.6955967571959492</v>
      </c>
      <c r="G41" s="3"/>
      <c r="H41" s="3"/>
      <c r="I41" s="3"/>
      <c r="J41" s="20">
        <f t="shared" si="5"/>
        <v>0</v>
      </c>
      <c r="K41" s="3"/>
      <c r="L41" s="3">
        <f t="shared" si="6"/>
        <v>86055.74</v>
      </c>
      <c r="M41" s="3"/>
      <c r="N41" s="20">
        <f t="shared" si="7"/>
        <v>0</v>
      </c>
      <c r="O41" s="12"/>
      <c r="P41" s="3">
        <v>1207966.54</v>
      </c>
      <c r="Q41" s="3"/>
      <c r="R41" s="20">
        <f t="shared" si="8"/>
        <v>0.67465537726958291</v>
      </c>
      <c r="S41" s="3"/>
      <c r="T41" s="3">
        <v>0</v>
      </c>
      <c r="U41" s="3"/>
      <c r="V41" s="20">
        <f t="shared" si="9"/>
        <v>0</v>
      </c>
      <c r="W41" s="3"/>
      <c r="X41" s="3">
        <f t="shared" si="10"/>
        <v>1207966.54</v>
      </c>
      <c r="Y41" s="3"/>
      <c r="Z41" s="20">
        <f t="shared" si="11"/>
        <v>0</v>
      </c>
    </row>
    <row r="42" spans="1:26" s="69" customFormat="1" ht="15" hidden="1" customHeight="1" outlineLevel="1" x14ac:dyDescent="0.25">
      <c r="A42" s="42"/>
      <c r="B42" s="12" t="str">
        <f>CONCATENATE("          ","5001"," - ","PURCHASES @ COST-NEW TEXT")</f>
        <v xml:space="preserve">          5001 - PURCHASES @ COST-NEW TEXT</v>
      </c>
      <c r="C42" s="12"/>
      <c r="D42" s="3"/>
      <c r="E42" s="3"/>
      <c r="F42" s="20">
        <f t="shared" si="4"/>
        <v>0</v>
      </c>
      <c r="G42" s="3"/>
      <c r="H42" s="3">
        <v>60234.07</v>
      </c>
      <c r="I42" s="3"/>
      <c r="J42" s="20">
        <f t="shared" si="5"/>
        <v>1.1675905509674185</v>
      </c>
      <c r="K42" s="3"/>
      <c r="L42" s="3">
        <f t="shared" si="6"/>
        <v>-60234.07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766221.51</v>
      </c>
      <c r="U42" s="3"/>
      <c r="V42" s="20">
        <f t="shared" si="9"/>
        <v>0.38970751730800574</v>
      </c>
      <c r="W42" s="3"/>
      <c r="X42" s="3">
        <f t="shared" si="10"/>
        <v>-766221.51</v>
      </c>
      <c r="Y42" s="3"/>
      <c r="Z42" s="20">
        <f t="shared" si="11"/>
        <v>-1</v>
      </c>
    </row>
    <row r="43" spans="1:26" s="69" customFormat="1" ht="15" hidden="1" customHeight="1" outlineLevel="1" x14ac:dyDescent="0.25">
      <c r="A43" s="42"/>
      <c r="B43" s="12" t="str">
        <f>CONCATENATE("          ","5002"," - ","PURCHASES @ COST-USED TEXT")</f>
        <v xml:space="preserve">          5002 - PURCHASES @ COST-USED TEXT</v>
      </c>
      <c r="C43" s="12"/>
      <c r="D43" s="3"/>
      <c r="E43" s="3"/>
      <c r="F43" s="20">
        <f t="shared" si="4"/>
        <v>0</v>
      </c>
      <c r="G43" s="3"/>
      <c r="H43" s="3">
        <v>2379.66</v>
      </c>
      <c r="I43" s="3"/>
      <c r="J43" s="20">
        <f t="shared" si="5"/>
        <v>4.6127856386180222E-2</v>
      </c>
      <c r="K43" s="3"/>
      <c r="L43" s="3">
        <f t="shared" si="6"/>
        <v>-2379.66</v>
      </c>
      <c r="M43" s="3"/>
      <c r="N43" s="20">
        <f t="shared" si="7"/>
        <v>-1</v>
      </c>
      <c r="O43" s="12"/>
      <c r="P43" s="3">
        <v>0</v>
      </c>
      <c r="Q43" s="3"/>
      <c r="R43" s="20">
        <f t="shared" si="8"/>
        <v>0</v>
      </c>
      <c r="S43" s="3"/>
      <c r="T43" s="3">
        <v>34702.49</v>
      </c>
      <c r="U43" s="3"/>
      <c r="V43" s="20">
        <f t="shared" si="9"/>
        <v>1.7650015101123819E-2</v>
      </c>
      <c r="W43" s="3"/>
      <c r="X43" s="3">
        <f t="shared" si="10"/>
        <v>-34702.49</v>
      </c>
      <c r="Y43" s="3"/>
      <c r="Z43" s="20">
        <f t="shared" si="11"/>
        <v>-1</v>
      </c>
    </row>
    <row r="44" spans="1:26" s="69" customFormat="1" ht="15" hidden="1" customHeight="1" outlineLevel="1" x14ac:dyDescent="0.25">
      <c r="A44" s="42"/>
      <c r="B44" s="12" t="str">
        <f>CONCATENATE("          ","5003"," - ","PURCHASES @ COST-RENTAL TEXT")</f>
        <v xml:space="preserve">          5003 - PURCHASES @ COST-RENTAL TEXT</v>
      </c>
      <c r="C44" s="12"/>
      <c r="D44" s="3"/>
      <c r="E44" s="3"/>
      <c r="F44" s="20">
        <f t="shared" si="4"/>
        <v>0</v>
      </c>
      <c r="G44" s="3"/>
      <c r="H44" s="3">
        <v>7179.56</v>
      </c>
      <c r="I44" s="3"/>
      <c r="J44" s="20">
        <f t="shared" si="5"/>
        <v>0.13917018086447819</v>
      </c>
      <c r="K44" s="3"/>
      <c r="L44" s="3">
        <f t="shared" si="6"/>
        <v>-7179.56</v>
      </c>
      <c r="M44" s="3"/>
      <c r="N44" s="20">
        <f t="shared" si="7"/>
        <v>-1</v>
      </c>
      <c r="O44" s="12"/>
      <c r="P44" s="3"/>
      <c r="Q44" s="3"/>
      <c r="R44" s="20">
        <f t="shared" si="8"/>
        <v>0</v>
      </c>
      <c r="S44" s="3"/>
      <c r="T44" s="3">
        <v>7212.08</v>
      </c>
      <c r="U44" s="3"/>
      <c r="V44" s="20">
        <f t="shared" si="9"/>
        <v>3.668132197733162E-3</v>
      </c>
      <c r="W44" s="3"/>
      <c r="X44" s="3">
        <f t="shared" si="10"/>
        <v>-7212.08</v>
      </c>
      <c r="Y44" s="3"/>
      <c r="Z44" s="20">
        <f t="shared" si="11"/>
        <v>-1</v>
      </c>
    </row>
    <row r="45" spans="1:26" s="69" customFormat="1" ht="15" hidden="1" customHeight="1" outlineLevel="1" x14ac:dyDescent="0.25">
      <c r="A45" s="42"/>
      <c r="B45" s="12" t="str">
        <f>CONCATENATE("          ","5004"," - ","PURCHASES @ COST-DIGITAL TEXT")</f>
        <v xml:space="preserve">          5004 - PURCHASES @ COST-DIGITAL TEXT</v>
      </c>
      <c r="C45" s="12"/>
      <c r="D45" s="3"/>
      <c r="E45" s="3"/>
      <c r="F45" s="20">
        <f t="shared" si="4"/>
        <v>0</v>
      </c>
      <c r="G45" s="3"/>
      <c r="H45" s="3">
        <v>-7843.95</v>
      </c>
      <c r="I45" s="3"/>
      <c r="J45" s="20">
        <f t="shared" si="5"/>
        <v>-0.15204886374539991</v>
      </c>
      <c r="K45" s="3"/>
      <c r="L45" s="3">
        <f t="shared" si="6"/>
        <v>7843.95</v>
      </c>
      <c r="M45" s="3"/>
      <c r="N45" s="20">
        <f t="shared" si="7"/>
        <v>-1</v>
      </c>
      <c r="O45" s="12"/>
      <c r="P45" s="3">
        <v>0</v>
      </c>
      <c r="Q45" s="3"/>
      <c r="R45" s="20">
        <f t="shared" si="8"/>
        <v>0</v>
      </c>
      <c r="S45" s="3"/>
      <c r="T45" s="3">
        <v>199606.43</v>
      </c>
      <c r="U45" s="3"/>
      <c r="V45" s="20">
        <f t="shared" si="9"/>
        <v>0.10152172088462282</v>
      </c>
      <c r="W45" s="3"/>
      <c r="X45" s="3">
        <f t="shared" si="10"/>
        <v>-199606.43</v>
      </c>
      <c r="Y45" s="3"/>
      <c r="Z45" s="20">
        <f t="shared" si="11"/>
        <v>-1</v>
      </c>
    </row>
    <row r="46" spans="1:26" s="69" customFormat="1" ht="15" hidden="1" customHeight="1" outlineLevel="1" x14ac:dyDescent="0.25">
      <c r="A46" s="42"/>
      <c r="B46" s="12" t="str">
        <f>CONCATENATE("          ","5011"," - ","PURCHASES @ COST-NO VALUE TEXT")</f>
        <v xml:space="preserve">          5011 - PURCHASES @ COST-NO VALUE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67.17</v>
      </c>
      <c r="U46" s="3"/>
      <c r="V46" s="20">
        <f t="shared" si="9"/>
        <v>3.4163298205474221E-5</v>
      </c>
      <c r="W46" s="3"/>
      <c r="X46" s="3">
        <f t="shared" si="10"/>
        <v>-67.17</v>
      </c>
      <c r="Y46" s="3"/>
      <c r="Z46" s="20">
        <f t="shared" si="11"/>
        <v>-1</v>
      </c>
    </row>
    <row r="47" spans="1:26" s="69" customFormat="1" ht="15" hidden="1" customHeight="1" outlineLevel="1" x14ac:dyDescent="0.25">
      <c r="A47" s="42"/>
      <c r="B47" s="12" t="str">
        <f>CONCATENATE("          ","5013"," - ","PURCHASES @ COST-TRADE BOOKS")</f>
        <v xml:space="preserve">          5013 - PURCHASES @ COST-TRADE BOOKS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/>
      <c r="Q47" s="3"/>
      <c r="R47" s="20">
        <f t="shared" si="8"/>
        <v>0</v>
      </c>
      <c r="S47" s="3"/>
      <c r="T47" s="3">
        <v>9670.02</v>
      </c>
      <c r="U47" s="3"/>
      <c r="V47" s="20">
        <f t="shared" si="9"/>
        <v>4.9182637622882212E-3</v>
      </c>
      <c r="W47" s="3"/>
      <c r="X47" s="3">
        <f t="shared" si="10"/>
        <v>-9670.02</v>
      </c>
      <c r="Y47" s="3"/>
      <c r="Z47" s="20">
        <f t="shared" si="11"/>
        <v>-1</v>
      </c>
    </row>
    <row r="48" spans="1:26" s="69" customFormat="1" ht="15" hidden="1" customHeight="1" outlineLevel="1" x14ac:dyDescent="0.25">
      <c r="A48" s="42"/>
      <c r="B48" s="12" t="str">
        <f>CONCATENATE("          ","5014"," - ","PURCHASES @ COST-REMAINDERS")</f>
        <v xml:space="preserve">          5014 - PURCHASES @ COST-REMAINDERS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111.57</v>
      </c>
      <c r="U48" s="3"/>
      <c r="V48" s="20">
        <f t="shared" si="9"/>
        <v>5.6745558743259762E-5</v>
      </c>
      <c r="W48" s="3"/>
      <c r="X48" s="3">
        <f t="shared" si="10"/>
        <v>-111.57</v>
      </c>
      <c r="Y48" s="3"/>
      <c r="Z48" s="20">
        <f t="shared" si="11"/>
        <v>-1</v>
      </c>
    </row>
    <row r="49" spans="1:26" s="69" customFormat="1" ht="15" hidden="1" customHeight="1" outlineLevel="1" x14ac:dyDescent="0.25">
      <c r="A49" s="42"/>
      <c r="B49" s="12" t="str">
        <f>CONCATENATE("          ","5018"," - ","PURCHASES @ COST-STUDY GUIDES")</f>
        <v xml:space="preserve">          5018 - PURCHASES @ COST-STUDY GUIDES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967.21</v>
      </c>
      <c r="U49" s="3"/>
      <c r="V49" s="20">
        <f t="shared" si="9"/>
        <v>4.91932166998909E-4</v>
      </c>
      <c r="W49" s="3"/>
      <c r="X49" s="3">
        <f t="shared" si="10"/>
        <v>-967.21</v>
      </c>
      <c r="Y49" s="3"/>
      <c r="Z49" s="20">
        <f t="shared" si="11"/>
        <v>-1</v>
      </c>
    </row>
    <row r="50" spans="1:26" s="69" customFormat="1" ht="15" hidden="1" customHeight="1" outlineLevel="1" x14ac:dyDescent="0.25">
      <c r="A50" s="42"/>
      <c r="B50" s="12" t="str">
        <f>CONCATENATE("          ","5200"," - ","PURCHASES OFFSET")</f>
        <v xml:space="preserve">          5200 - PURCHASES OFFSET</v>
      </c>
      <c r="C50" s="12"/>
      <c r="D50" s="3">
        <v>-87704.65</v>
      </c>
      <c r="E50" s="3"/>
      <c r="F50" s="20">
        <f t="shared" si="4"/>
        <v>-3.7664079134175785</v>
      </c>
      <c r="G50" s="3"/>
      <c r="H50" s="3">
        <v>-63605.72</v>
      </c>
      <c r="I50" s="3"/>
      <c r="J50" s="20">
        <f t="shared" si="5"/>
        <v>-1.2329473611774755</v>
      </c>
      <c r="K50" s="3"/>
      <c r="L50" s="3">
        <f t="shared" si="6"/>
        <v>-24098.929999999993</v>
      </c>
      <c r="M50" s="3"/>
      <c r="N50" s="20">
        <f t="shared" si="7"/>
        <v>0.37887991834696616</v>
      </c>
      <c r="O50" s="12"/>
      <c r="P50" s="3">
        <v>-1288787.26</v>
      </c>
      <c r="Q50" s="3"/>
      <c r="R50" s="20">
        <f t="shared" si="8"/>
        <v>-0.71979415515559897</v>
      </c>
      <c r="S50" s="3"/>
      <c r="T50" s="3">
        <v>-1088501.69</v>
      </c>
      <c r="U50" s="3"/>
      <c r="V50" s="20">
        <f t="shared" si="9"/>
        <v>-0.55362226935585312</v>
      </c>
      <c r="W50" s="3"/>
      <c r="X50" s="3">
        <f t="shared" si="10"/>
        <v>-200285.57000000007</v>
      </c>
      <c r="Y50" s="3"/>
      <c r="Z50" s="20">
        <f t="shared" si="11"/>
        <v>0.1840011566725267</v>
      </c>
    </row>
    <row r="51" spans="1:26" s="69" customFormat="1" ht="15" hidden="1" customHeight="1" outlineLevel="1" x14ac:dyDescent="0.25">
      <c r="A51" s="42"/>
      <c r="B51" s="12" t="str">
        <f>CONCATENATE("          ","5300"," - ","COG$ OFFSET")</f>
        <v xml:space="preserve">          5300 - COG$ OFFSET</v>
      </c>
      <c r="C51" s="12"/>
      <c r="D51" s="3">
        <v>21914.66</v>
      </c>
      <c r="E51" s="3"/>
      <c r="F51" s="20">
        <f t="shared" si="4"/>
        <v>0.9411080124469533</v>
      </c>
      <c r="G51" s="3"/>
      <c r="H51" s="3">
        <v>45586</v>
      </c>
      <c r="I51" s="3"/>
      <c r="J51" s="20">
        <f t="shared" si="5"/>
        <v>0.88364911845406979</v>
      </c>
      <c r="K51" s="3"/>
      <c r="L51" s="3">
        <f t="shared" si="6"/>
        <v>-23671.34</v>
      </c>
      <c r="M51" s="3"/>
      <c r="N51" s="20">
        <f t="shared" si="7"/>
        <v>-0.51926775764489097</v>
      </c>
      <c r="O51" s="12"/>
      <c r="P51" s="3">
        <v>1400408.3</v>
      </c>
      <c r="Q51" s="3"/>
      <c r="R51" s="20">
        <f t="shared" si="8"/>
        <v>0.78213506639675245</v>
      </c>
      <c r="S51" s="3"/>
      <c r="T51" s="3">
        <v>1406908</v>
      </c>
      <c r="U51" s="3"/>
      <c r="V51" s="20">
        <f t="shared" si="9"/>
        <v>0.7155667344300628</v>
      </c>
      <c r="W51" s="3"/>
      <c r="X51" s="3">
        <f t="shared" si="10"/>
        <v>-6499.6999999999534</v>
      </c>
      <c r="Y51" s="3"/>
      <c r="Z51" s="20">
        <f t="shared" si="11"/>
        <v>-4.6198472110471709E-3</v>
      </c>
    </row>
    <row r="52" spans="1:26" s="69" customFormat="1" ht="15" hidden="1" customHeight="1" outlineLevel="1" x14ac:dyDescent="0.25">
      <c r="A52" s="42"/>
      <c r="B52" s="12" t="str">
        <f>CONCATENATE("          ","5500"," - ","FREIGHT-IN")</f>
        <v xml:space="preserve">          5500 - FREIGHT-IN</v>
      </c>
      <c r="C52" s="12"/>
      <c r="D52" s="3">
        <v>1648.91</v>
      </c>
      <c r="E52" s="3"/>
      <c r="F52" s="20">
        <f t="shared" si="4"/>
        <v>7.0811156221629992E-2</v>
      </c>
      <c r="G52" s="3"/>
      <c r="H52" s="3">
        <v>0</v>
      </c>
      <c r="I52" s="3"/>
      <c r="J52" s="20">
        <f t="shared" si="5"/>
        <v>0</v>
      </c>
      <c r="K52" s="3"/>
      <c r="L52" s="3">
        <f t="shared" si="6"/>
        <v>1648.91</v>
      </c>
      <c r="M52" s="3"/>
      <c r="N52" s="20">
        <f t="shared" si="7"/>
        <v>0</v>
      </c>
      <c r="O52" s="12"/>
      <c r="P52" s="3">
        <v>80707.53</v>
      </c>
      <c r="Q52" s="3"/>
      <c r="R52" s="20">
        <f t="shared" si="8"/>
        <v>4.5075560702737827E-2</v>
      </c>
      <c r="S52" s="3"/>
      <c r="T52" s="3">
        <v>0</v>
      </c>
      <c r="U52" s="3"/>
      <c r="V52" s="20">
        <f t="shared" si="9"/>
        <v>0</v>
      </c>
      <c r="W52" s="3"/>
      <c r="X52" s="3">
        <f t="shared" si="10"/>
        <v>80707.53</v>
      </c>
      <c r="Y52" s="3"/>
      <c r="Z52" s="20">
        <f t="shared" si="11"/>
        <v>0</v>
      </c>
    </row>
    <row r="53" spans="1:26" s="69" customFormat="1" ht="15" hidden="1" customHeight="1" outlineLevel="1" x14ac:dyDescent="0.25">
      <c r="A53" s="42"/>
      <c r="B53" s="12" t="str">
        <f>CONCATENATE("          ","5501"," - ","FREIGHT-IN-NEW TEXT")</f>
        <v xml:space="preserve">          5501 - FREIGHT-IN-NEW TEXT</v>
      </c>
      <c r="C53" s="12"/>
      <c r="D53" s="3"/>
      <c r="E53" s="3"/>
      <c r="F53" s="20">
        <f t="shared" si="4"/>
        <v>0</v>
      </c>
      <c r="G53" s="3"/>
      <c r="H53" s="3">
        <v>1522.41</v>
      </c>
      <c r="I53" s="3"/>
      <c r="J53" s="20">
        <f t="shared" si="5"/>
        <v>2.9510732558804469E-2</v>
      </c>
      <c r="K53" s="3"/>
      <c r="L53" s="3">
        <f t="shared" si="6"/>
        <v>-1522.41</v>
      </c>
      <c r="M53" s="3"/>
      <c r="N53" s="20">
        <f t="shared" si="7"/>
        <v>-1</v>
      </c>
      <c r="O53" s="12"/>
      <c r="P53" s="3">
        <v>0</v>
      </c>
      <c r="Q53" s="3"/>
      <c r="R53" s="20">
        <f t="shared" si="8"/>
        <v>0</v>
      </c>
      <c r="S53" s="3"/>
      <c r="T53" s="3">
        <v>51836.14</v>
      </c>
      <c r="U53" s="3"/>
      <c r="V53" s="20">
        <f t="shared" si="9"/>
        <v>2.6364351773719076E-2</v>
      </c>
      <c r="W53" s="3"/>
      <c r="X53" s="3">
        <f t="shared" si="10"/>
        <v>-51836.14</v>
      </c>
      <c r="Y53" s="3"/>
      <c r="Z53" s="20">
        <f t="shared" si="11"/>
        <v>-1</v>
      </c>
    </row>
    <row r="54" spans="1:26" s="69" customFormat="1" ht="15" hidden="1" customHeight="1" outlineLevel="1" x14ac:dyDescent="0.25">
      <c r="A54" s="42"/>
      <c r="B54" s="12" t="str">
        <f>CONCATENATE("          ","5502"," - ","FREIGHT-IN-USED TEXT")</f>
        <v xml:space="preserve">          5502 - FREIGHT-IN-USED TEXT</v>
      </c>
      <c r="C54" s="12"/>
      <c r="D54" s="3"/>
      <c r="E54" s="3"/>
      <c r="F54" s="20">
        <f t="shared" si="4"/>
        <v>0</v>
      </c>
      <c r="G54" s="3"/>
      <c r="H54" s="3">
        <v>133.97</v>
      </c>
      <c r="I54" s="3"/>
      <c r="J54" s="20">
        <f t="shared" si="5"/>
        <v>2.596904145994203E-3</v>
      </c>
      <c r="K54" s="3"/>
      <c r="L54" s="3">
        <f t="shared" si="6"/>
        <v>-133.97</v>
      </c>
      <c r="M54" s="3"/>
      <c r="N54" s="20">
        <f t="shared" si="7"/>
        <v>-1</v>
      </c>
      <c r="O54" s="12"/>
      <c r="P54" s="3">
        <v>0</v>
      </c>
      <c r="Q54" s="3"/>
      <c r="R54" s="20">
        <f t="shared" si="8"/>
        <v>0</v>
      </c>
      <c r="S54" s="3"/>
      <c r="T54" s="3">
        <v>17992.87</v>
      </c>
      <c r="U54" s="3"/>
      <c r="V54" s="20">
        <f t="shared" si="9"/>
        <v>9.1513441027591316E-3</v>
      </c>
      <c r="W54" s="3"/>
      <c r="X54" s="3">
        <f t="shared" si="10"/>
        <v>-17992.87</v>
      </c>
      <c r="Y54" s="3"/>
      <c r="Z54" s="20">
        <f t="shared" si="11"/>
        <v>-1</v>
      </c>
    </row>
    <row r="55" spans="1:26" s="69" customFormat="1" ht="15" hidden="1" customHeight="1" outlineLevel="1" x14ac:dyDescent="0.25">
      <c r="A55" s="42"/>
      <c r="B55" s="12" t="str">
        <f>CONCATENATE("          ","5504"," - ","FREIGHT-IN-DIGITAL TEXT")</f>
        <v xml:space="preserve">          5504 - FREIGHT-IN-DIGITAL TEXT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/>
      <c r="Q55" s="3"/>
      <c r="R55" s="20">
        <f t="shared" si="8"/>
        <v>0</v>
      </c>
      <c r="S55" s="3"/>
      <c r="T55" s="3">
        <v>28.92</v>
      </c>
      <c r="U55" s="3"/>
      <c r="V55" s="20">
        <f t="shared" si="9"/>
        <v>1.4708985917854912E-5</v>
      </c>
      <c r="W55" s="3"/>
      <c r="X55" s="3">
        <f t="shared" si="10"/>
        <v>-28.92</v>
      </c>
      <c r="Y55" s="3"/>
      <c r="Z55" s="20">
        <f t="shared" si="11"/>
        <v>-1</v>
      </c>
    </row>
    <row r="56" spans="1:26" s="69" customFormat="1" ht="15" hidden="1" customHeight="1" outlineLevel="1" x14ac:dyDescent="0.25">
      <c r="A56" s="42"/>
      <c r="B56" s="12" t="str">
        <f>CONCATENATE("          ","5513"," - ","FREIGHT-IN-TRADE BOOKS")</f>
        <v xml:space="preserve">          5513 - FREIGHT-IN-TRADE BOOKS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/>
      <c r="Q56" s="3"/>
      <c r="R56" s="20">
        <f t="shared" si="8"/>
        <v>0</v>
      </c>
      <c r="S56" s="3"/>
      <c r="T56" s="3">
        <v>85.28</v>
      </c>
      <c r="U56" s="3"/>
      <c r="V56" s="20">
        <f t="shared" si="9"/>
        <v>4.337421573563855E-5</v>
      </c>
      <c r="W56" s="3"/>
      <c r="X56" s="3">
        <f t="shared" si="10"/>
        <v>-85.28</v>
      </c>
      <c r="Y56" s="3"/>
      <c r="Z56" s="20">
        <f t="shared" si="11"/>
        <v>-1</v>
      </c>
    </row>
    <row r="57" spans="1:26" s="69" customFormat="1" ht="15" hidden="1" customHeight="1" outlineLevel="1" x14ac:dyDescent="0.25">
      <c r="A57" s="42"/>
      <c r="B57" s="12" t="str">
        <f>CONCATENATE("          ","5518"," - ","FREIGHT-IN-STUDY GUIDES")</f>
        <v xml:space="preserve">          5518 - FREIGHT-IN-STUDY GUIDES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ht="15" customHeight="1" x14ac:dyDescent="0.25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25">
      <c r="A59" s="11"/>
      <c r="B59" s="27" t="s">
        <v>288</v>
      </c>
      <c r="C59" s="27"/>
      <c r="D59" s="22">
        <f>D12-D40</f>
        <v>1371.359999999986</v>
      </c>
      <c r="E59" s="15"/>
      <c r="F59" s="23">
        <f>IF(D$12=0,0,D59/D$12)</f>
        <v>5.8891987553046254E-2</v>
      </c>
      <c r="G59" s="15"/>
      <c r="H59" s="22">
        <f>H12-H40</f>
        <v>6002.349999999984</v>
      </c>
      <c r="I59" s="15"/>
      <c r="J59" s="23">
        <f>IF(H$12=0,0,H59/H$12)</f>
        <v>0.11635088154593015</v>
      </c>
      <c r="K59" s="16"/>
      <c r="L59" s="22">
        <f>+D59-H59</f>
        <v>-4630.989999999998</v>
      </c>
      <c r="M59" s="16"/>
      <c r="N59" s="23">
        <f>IF(H59=0,0,L59/H59)</f>
        <v>-0.77152948428532331</v>
      </c>
      <c r="O59" s="28"/>
      <c r="P59" s="22">
        <f>P12-P40</f>
        <v>390199.08999999985</v>
      </c>
      <c r="Q59" s="15"/>
      <c r="R59" s="23">
        <f>IF(P$12=0,0,P59/P$12)</f>
        <v>0.21792815078652578</v>
      </c>
      <c r="S59" s="15"/>
      <c r="T59" s="22">
        <f>T12-T40</f>
        <v>559237.06000000006</v>
      </c>
      <c r="U59" s="15"/>
      <c r="V59" s="23">
        <f>IF(T$12=0,0,T59/T$12)</f>
        <v>0.28443326556993714</v>
      </c>
      <c r="W59" s="16"/>
      <c r="X59" s="22">
        <f>+P59-T59</f>
        <v>-169037.9700000002</v>
      </c>
      <c r="Y59" s="16"/>
      <c r="Z59" s="23">
        <f>IF(T59=0,0,X59/T59)</f>
        <v>-0.30226532197276085</v>
      </c>
    </row>
    <row r="60" spans="1:26" ht="15" customHeight="1" x14ac:dyDescent="0.25">
      <c r="A60" s="10"/>
      <c r="B60" s="11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x14ac:dyDescent="0.25">
      <c r="A61" s="11"/>
      <c r="B61" s="28" t="s">
        <v>289</v>
      </c>
      <c r="C61" s="11"/>
      <c r="D61" s="21" cm="1">
        <f t="array" ref="D61">SUM(OSRRefD22x_0)</f>
        <v>34291.019999999997</v>
      </c>
      <c r="E61" s="21"/>
      <c r="F61" s="31">
        <f t="shared" ref="F61:F92" si="12">IF(D$12=0,0,D61/D$12)</f>
        <v>1.4726011572608801</v>
      </c>
      <c r="G61" s="21"/>
      <c r="H61" s="21" cm="1">
        <f t="array" ref="H61">SUM(OSRRefH22x_0)</f>
        <v>45563.200000000012</v>
      </c>
      <c r="I61" s="21"/>
      <c r="J61" s="31">
        <f t="shared" ref="J61:J92" si="13">IF(H$12=0,0,H61/H$12)</f>
        <v>0.88320715820529294</v>
      </c>
      <c r="K61" s="5"/>
      <c r="L61" s="21">
        <f t="shared" ref="L61:L92" si="14">+D61-H61</f>
        <v>-11272.180000000015</v>
      </c>
      <c r="M61" s="5"/>
      <c r="N61" s="31">
        <f t="shared" ref="N61:N92" si="15">IF(H61=0,0,L61/H61)</f>
        <v>-0.24739658320750105</v>
      </c>
      <c r="O61" s="11"/>
      <c r="P61" s="21" cm="1">
        <f t="array" ref="P61">SUM(OSRRefP22x_0)</f>
        <v>482773.09</v>
      </c>
      <c r="Q61" s="21"/>
      <c r="R61" s="31">
        <f t="shared" ref="R61:R92" si="16">IF(P$12=0,0,P61/P$12)</f>
        <v>0.26963119456069728</v>
      </c>
      <c r="S61" s="21"/>
      <c r="T61" s="21" cm="1">
        <f t="array" ref="T61">SUM(OSRRefT22x_0)</f>
        <v>507407.53999999986</v>
      </c>
      <c r="U61" s="21"/>
      <c r="V61" s="31">
        <f t="shared" ref="V61:V92" si="17">IF(T$12=0,0,T61/T$12)</f>
        <v>0.25807228079091982</v>
      </c>
      <c r="W61" s="5"/>
      <c r="X61" s="21">
        <f t="shared" ref="X61:X92" si="18">+P61-T61</f>
        <v>-24634.449999999837</v>
      </c>
      <c r="Y61" s="5"/>
      <c r="Z61" s="31">
        <f t="shared" ref="Z61:Z92" si="19">IF(T61=0,0,X61/T61)</f>
        <v>-4.8549633298708657E-2</v>
      </c>
    </row>
    <row r="62" spans="1:26" s="68" customFormat="1" ht="15" customHeight="1" outlineLevel="1" collapsed="1" x14ac:dyDescent="0.25">
      <c r="A62" s="26"/>
      <c r="B62" s="14" t="str">
        <f>CONCATENATE("     ","*Benefits                                         ")</f>
        <v xml:space="preserve">     *Benefits                                         </v>
      </c>
      <c r="C62" s="14"/>
      <c r="D62" s="2">
        <f>SUM(OSRRefD22_0x_0)</f>
        <v>10813.289999999999</v>
      </c>
      <c r="E62" s="2"/>
      <c r="F62" s="6">
        <f t="shared" si="12"/>
        <v>0.46436832056315336</v>
      </c>
      <c r="G62" s="2"/>
      <c r="H62" s="2">
        <f>SUM(OSRRefH22_0x_0)</f>
        <v>11708.38</v>
      </c>
      <c r="I62" s="2"/>
      <c r="J62" s="6">
        <f t="shared" si="13"/>
        <v>0.22695783059547364</v>
      </c>
      <c r="K62" s="2"/>
      <c r="L62" s="2">
        <f t="shared" si="14"/>
        <v>-895.09000000000015</v>
      </c>
      <c r="M62" s="2"/>
      <c r="N62" s="6">
        <f t="shared" si="15"/>
        <v>-7.6448663265114403E-2</v>
      </c>
      <c r="O62" s="14"/>
      <c r="P62" s="2">
        <f>SUM(OSRRefP22_0x_0)</f>
        <v>117745.83</v>
      </c>
      <c r="Q62" s="2"/>
      <c r="R62" s="6">
        <f t="shared" si="16"/>
        <v>6.5761637206085341E-2</v>
      </c>
      <c r="S62" s="2"/>
      <c r="T62" s="2">
        <f>SUM(OSRRefT22_0x_0)</f>
        <v>131878.37</v>
      </c>
      <c r="U62" s="2"/>
      <c r="V62" s="6">
        <f t="shared" si="17"/>
        <v>6.7074588077443278E-2</v>
      </c>
      <c r="W62" s="2"/>
      <c r="X62" s="2">
        <f t="shared" si="18"/>
        <v>-14132.539999999994</v>
      </c>
      <c r="Y62" s="2"/>
      <c r="Z62" s="6">
        <f t="shared" si="19"/>
        <v>-0.10716344158636472</v>
      </c>
    </row>
    <row r="63" spans="1:26" s="69" customFormat="1" ht="15" hidden="1" customHeight="1" outlineLevel="2" x14ac:dyDescent="0.25">
      <c r="A63" s="25"/>
      <c r="B63" s="12" t="str">
        <f>CONCATENATE("          ","6111"," - ","F.I.C.A.")</f>
        <v xml:space="preserve">          6111 - F.I.C.A.</v>
      </c>
      <c r="C63" s="12"/>
      <c r="D63" s="7">
        <v>1542.63</v>
      </c>
      <c r="E63" s="3"/>
      <c r="F63" s="8">
        <f t="shared" si="12"/>
        <v>6.6247044363957439E-2</v>
      </c>
      <c r="G63" s="3"/>
      <c r="H63" s="7">
        <v>2097.79</v>
      </c>
      <c r="I63" s="3"/>
      <c r="J63" s="8">
        <f t="shared" si="13"/>
        <v>4.0664025889566163E-2</v>
      </c>
      <c r="K63" s="3"/>
      <c r="L63" s="7">
        <f t="shared" si="14"/>
        <v>-555.15999999999985</v>
      </c>
      <c r="M63" s="3"/>
      <c r="N63" s="8">
        <f t="shared" si="15"/>
        <v>-0.26464040728576255</v>
      </c>
      <c r="O63" s="12"/>
      <c r="P63" s="7">
        <v>23424.71</v>
      </c>
      <c r="Q63" s="3"/>
      <c r="R63" s="8">
        <f t="shared" si="16"/>
        <v>1.3082818140377109E-2</v>
      </c>
      <c r="S63" s="3"/>
      <c r="T63" s="7">
        <v>24006.85</v>
      </c>
      <c r="U63" s="3"/>
      <c r="V63" s="8">
        <f t="shared" si="17"/>
        <v>1.2210111292602183E-2</v>
      </c>
      <c r="W63" s="3"/>
      <c r="X63" s="7">
        <f t="shared" si="18"/>
        <v>-582.13999999999942</v>
      </c>
      <c r="Y63" s="3"/>
      <c r="Z63" s="8">
        <f t="shared" si="19"/>
        <v>-2.4248912289617317E-2</v>
      </c>
    </row>
    <row r="64" spans="1:26" s="69" customFormat="1" ht="15" hidden="1" customHeight="1" outlineLevel="2" x14ac:dyDescent="0.25">
      <c r="A64" s="25"/>
      <c r="B64" s="12" t="str">
        <f>CONCATENATE("          ","6112"," - ","COMPENSATION INSURANCE")</f>
        <v xml:space="preserve">          6112 - COMPENSATION INSURANCE</v>
      </c>
      <c r="C64" s="12"/>
      <c r="D64" s="7">
        <v>403.79</v>
      </c>
      <c r="E64" s="3"/>
      <c r="F64" s="8">
        <f t="shared" si="12"/>
        <v>1.7340447186767E-2</v>
      </c>
      <c r="G64" s="3"/>
      <c r="H64" s="7">
        <v>186.45</v>
      </c>
      <c r="I64" s="3"/>
      <c r="J64" s="8">
        <f t="shared" si="13"/>
        <v>3.6141880870390322E-3</v>
      </c>
      <c r="K64" s="3"/>
      <c r="L64" s="7">
        <f t="shared" si="14"/>
        <v>217.34000000000003</v>
      </c>
      <c r="M64" s="3"/>
      <c r="N64" s="8">
        <f t="shared" si="15"/>
        <v>1.1656744435505499</v>
      </c>
      <c r="O64" s="12"/>
      <c r="P64" s="7">
        <v>4465.3900000000003</v>
      </c>
      <c r="Q64" s="3"/>
      <c r="R64" s="8">
        <f t="shared" si="16"/>
        <v>2.4939427337994174E-3</v>
      </c>
      <c r="S64" s="3"/>
      <c r="T64" s="7">
        <v>1371.89</v>
      </c>
      <c r="U64" s="3"/>
      <c r="V64" s="8">
        <f t="shared" si="17"/>
        <v>6.9775624795456346E-4</v>
      </c>
      <c r="W64" s="3"/>
      <c r="X64" s="7">
        <f t="shared" si="18"/>
        <v>3093.5</v>
      </c>
      <c r="Y64" s="3"/>
      <c r="Z64" s="8">
        <f t="shared" si="19"/>
        <v>2.2549183972475926</v>
      </c>
    </row>
    <row r="65" spans="1:26" s="69" customFormat="1" ht="15" hidden="1" customHeight="1" outlineLevel="2" x14ac:dyDescent="0.25">
      <c r="A65" s="25"/>
      <c r="B65" s="12" t="str">
        <f>CONCATENATE("          ","6113"," - ","GROUP INSURANCE")</f>
        <v xml:space="preserve">          6113 - GROUP INSURANCE</v>
      </c>
      <c r="C65" s="12"/>
      <c r="D65" s="7">
        <v>4226.1400000000003</v>
      </c>
      <c r="E65" s="3"/>
      <c r="F65" s="8">
        <f t="shared" si="12"/>
        <v>0.18148829211690107</v>
      </c>
      <c r="G65" s="3"/>
      <c r="H65" s="7">
        <v>4943.91</v>
      </c>
      <c r="I65" s="3"/>
      <c r="J65" s="8">
        <f t="shared" si="13"/>
        <v>9.5833846207525566E-2</v>
      </c>
      <c r="K65" s="3"/>
      <c r="L65" s="7">
        <f t="shared" si="14"/>
        <v>-717.76999999999953</v>
      </c>
      <c r="M65" s="3"/>
      <c r="N65" s="8">
        <f t="shared" si="15"/>
        <v>-0.14518265906944089</v>
      </c>
      <c r="O65" s="12"/>
      <c r="P65" s="7">
        <v>47823.83</v>
      </c>
      <c r="Q65" s="3"/>
      <c r="R65" s="8">
        <f t="shared" si="16"/>
        <v>2.6709849157847035E-2</v>
      </c>
      <c r="S65" s="3"/>
      <c r="T65" s="7">
        <v>50107.77</v>
      </c>
      <c r="U65" s="3"/>
      <c r="V65" s="8">
        <f t="shared" si="17"/>
        <v>2.5485286421338616E-2</v>
      </c>
      <c r="W65" s="3"/>
      <c r="X65" s="7">
        <f t="shared" si="18"/>
        <v>-2283.9399999999951</v>
      </c>
      <c r="Y65" s="3"/>
      <c r="Z65" s="8">
        <f t="shared" si="19"/>
        <v>-4.5580555670308123E-2</v>
      </c>
    </row>
    <row r="66" spans="1:26" s="69" customFormat="1" ht="15" hidden="1" customHeight="1" outlineLevel="2" x14ac:dyDescent="0.25">
      <c r="A66" s="25"/>
      <c r="B66" s="12" t="str">
        <f>CONCATENATE("          ","6114"," - ","STATE UNEMPLOYMENT INSURANCE")</f>
        <v xml:space="preserve">          6114 - STATE UNEMPLOYMENT INSURANCE</v>
      </c>
      <c r="C66" s="12"/>
      <c r="D66" s="7">
        <v>79.48</v>
      </c>
      <c r="E66" s="3"/>
      <c r="F66" s="8">
        <f t="shared" si="12"/>
        <v>3.4132067223166525E-3</v>
      </c>
      <c r="G66" s="3"/>
      <c r="H66" s="7">
        <v>113</v>
      </c>
      <c r="I66" s="3"/>
      <c r="J66" s="8">
        <f t="shared" si="13"/>
        <v>2.1904170224478982E-3</v>
      </c>
      <c r="K66" s="3"/>
      <c r="L66" s="7">
        <f t="shared" si="14"/>
        <v>-33.519999999999996</v>
      </c>
      <c r="M66" s="3"/>
      <c r="N66" s="8">
        <f t="shared" si="15"/>
        <v>-0.29663716814159291</v>
      </c>
      <c r="O66" s="12"/>
      <c r="P66" s="7">
        <v>885.1</v>
      </c>
      <c r="Q66" s="3"/>
      <c r="R66" s="8">
        <f t="shared" si="16"/>
        <v>4.9433279370578252E-4</v>
      </c>
      <c r="S66" s="3"/>
      <c r="T66" s="7">
        <v>875.51</v>
      </c>
      <c r="U66" s="3"/>
      <c r="V66" s="8">
        <f t="shared" si="17"/>
        <v>4.4529267845577986E-4</v>
      </c>
      <c r="W66" s="3"/>
      <c r="X66" s="7">
        <f t="shared" si="18"/>
        <v>9.5900000000000318</v>
      </c>
      <c r="Y66" s="3"/>
      <c r="Z66" s="8">
        <f t="shared" si="19"/>
        <v>1.0953615606903441E-2</v>
      </c>
    </row>
    <row r="67" spans="1:26" s="69" customFormat="1" ht="15" hidden="1" customHeight="1" outlineLevel="2" x14ac:dyDescent="0.25">
      <c r="A67" s="25"/>
      <c r="B67" s="12" t="str">
        <f>CONCATENATE("          ","6115"," - ","P.E.R.S.")</f>
        <v xml:space="preserve">          6115 - P.E.R.S.</v>
      </c>
      <c r="C67" s="12"/>
      <c r="D67" s="7">
        <v>1192.42</v>
      </c>
      <c r="E67" s="3"/>
      <c r="F67" s="8">
        <f t="shared" si="12"/>
        <v>5.1207548563472857E-2</v>
      </c>
      <c r="G67" s="3"/>
      <c r="H67" s="7">
        <v>1783.22</v>
      </c>
      <c r="I67" s="3"/>
      <c r="J67" s="8">
        <f t="shared" si="13"/>
        <v>3.4566331351942842E-2</v>
      </c>
      <c r="K67" s="3"/>
      <c r="L67" s="7">
        <f t="shared" si="14"/>
        <v>-590.79999999999995</v>
      </c>
      <c r="M67" s="3"/>
      <c r="N67" s="8">
        <f t="shared" si="15"/>
        <v>-0.33131077489036681</v>
      </c>
      <c r="O67" s="12"/>
      <c r="P67" s="7">
        <v>20148.009999999998</v>
      </c>
      <c r="Q67" s="3"/>
      <c r="R67" s="8">
        <f t="shared" si="16"/>
        <v>1.1252764739478073E-2</v>
      </c>
      <c r="S67" s="3"/>
      <c r="T67" s="7">
        <v>20247.57</v>
      </c>
      <c r="U67" s="3"/>
      <c r="V67" s="8">
        <f t="shared" si="17"/>
        <v>1.0298105878311949E-2</v>
      </c>
      <c r="W67" s="3"/>
      <c r="X67" s="7">
        <f t="shared" si="18"/>
        <v>-99.56000000000131</v>
      </c>
      <c r="Y67" s="3"/>
      <c r="Z67" s="8">
        <f t="shared" si="19"/>
        <v>-4.9171332658685118E-3</v>
      </c>
    </row>
    <row r="68" spans="1:26" s="69" customFormat="1" ht="15" hidden="1" customHeight="1" outlineLevel="2" x14ac:dyDescent="0.25">
      <c r="A68" s="25"/>
      <c r="B68" s="12" t="str">
        <f>CONCATENATE("          ","6117"," - ","RETIREMENT STAFF HOURLY")</f>
        <v xml:space="preserve">          6117 - RETIREMENT STAFF HOURLY</v>
      </c>
      <c r="C68" s="12"/>
      <c r="D68" s="7">
        <v>161.08000000000001</v>
      </c>
      <c r="E68" s="3"/>
      <c r="F68" s="8">
        <f t="shared" si="12"/>
        <v>6.9174551941465325E-3</v>
      </c>
      <c r="G68" s="3"/>
      <c r="H68" s="7">
        <v>245.58</v>
      </c>
      <c r="I68" s="3"/>
      <c r="J68" s="8">
        <f t="shared" si="13"/>
        <v>4.7603771006438488E-3</v>
      </c>
      <c r="K68" s="3"/>
      <c r="L68" s="7">
        <f t="shared" si="14"/>
        <v>-84.5</v>
      </c>
      <c r="M68" s="3"/>
      <c r="N68" s="8">
        <f t="shared" si="15"/>
        <v>-0.34408339441322583</v>
      </c>
      <c r="O68" s="12"/>
      <c r="P68" s="7">
        <v>3376.44</v>
      </c>
      <c r="Q68" s="3"/>
      <c r="R68" s="8">
        <f t="shared" si="16"/>
        <v>1.885758691650607E-3</v>
      </c>
      <c r="S68" s="3"/>
      <c r="T68" s="7">
        <v>3001.4</v>
      </c>
      <c r="U68" s="3"/>
      <c r="V68" s="8">
        <f t="shared" si="17"/>
        <v>1.5265404679754401E-3</v>
      </c>
      <c r="W68" s="3"/>
      <c r="X68" s="7">
        <f t="shared" si="18"/>
        <v>375.03999999999996</v>
      </c>
      <c r="Y68" s="3"/>
      <c r="Z68" s="8">
        <f t="shared" si="19"/>
        <v>0.12495502099020456</v>
      </c>
    </row>
    <row r="69" spans="1:26" s="69" customFormat="1" ht="15" hidden="1" customHeight="1" outlineLevel="2" x14ac:dyDescent="0.25">
      <c r="A69" s="25"/>
      <c r="B69" s="12" t="str">
        <f>CONCATENATE("          ","6118"," - ","VACATION")</f>
        <v xml:space="preserve">          6118 - VACATION</v>
      </c>
      <c r="C69" s="12"/>
      <c r="D69" s="7">
        <v>1330.2</v>
      </c>
      <c r="E69" s="3"/>
      <c r="F69" s="8">
        <f t="shared" si="12"/>
        <v>5.712440339740326E-2</v>
      </c>
      <c r="G69" s="3"/>
      <c r="H69" s="7">
        <v>1644.18</v>
      </c>
      <c r="I69" s="3"/>
      <c r="J69" s="8">
        <f t="shared" si="13"/>
        <v>3.1871149203260049E-2</v>
      </c>
      <c r="K69" s="3"/>
      <c r="L69" s="7">
        <f t="shared" si="14"/>
        <v>-313.98</v>
      </c>
      <c r="M69" s="3"/>
      <c r="N69" s="8">
        <f t="shared" si="15"/>
        <v>-0.19096449293872933</v>
      </c>
      <c r="O69" s="12"/>
      <c r="P69" s="7">
        <v>20614.18</v>
      </c>
      <c r="Q69" s="3"/>
      <c r="R69" s="8">
        <f t="shared" si="16"/>
        <v>1.1513123024916808E-2</v>
      </c>
      <c r="S69" s="3"/>
      <c r="T69" s="7">
        <v>16145.13</v>
      </c>
      <c r="U69" s="3"/>
      <c r="V69" s="8">
        <f t="shared" si="17"/>
        <v>8.2115660377571516E-3</v>
      </c>
      <c r="W69" s="3"/>
      <c r="X69" s="7">
        <f t="shared" si="18"/>
        <v>4469.0500000000011</v>
      </c>
      <c r="Y69" s="3"/>
      <c r="Z69" s="8">
        <f t="shared" si="19"/>
        <v>0.27680483216920526</v>
      </c>
    </row>
    <row r="70" spans="1:26" s="69" customFormat="1" ht="15" hidden="1" customHeight="1" outlineLevel="2" x14ac:dyDescent="0.25">
      <c r="A70" s="25"/>
      <c r="B70" s="12" t="str">
        <f>CONCATENATE("          ","6119"," - ","SICK LEAVE")</f>
        <v xml:space="preserve">          6119 - SICK LEAVE</v>
      </c>
      <c r="C70" s="12"/>
      <c r="D70" s="7">
        <v>892.48</v>
      </c>
      <c r="E70" s="3"/>
      <c r="F70" s="8">
        <f t="shared" si="12"/>
        <v>3.8326858776209935E-2</v>
      </c>
      <c r="G70" s="3"/>
      <c r="H70" s="7">
        <v>284.64</v>
      </c>
      <c r="I70" s="3"/>
      <c r="J70" s="8">
        <f t="shared" si="13"/>
        <v>5.5175247899961928E-3</v>
      </c>
      <c r="K70" s="3"/>
      <c r="L70" s="7">
        <f t="shared" si="14"/>
        <v>607.84</v>
      </c>
      <c r="M70" s="3"/>
      <c r="N70" s="8">
        <f t="shared" si="15"/>
        <v>2.135469364811692</v>
      </c>
      <c r="O70" s="12"/>
      <c r="P70" s="7">
        <v>-13010.34</v>
      </c>
      <c r="Q70" s="3"/>
      <c r="R70" s="8">
        <f t="shared" si="16"/>
        <v>-7.2663402093120439E-3</v>
      </c>
      <c r="S70" s="3"/>
      <c r="T70" s="7">
        <v>11461.54</v>
      </c>
      <c r="U70" s="3"/>
      <c r="V70" s="8">
        <f t="shared" si="17"/>
        <v>5.8294478027984369E-3</v>
      </c>
      <c r="W70" s="3"/>
      <c r="X70" s="7">
        <f t="shared" si="18"/>
        <v>-24471.88</v>
      </c>
      <c r="Y70" s="3"/>
      <c r="Z70" s="8">
        <f t="shared" si="19"/>
        <v>-2.1351301832040024</v>
      </c>
    </row>
    <row r="71" spans="1:26" s="69" customFormat="1" ht="15" hidden="1" customHeight="1" outlineLevel="2" x14ac:dyDescent="0.25">
      <c r="A71" s="25"/>
      <c r="B71" s="12" t="str">
        <f>CONCATENATE("          ","6156"," - ","EMPLOYEE MEALS")</f>
        <v xml:space="preserve">          6156 - EMPLOYEE MEALS</v>
      </c>
      <c r="C71" s="12"/>
      <c r="D71" s="7">
        <v>985.07</v>
      </c>
      <c r="E71" s="3"/>
      <c r="F71" s="8">
        <f t="shared" si="12"/>
        <v>4.2303064241978675E-2</v>
      </c>
      <c r="G71" s="3"/>
      <c r="H71" s="7">
        <v>409.61</v>
      </c>
      <c r="I71" s="3"/>
      <c r="J71" s="8">
        <f t="shared" si="13"/>
        <v>7.939970943052068E-3</v>
      </c>
      <c r="K71" s="3"/>
      <c r="L71" s="7">
        <f t="shared" si="14"/>
        <v>575.46</v>
      </c>
      <c r="M71" s="3"/>
      <c r="N71" s="8">
        <f t="shared" si="15"/>
        <v>1.4048973413735018</v>
      </c>
      <c r="O71" s="12"/>
      <c r="P71" s="7">
        <v>10018.51</v>
      </c>
      <c r="Q71" s="3"/>
      <c r="R71" s="8">
        <f t="shared" si="16"/>
        <v>5.5953881336225494E-3</v>
      </c>
      <c r="S71" s="3"/>
      <c r="T71" s="7">
        <v>4660.71</v>
      </c>
      <c r="U71" s="3"/>
      <c r="V71" s="8">
        <f t="shared" si="17"/>
        <v>2.370481250249155E-3</v>
      </c>
      <c r="W71" s="3"/>
      <c r="X71" s="7">
        <f t="shared" si="18"/>
        <v>5357.8</v>
      </c>
      <c r="Y71" s="3"/>
      <c r="Z71" s="8">
        <f t="shared" si="19"/>
        <v>1.1495673405983209</v>
      </c>
    </row>
    <row r="72" spans="1:26" s="68" customFormat="1" ht="15" customHeight="1" outlineLevel="1" collapsed="1" x14ac:dyDescent="0.25">
      <c r="A72" s="26"/>
      <c r="B72" s="14" t="str">
        <f>CONCATENATE("     ","*Payroll                                          ")</f>
        <v xml:space="preserve">     *Payroll                                          </v>
      </c>
      <c r="C72" s="14"/>
      <c r="D72" s="2">
        <f>SUM(OSRRefD22_1x_0)</f>
        <v>18500.109999999997</v>
      </c>
      <c r="E72" s="2"/>
      <c r="F72" s="6">
        <f t="shared" si="12"/>
        <v>0.79447282103167483</v>
      </c>
      <c r="G72" s="2"/>
      <c r="H72" s="2">
        <f>SUM(OSRRefH22_1x_0)</f>
        <v>28613.609999999997</v>
      </c>
      <c r="I72" s="2"/>
      <c r="J72" s="6">
        <f t="shared" si="13"/>
        <v>0.55465255236889732</v>
      </c>
      <c r="K72" s="2"/>
      <c r="L72" s="2">
        <f t="shared" si="14"/>
        <v>-10113.5</v>
      </c>
      <c r="M72" s="2"/>
      <c r="N72" s="6">
        <f t="shared" si="15"/>
        <v>-0.35345068308402894</v>
      </c>
      <c r="O72" s="14"/>
      <c r="P72" s="2">
        <f>SUM(OSRRefP22_1x_0)</f>
        <v>313770.34999999998</v>
      </c>
      <c r="Q72" s="2"/>
      <c r="R72" s="6">
        <f t="shared" si="16"/>
        <v>0.17524231578074925</v>
      </c>
      <c r="S72" s="2"/>
      <c r="T72" s="2">
        <f>SUM(OSRRefT22_1x_0)</f>
        <v>310823.01999999996</v>
      </c>
      <c r="U72" s="2"/>
      <c r="V72" s="6">
        <f t="shared" si="17"/>
        <v>0.1580875319545344</v>
      </c>
      <c r="W72" s="2"/>
      <c r="X72" s="2">
        <f t="shared" si="18"/>
        <v>2947.3300000000163</v>
      </c>
      <c r="Y72" s="2"/>
      <c r="Z72" s="6">
        <f t="shared" si="19"/>
        <v>9.4823414301811251E-3</v>
      </c>
    </row>
    <row r="73" spans="1:26" s="69" customFormat="1" ht="15" hidden="1" customHeight="1" outlineLevel="2" x14ac:dyDescent="0.25">
      <c r="A73" s="25"/>
      <c r="B73" s="12" t="str">
        <f>CONCATENATE("          ","6001"," - ","ADMINISTRATIVE SALARIES")</f>
        <v xml:space="preserve">          6001 - ADMINISTRATIVE SALARIES</v>
      </c>
      <c r="C73" s="12"/>
      <c r="D73" s="7"/>
      <c r="E73" s="3"/>
      <c r="F73" s="8">
        <f t="shared" si="12"/>
        <v>0</v>
      </c>
      <c r="G73" s="3"/>
      <c r="H73" s="7"/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-311.32</v>
      </c>
      <c r="U73" s="3"/>
      <c r="V73" s="8">
        <f t="shared" si="17"/>
        <v>-1.5834030068971613E-4</v>
      </c>
      <c r="W73" s="3"/>
      <c r="X73" s="7">
        <f t="shared" si="18"/>
        <v>311.32</v>
      </c>
      <c r="Y73" s="3"/>
      <c r="Z73" s="8">
        <f t="shared" si="19"/>
        <v>-1</v>
      </c>
    </row>
    <row r="74" spans="1:26" s="69" customFormat="1" ht="15" hidden="1" customHeight="1" outlineLevel="2" x14ac:dyDescent="0.25">
      <c r="A74" s="25"/>
      <c r="B74" s="12" t="str">
        <f>CONCATENATE("          ","6002"," - ","STAFF SALARIES")</f>
        <v xml:space="preserve">          6002 - STAFF SALARIES</v>
      </c>
      <c r="C74" s="12"/>
      <c r="D74" s="7">
        <v>13986.97</v>
      </c>
      <c r="E74" s="3"/>
      <c r="F74" s="8">
        <f t="shared" si="12"/>
        <v>0.60065953735331334</v>
      </c>
      <c r="G74" s="3"/>
      <c r="H74" s="7">
        <v>18291.48</v>
      </c>
      <c r="I74" s="3"/>
      <c r="J74" s="8">
        <f t="shared" si="13"/>
        <v>0.3545660987412857</v>
      </c>
      <c r="K74" s="3"/>
      <c r="L74" s="7">
        <f t="shared" si="14"/>
        <v>-4304.51</v>
      </c>
      <c r="M74" s="3"/>
      <c r="N74" s="8">
        <f t="shared" si="15"/>
        <v>-0.23532868854789227</v>
      </c>
      <c r="O74" s="12"/>
      <c r="P74" s="7">
        <v>203046.17</v>
      </c>
      <c r="Q74" s="3"/>
      <c r="R74" s="8">
        <f t="shared" si="16"/>
        <v>0.11340230535234351</v>
      </c>
      <c r="S74" s="3"/>
      <c r="T74" s="7">
        <v>192215.53</v>
      </c>
      <c r="U74" s="3"/>
      <c r="V74" s="8">
        <f t="shared" si="17"/>
        <v>9.7762639141183202E-2</v>
      </c>
      <c r="W74" s="3"/>
      <c r="X74" s="7">
        <f t="shared" si="18"/>
        <v>10830.640000000014</v>
      </c>
      <c r="Y74" s="3"/>
      <c r="Z74" s="8">
        <f t="shared" si="19"/>
        <v>5.6346331641361207E-2</v>
      </c>
    </row>
    <row r="75" spans="1:26" s="69" customFormat="1" ht="15" hidden="1" customHeight="1" outlineLevel="2" x14ac:dyDescent="0.25">
      <c r="A75" s="25"/>
      <c r="B75" s="12" t="str">
        <f>CONCATENATE("          ","6004"," - ","STAFF HOURLY")</f>
        <v xml:space="preserve">          6004 - STAFF HOURLY</v>
      </c>
      <c r="C75" s="12"/>
      <c r="D75" s="7">
        <v>3355.54</v>
      </c>
      <c r="E75" s="3"/>
      <c r="F75" s="8">
        <f t="shared" si="12"/>
        <v>0.14410105290642197</v>
      </c>
      <c r="G75" s="3"/>
      <c r="H75" s="7">
        <v>6146.69</v>
      </c>
      <c r="I75" s="3"/>
      <c r="J75" s="8">
        <f t="shared" si="13"/>
        <v>0.11914880006823249</v>
      </c>
      <c r="K75" s="3"/>
      <c r="L75" s="7">
        <f t="shared" si="14"/>
        <v>-2791.1499999999996</v>
      </c>
      <c r="M75" s="3"/>
      <c r="N75" s="8">
        <f t="shared" si="15"/>
        <v>-0.4540899248213266</v>
      </c>
      <c r="O75" s="12"/>
      <c r="P75" s="7">
        <v>65191.06</v>
      </c>
      <c r="Q75" s="3"/>
      <c r="R75" s="8">
        <f t="shared" si="16"/>
        <v>3.6409534306226739E-2</v>
      </c>
      <c r="S75" s="3"/>
      <c r="T75" s="7">
        <v>74445.429999999993</v>
      </c>
      <c r="U75" s="3"/>
      <c r="V75" s="8">
        <f t="shared" si="17"/>
        <v>3.7863650813231446E-2</v>
      </c>
      <c r="W75" s="3"/>
      <c r="X75" s="7">
        <f t="shared" si="18"/>
        <v>-9254.3699999999953</v>
      </c>
      <c r="Y75" s="3"/>
      <c r="Z75" s="8">
        <f t="shared" si="19"/>
        <v>-0.1243107871094303</v>
      </c>
    </row>
    <row r="76" spans="1:26" s="69" customFormat="1" ht="15" hidden="1" customHeight="1" outlineLevel="2" x14ac:dyDescent="0.25">
      <c r="A76" s="25"/>
      <c r="B76" s="12" t="str">
        <f>CONCATENATE("          ","6005"," - ","TEMPORARY WAGES-HOURLY")</f>
        <v xml:space="preserve">          6005 - TEMPORARY WAGES-HOURLY</v>
      </c>
      <c r="C76" s="12"/>
      <c r="D76" s="7"/>
      <c r="E76" s="3"/>
      <c r="F76" s="8">
        <f t="shared" si="12"/>
        <v>0</v>
      </c>
      <c r="G76" s="3"/>
      <c r="H76" s="7">
        <v>1870</v>
      </c>
      <c r="I76" s="3"/>
      <c r="J76" s="8">
        <f t="shared" si="13"/>
        <v>3.6248494088297077E-2</v>
      </c>
      <c r="K76" s="3"/>
      <c r="L76" s="7">
        <f t="shared" si="14"/>
        <v>-1870</v>
      </c>
      <c r="M76" s="3"/>
      <c r="N76" s="8">
        <f t="shared" si="15"/>
        <v>-1</v>
      </c>
      <c r="O76" s="12"/>
      <c r="P76" s="7">
        <v>14698.31</v>
      </c>
      <c r="Q76" s="3"/>
      <c r="R76" s="8">
        <f t="shared" si="16"/>
        <v>8.2090799288822049E-3</v>
      </c>
      <c r="S76" s="3"/>
      <c r="T76" s="7">
        <v>17555.16</v>
      </c>
      <c r="U76" s="3"/>
      <c r="V76" s="8">
        <f t="shared" si="17"/>
        <v>8.9287206509574626E-3</v>
      </c>
      <c r="W76" s="3"/>
      <c r="X76" s="7">
        <f t="shared" si="18"/>
        <v>-2856.8500000000004</v>
      </c>
      <c r="Y76" s="3"/>
      <c r="Z76" s="8">
        <f t="shared" si="19"/>
        <v>-0.16273562872682451</v>
      </c>
    </row>
    <row r="77" spans="1:26" s="69" customFormat="1" ht="15" hidden="1" customHeight="1" outlineLevel="2" x14ac:dyDescent="0.25">
      <c r="A77" s="25"/>
      <c r="B77" s="12" t="str">
        <f>CONCATENATE("          ","6006"," - ","TEMPORARY PART TIME")</f>
        <v xml:space="preserve">          6006 - TEMPORARY PART TIME</v>
      </c>
      <c r="C77" s="12"/>
      <c r="D77" s="7"/>
      <c r="E77" s="3"/>
      <c r="F77" s="8">
        <f t="shared" si="12"/>
        <v>0</v>
      </c>
      <c r="G77" s="3"/>
      <c r="H77" s="7">
        <v>411.75</v>
      </c>
      <c r="I77" s="3"/>
      <c r="J77" s="8">
        <f t="shared" si="13"/>
        <v>7.9814531769285147E-3</v>
      </c>
      <c r="K77" s="3"/>
      <c r="L77" s="7">
        <f t="shared" si="14"/>
        <v>-411.75</v>
      </c>
      <c r="M77" s="3"/>
      <c r="N77" s="8">
        <f t="shared" si="15"/>
        <v>-1</v>
      </c>
      <c r="O77" s="12"/>
      <c r="P77" s="7"/>
      <c r="Q77" s="3"/>
      <c r="R77" s="8">
        <f t="shared" si="16"/>
        <v>0</v>
      </c>
      <c r="S77" s="3"/>
      <c r="T77" s="7">
        <v>914.04</v>
      </c>
      <c r="U77" s="3"/>
      <c r="V77" s="8">
        <f t="shared" si="17"/>
        <v>4.648894013954392E-4</v>
      </c>
      <c r="W77" s="3"/>
      <c r="X77" s="7">
        <f t="shared" si="18"/>
        <v>-914.04</v>
      </c>
      <c r="Y77" s="3"/>
      <c r="Z77" s="8">
        <f t="shared" si="19"/>
        <v>-1</v>
      </c>
    </row>
    <row r="78" spans="1:26" s="69" customFormat="1" ht="15" hidden="1" customHeight="1" outlineLevel="2" x14ac:dyDescent="0.25">
      <c r="A78" s="25"/>
      <c r="B78" s="12" t="str">
        <f>CONCATENATE("          ","6007"," - ","STUDENT HOURLY")</f>
        <v xml:space="preserve">          6007 - STUDENT HOURLY</v>
      </c>
      <c r="C78" s="12"/>
      <c r="D78" s="7">
        <v>1157.5999999999999</v>
      </c>
      <c r="E78" s="3"/>
      <c r="F78" s="8">
        <f t="shared" si="12"/>
        <v>4.9712230771939564E-2</v>
      </c>
      <c r="G78" s="3"/>
      <c r="H78" s="7">
        <v>1893.69</v>
      </c>
      <c r="I78" s="3"/>
      <c r="J78" s="8">
        <f t="shared" si="13"/>
        <v>3.6707706294153632E-2</v>
      </c>
      <c r="K78" s="3"/>
      <c r="L78" s="7">
        <f t="shared" si="14"/>
        <v>-736.09000000000015</v>
      </c>
      <c r="M78" s="3"/>
      <c r="N78" s="8">
        <f t="shared" si="15"/>
        <v>-0.38870670489890113</v>
      </c>
      <c r="O78" s="12"/>
      <c r="P78" s="7">
        <v>26868.33</v>
      </c>
      <c r="Q78" s="3"/>
      <c r="R78" s="8">
        <f t="shared" si="16"/>
        <v>1.5006097199309554E-2</v>
      </c>
      <c r="S78" s="3"/>
      <c r="T78" s="7">
        <v>25036.92</v>
      </c>
      <c r="U78" s="3"/>
      <c r="V78" s="8">
        <f t="shared" si="17"/>
        <v>1.2734014650984093E-2</v>
      </c>
      <c r="W78" s="3"/>
      <c r="X78" s="7">
        <f t="shared" si="18"/>
        <v>1831.4100000000035</v>
      </c>
      <c r="Y78" s="3"/>
      <c r="Z78" s="8">
        <f t="shared" si="19"/>
        <v>7.3148374480567241E-2</v>
      </c>
    </row>
    <row r="79" spans="1:26" s="69" customFormat="1" ht="15" hidden="1" customHeight="1" outlineLevel="2" x14ac:dyDescent="0.25">
      <c r="A79" s="25"/>
      <c r="B79" s="12" t="str">
        <f>CONCATENATE("          ","6008"," - ","STUDENT HOURLY-FICA EXEMPT")</f>
        <v xml:space="preserve">          6008 - STUDENT HOURLY-FICA EXEMPT</v>
      </c>
      <c r="C79" s="12"/>
      <c r="D79" s="7"/>
      <c r="E79" s="3"/>
      <c r="F79" s="8">
        <f t="shared" si="12"/>
        <v>0</v>
      </c>
      <c r="G79" s="3"/>
      <c r="H79" s="7"/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>
        <v>3966.48</v>
      </c>
      <c r="Q79" s="3"/>
      <c r="R79" s="8">
        <f t="shared" si="16"/>
        <v>2.2152989939872468E-3</v>
      </c>
      <c r="S79" s="3"/>
      <c r="T79" s="7">
        <v>967.26</v>
      </c>
      <c r="U79" s="3"/>
      <c r="V79" s="8">
        <f t="shared" si="17"/>
        <v>4.9195759747248761E-4</v>
      </c>
      <c r="W79" s="3"/>
      <c r="X79" s="7">
        <f t="shared" si="18"/>
        <v>2999.2200000000003</v>
      </c>
      <c r="Y79" s="3"/>
      <c r="Z79" s="8">
        <f t="shared" si="19"/>
        <v>3.100738167607469</v>
      </c>
    </row>
    <row r="80" spans="1:26" s="68" customFormat="1" ht="15" customHeight="1" outlineLevel="1" collapsed="1" x14ac:dyDescent="0.25">
      <c r="A80" s="26"/>
      <c r="B80" s="14" t="str">
        <f>CONCATENATE("     ","Advertising/Promo                                 ")</f>
        <v xml:space="preserve">     Advertising/Promo                                 </v>
      </c>
      <c r="C80" s="14"/>
      <c r="D80" s="2">
        <f>SUM(OSRRefD22_2x_0)</f>
        <v>29.4</v>
      </c>
      <c r="E80" s="2"/>
      <c r="F80" s="6">
        <f t="shared" si="12"/>
        <v>1.2625601111740006E-3</v>
      </c>
      <c r="G80" s="2"/>
      <c r="H80" s="2">
        <f>SUM(OSRRefH22_2x_0)</f>
        <v>348.4</v>
      </c>
      <c r="I80" s="2"/>
      <c r="J80" s="6">
        <f t="shared" si="13"/>
        <v>6.7534627488570597E-3</v>
      </c>
      <c r="K80" s="2"/>
      <c r="L80" s="2">
        <f t="shared" si="14"/>
        <v>-319</v>
      </c>
      <c r="M80" s="2"/>
      <c r="N80" s="6">
        <f t="shared" si="15"/>
        <v>-0.91561423650975893</v>
      </c>
      <c r="O80" s="14"/>
      <c r="P80" s="2">
        <f>SUM(OSRRefP22_2x_0)</f>
        <v>965</v>
      </c>
      <c r="Q80" s="2"/>
      <c r="R80" s="6">
        <f t="shared" si="16"/>
        <v>5.3895734484926011E-4</v>
      </c>
      <c r="S80" s="2"/>
      <c r="T80" s="2">
        <f>SUM(OSRRefT22_2x_0)</f>
        <v>2380.9899999999998</v>
      </c>
      <c r="U80" s="2"/>
      <c r="V80" s="6">
        <f t="shared" si="17"/>
        <v>1.2109940657176127E-3</v>
      </c>
      <c r="W80" s="2"/>
      <c r="X80" s="2">
        <f t="shared" si="18"/>
        <v>-1415.9899999999998</v>
      </c>
      <c r="Y80" s="2"/>
      <c r="Z80" s="6">
        <f t="shared" si="19"/>
        <v>-0.59470640363882243</v>
      </c>
    </row>
    <row r="81" spans="1:26" s="69" customFormat="1" ht="15" hidden="1" customHeight="1" outlineLevel="2" x14ac:dyDescent="0.25">
      <c r="A81" s="25"/>
      <c r="B81" s="12" t="str">
        <f>CONCATENATE("          ","6362"," - ","ADVERTISING EXPENSE")</f>
        <v xml:space="preserve">          6362 - ADVERTISING EXPENSE</v>
      </c>
      <c r="C81" s="12"/>
      <c r="D81" s="7">
        <v>29.4</v>
      </c>
      <c r="E81" s="3"/>
      <c r="F81" s="8">
        <f t="shared" si="12"/>
        <v>1.2625601111740006E-3</v>
      </c>
      <c r="G81" s="3"/>
      <c r="H81" s="7">
        <v>348.4</v>
      </c>
      <c r="I81" s="3"/>
      <c r="J81" s="8">
        <f t="shared" si="13"/>
        <v>6.7534627488570597E-3</v>
      </c>
      <c r="K81" s="3"/>
      <c r="L81" s="7">
        <f t="shared" si="14"/>
        <v>-319</v>
      </c>
      <c r="M81" s="3"/>
      <c r="N81" s="8">
        <f t="shared" si="15"/>
        <v>-0.91561423650975893</v>
      </c>
      <c r="O81" s="12"/>
      <c r="P81" s="7">
        <v>965</v>
      </c>
      <c r="Q81" s="3"/>
      <c r="R81" s="8">
        <f t="shared" si="16"/>
        <v>5.3895734484926011E-4</v>
      </c>
      <c r="S81" s="3"/>
      <c r="T81" s="7">
        <v>2380.9899999999998</v>
      </c>
      <c r="U81" s="3"/>
      <c r="V81" s="8">
        <f t="shared" si="17"/>
        <v>1.2109940657176127E-3</v>
      </c>
      <c r="W81" s="3"/>
      <c r="X81" s="7">
        <f t="shared" si="18"/>
        <v>-1415.9899999999998</v>
      </c>
      <c r="Y81" s="3"/>
      <c r="Z81" s="8">
        <f t="shared" si="19"/>
        <v>-0.59470640363882243</v>
      </c>
    </row>
    <row r="82" spans="1:26" s="68" customFormat="1" ht="15" customHeight="1" outlineLevel="1" collapsed="1" x14ac:dyDescent="0.25">
      <c r="A82" s="26"/>
      <c r="B82" s="14" t="str">
        <f>CONCATENATE("     ","Discounts and Markdowns                           ")</f>
        <v xml:space="preserve">     Discounts and Markdowns                           </v>
      </c>
      <c r="C82" s="14"/>
      <c r="D82" s="2">
        <f>SUM(OSRRefD22_3x_0)</f>
        <v>0</v>
      </c>
      <c r="E82" s="2"/>
      <c r="F82" s="6">
        <f t="shared" si="12"/>
        <v>0</v>
      </c>
      <c r="G82" s="2"/>
      <c r="H82" s="2">
        <f>SUM(OSRRefH22_3x_0)</f>
        <v>0</v>
      </c>
      <c r="I82" s="2"/>
      <c r="J82" s="6">
        <f t="shared" si="13"/>
        <v>0</v>
      </c>
      <c r="K82" s="2"/>
      <c r="L82" s="2">
        <f t="shared" si="14"/>
        <v>0</v>
      </c>
      <c r="M82" s="2"/>
      <c r="N82" s="6">
        <f t="shared" si="15"/>
        <v>0</v>
      </c>
      <c r="O82" s="14"/>
      <c r="P82" s="2">
        <f>SUM(OSRRefP22_3x_0)</f>
        <v>1.35</v>
      </c>
      <c r="Q82" s="2"/>
      <c r="R82" s="6">
        <f t="shared" si="16"/>
        <v>7.5398177776839501E-7</v>
      </c>
      <c r="S82" s="2"/>
      <c r="T82" s="2">
        <f>SUM(OSRRefT22_3x_0)</f>
        <v>0</v>
      </c>
      <c r="U82" s="2"/>
      <c r="V82" s="6">
        <f t="shared" si="17"/>
        <v>0</v>
      </c>
      <c r="W82" s="2"/>
      <c r="X82" s="2">
        <f t="shared" si="18"/>
        <v>1.35</v>
      </c>
      <c r="Y82" s="2"/>
      <c r="Z82" s="6">
        <f t="shared" si="19"/>
        <v>0</v>
      </c>
    </row>
    <row r="83" spans="1:26" s="69" customFormat="1" ht="15" hidden="1" customHeight="1" outlineLevel="2" x14ac:dyDescent="0.25">
      <c r="A83" s="25"/>
      <c r="B83" s="12" t="str">
        <f>CONCATENATE("          ","6382"," - ","DISCOUNTS/MARK DOWNS")</f>
        <v xml:space="preserve">          6382 - DISCOUNTS/MARK DOWNS</v>
      </c>
      <c r="C83" s="12"/>
      <c r="D83" s="7"/>
      <c r="E83" s="3"/>
      <c r="F83" s="8">
        <f t="shared" si="12"/>
        <v>0</v>
      </c>
      <c r="G83" s="3"/>
      <c r="H83" s="7">
        <v>0</v>
      </c>
      <c r="I83" s="3"/>
      <c r="J83" s="8">
        <f t="shared" si="13"/>
        <v>0</v>
      </c>
      <c r="K83" s="3"/>
      <c r="L83" s="7">
        <f t="shared" si="14"/>
        <v>0</v>
      </c>
      <c r="M83" s="3"/>
      <c r="N83" s="8">
        <f t="shared" si="15"/>
        <v>0</v>
      </c>
      <c r="O83" s="12"/>
      <c r="P83" s="7">
        <v>1.35</v>
      </c>
      <c r="Q83" s="3"/>
      <c r="R83" s="8">
        <f t="shared" si="16"/>
        <v>7.5398177776839501E-7</v>
      </c>
      <c r="S83" s="3"/>
      <c r="T83" s="7">
        <v>0</v>
      </c>
      <c r="U83" s="3"/>
      <c r="V83" s="8">
        <f t="shared" si="17"/>
        <v>0</v>
      </c>
      <c r="W83" s="3"/>
      <c r="X83" s="7">
        <f t="shared" si="18"/>
        <v>1.35</v>
      </c>
      <c r="Y83" s="3"/>
      <c r="Z83" s="8">
        <f t="shared" si="19"/>
        <v>0</v>
      </c>
    </row>
    <row r="84" spans="1:26" s="69" customFormat="1" ht="15" hidden="1" customHeight="1" outlineLevel="2" x14ac:dyDescent="0.25">
      <c r="A84" s="25"/>
      <c r="B84" s="12" t="str">
        <f>CONCATENATE("          ","9175"," - ","EARNED DISCOUNTS")</f>
        <v xml:space="preserve">          9175 - EARNED DISCOUNTS</v>
      </c>
      <c r="C84" s="12"/>
      <c r="D84" s="7"/>
      <c r="E84" s="3"/>
      <c r="F84" s="8">
        <f t="shared" si="12"/>
        <v>0</v>
      </c>
      <c r="G84" s="3"/>
      <c r="H84" s="7"/>
      <c r="I84" s="3"/>
      <c r="J84" s="8">
        <f t="shared" si="13"/>
        <v>0</v>
      </c>
      <c r="K84" s="3"/>
      <c r="L84" s="7">
        <f t="shared" si="14"/>
        <v>0</v>
      </c>
      <c r="M84" s="3"/>
      <c r="N84" s="8">
        <f t="shared" si="15"/>
        <v>0</v>
      </c>
      <c r="O84" s="12"/>
      <c r="P84" s="7"/>
      <c r="Q84" s="3"/>
      <c r="R84" s="8">
        <f t="shared" si="16"/>
        <v>0</v>
      </c>
      <c r="S84" s="3"/>
      <c r="T84" s="7">
        <v>0</v>
      </c>
      <c r="U84" s="3"/>
      <c r="V84" s="8">
        <f t="shared" si="17"/>
        <v>0</v>
      </c>
      <c r="W84" s="3"/>
      <c r="X84" s="7">
        <f t="shared" si="18"/>
        <v>0</v>
      </c>
      <c r="Y84" s="3"/>
      <c r="Z84" s="8">
        <f t="shared" si="19"/>
        <v>0</v>
      </c>
    </row>
    <row r="85" spans="1:26" s="68" customFormat="1" ht="15" customHeight="1" outlineLevel="1" collapsed="1" x14ac:dyDescent="0.25">
      <c r="A85" s="26"/>
      <c r="B85" s="14" t="str">
        <f>CONCATENATE("     ","Employees' Appreciation                           ")</f>
        <v xml:space="preserve">     Employees' Appreciation                           </v>
      </c>
      <c r="C85" s="14"/>
      <c r="D85" s="2">
        <f>SUM(OSRRefD22_4x_0)</f>
        <v>0</v>
      </c>
      <c r="E85" s="2"/>
      <c r="F85" s="6">
        <f t="shared" si="12"/>
        <v>0</v>
      </c>
      <c r="G85" s="2"/>
      <c r="H85" s="2">
        <f>SUM(OSRRefH22_4x_0)</f>
        <v>0</v>
      </c>
      <c r="I85" s="2"/>
      <c r="J85" s="6">
        <f t="shared" si="13"/>
        <v>0</v>
      </c>
      <c r="K85" s="2"/>
      <c r="L85" s="2">
        <f t="shared" si="14"/>
        <v>0</v>
      </c>
      <c r="M85" s="2"/>
      <c r="N85" s="6">
        <f t="shared" si="15"/>
        <v>0</v>
      </c>
      <c r="O85" s="14"/>
      <c r="P85" s="2">
        <f>SUM(OSRRefP22_4x_0)</f>
        <v>0</v>
      </c>
      <c r="Q85" s="2"/>
      <c r="R85" s="6">
        <f t="shared" si="16"/>
        <v>0</v>
      </c>
      <c r="S85" s="2"/>
      <c r="T85" s="2">
        <f>SUM(OSRRefT22_4x_0)</f>
        <v>107.7</v>
      </c>
      <c r="U85" s="2"/>
      <c r="V85" s="6">
        <f t="shared" si="17"/>
        <v>5.4777240088277107E-5</v>
      </c>
      <c r="W85" s="2"/>
      <c r="X85" s="2">
        <f t="shared" si="18"/>
        <v>-107.7</v>
      </c>
      <c r="Y85" s="2"/>
      <c r="Z85" s="6">
        <f t="shared" si="19"/>
        <v>-1</v>
      </c>
    </row>
    <row r="86" spans="1:26" s="69" customFormat="1" ht="15" hidden="1" customHeight="1" outlineLevel="2" x14ac:dyDescent="0.25">
      <c r="A86" s="25"/>
      <c r="B86" s="12" t="str">
        <f>CONCATENATE("          ","6277"," - ","EMPLOYEE APPRECIATION")</f>
        <v xml:space="preserve">          6277 - EMPLOYEE APPRECIATION</v>
      </c>
      <c r="C86" s="12"/>
      <c r="D86" s="7"/>
      <c r="E86" s="3"/>
      <c r="F86" s="8">
        <f t="shared" si="12"/>
        <v>0</v>
      </c>
      <c r="G86" s="3"/>
      <c r="H86" s="7"/>
      <c r="I86" s="3"/>
      <c r="J86" s="8">
        <f t="shared" si="13"/>
        <v>0</v>
      </c>
      <c r="K86" s="3"/>
      <c r="L86" s="7">
        <f t="shared" si="14"/>
        <v>0</v>
      </c>
      <c r="M86" s="3"/>
      <c r="N86" s="8">
        <f t="shared" si="15"/>
        <v>0</v>
      </c>
      <c r="O86" s="12"/>
      <c r="P86" s="7"/>
      <c r="Q86" s="3"/>
      <c r="R86" s="8">
        <f t="shared" si="16"/>
        <v>0</v>
      </c>
      <c r="S86" s="3"/>
      <c r="T86" s="7">
        <v>107.7</v>
      </c>
      <c r="U86" s="3"/>
      <c r="V86" s="8">
        <f t="shared" si="17"/>
        <v>5.4777240088277107E-5</v>
      </c>
      <c r="W86" s="3"/>
      <c r="X86" s="7">
        <f t="shared" si="18"/>
        <v>-107.7</v>
      </c>
      <c r="Y86" s="3"/>
      <c r="Z86" s="8">
        <f t="shared" si="19"/>
        <v>-1</v>
      </c>
    </row>
    <row r="87" spans="1:26" s="68" customFormat="1" ht="15" customHeight="1" outlineLevel="1" collapsed="1" x14ac:dyDescent="0.25">
      <c r="A87" s="26"/>
      <c r="B87" s="14" t="str">
        <f>CONCATENATE("     ","Equipment Rental                                  ")</f>
        <v xml:space="preserve">     Equipment Rental                                  </v>
      </c>
      <c r="C87" s="14"/>
      <c r="D87" s="2">
        <f>SUM(OSRRefD22_5x_0)</f>
        <v>91.26</v>
      </c>
      <c r="E87" s="2"/>
      <c r="F87" s="6">
        <f t="shared" si="12"/>
        <v>3.9190896512156228E-3</v>
      </c>
      <c r="G87" s="2"/>
      <c r="H87" s="2">
        <f>SUM(OSRRefH22_5x_0)</f>
        <v>91.26</v>
      </c>
      <c r="I87" s="2"/>
      <c r="J87" s="6">
        <f t="shared" si="13"/>
        <v>1.7690040483946479E-3</v>
      </c>
      <c r="K87" s="2"/>
      <c r="L87" s="2">
        <f t="shared" si="14"/>
        <v>0</v>
      </c>
      <c r="M87" s="2"/>
      <c r="N87" s="6">
        <f t="shared" si="15"/>
        <v>0</v>
      </c>
      <c r="O87" s="14"/>
      <c r="P87" s="2">
        <f>SUM(OSRRefP22_5x_0)</f>
        <v>1003.86</v>
      </c>
      <c r="Q87" s="2"/>
      <c r="R87" s="6">
        <f t="shared" si="16"/>
        <v>5.6066084994857847E-4</v>
      </c>
      <c r="S87" s="2"/>
      <c r="T87" s="2">
        <f>SUM(OSRRefT22_5x_0)</f>
        <v>1003.86</v>
      </c>
      <c r="U87" s="2"/>
      <c r="V87" s="6">
        <f t="shared" si="17"/>
        <v>5.1057270413201348E-4</v>
      </c>
      <c r="W87" s="2"/>
      <c r="X87" s="2">
        <f t="shared" si="18"/>
        <v>0</v>
      </c>
      <c r="Y87" s="2"/>
      <c r="Z87" s="6">
        <f t="shared" si="19"/>
        <v>0</v>
      </c>
    </row>
    <row r="88" spans="1:26" s="69" customFormat="1" ht="15" hidden="1" customHeight="1" outlineLevel="2" x14ac:dyDescent="0.25">
      <c r="A88" s="25"/>
      <c r="B88" s="12" t="str">
        <f>CONCATENATE("          ","6351"," - ","EQUIPMENT RENTAL")</f>
        <v xml:space="preserve">          6351 - EQUIPMENT RENTAL</v>
      </c>
      <c r="C88" s="12"/>
      <c r="D88" s="7">
        <v>91.26</v>
      </c>
      <c r="E88" s="3"/>
      <c r="F88" s="8">
        <f t="shared" si="12"/>
        <v>3.9190896512156228E-3</v>
      </c>
      <c r="G88" s="3"/>
      <c r="H88" s="7">
        <v>91.26</v>
      </c>
      <c r="I88" s="3"/>
      <c r="J88" s="8">
        <f t="shared" si="13"/>
        <v>1.7690040483946479E-3</v>
      </c>
      <c r="K88" s="3"/>
      <c r="L88" s="7">
        <f t="shared" si="14"/>
        <v>0</v>
      </c>
      <c r="M88" s="3"/>
      <c r="N88" s="8">
        <f t="shared" si="15"/>
        <v>0</v>
      </c>
      <c r="O88" s="12"/>
      <c r="P88" s="7">
        <v>1003.86</v>
      </c>
      <c r="Q88" s="3"/>
      <c r="R88" s="8">
        <f t="shared" si="16"/>
        <v>5.6066084994857847E-4</v>
      </c>
      <c r="S88" s="3"/>
      <c r="T88" s="7">
        <v>1003.86</v>
      </c>
      <c r="U88" s="3"/>
      <c r="V88" s="8">
        <f t="shared" si="17"/>
        <v>5.1057270413201348E-4</v>
      </c>
      <c r="W88" s="3"/>
      <c r="X88" s="7">
        <f t="shared" si="18"/>
        <v>0</v>
      </c>
      <c r="Y88" s="3"/>
      <c r="Z88" s="8">
        <f t="shared" si="19"/>
        <v>0</v>
      </c>
    </row>
    <row r="89" spans="1:26" s="68" customFormat="1" ht="15" customHeight="1" outlineLevel="1" collapsed="1" x14ac:dyDescent="0.25">
      <c r="A89" s="26"/>
      <c r="B89" s="14" t="str">
        <f>CONCATENATE("     ","Freight out/Postage                               ")</f>
        <v xml:space="preserve">     Freight out/Postage                               </v>
      </c>
      <c r="C89" s="14"/>
      <c r="D89" s="2">
        <f>SUM(OSRRefD22_6x_0)</f>
        <v>814.34</v>
      </c>
      <c r="E89" s="2"/>
      <c r="F89" s="6">
        <f t="shared" si="12"/>
        <v>3.4971197310661083E-2</v>
      </c>
      <c r="G89" s="2"/>
      <c r="H89" s="2">
        <f>SUM(OSRRefH22_6x_0)</f>
        <v>2675.75</v>
      </c>
      <c r="I89" s="2"/>
      <c r="J89" s="6">
        <f t="shared" si="13"/>
        <v>5.1867330511636847E-2</v>
      </c>
      <c r="K89" s="2"/>
      <c r="L89" s="2">
        <f t="shared" si="14"/>
        <v>-1861.4099999999999</v>
      </c>
      <c r="M89" s="2"/>
      <c r="N89" s="6">
        <f t="shared" si="15"/>
        <v>-0.69565916098290193</v>
      </c>
      <c r="O89" s="14"/>
      <c r="P89" s="2">
        <f>SUM(OSRRefP22_6x_0)</f>
        <v>13206.12</v>
      </c>
      <c r="Q89" s="2"/>
      <c r="R89" s="6">
        <f t="shared" si="16"/>
        <v>7.3756843222390787E-3</v>
      </c>
      <c r="S89" s="2"/>
      <c r="T89" s="2">
        <f>SUM(OSRRefT22_6x_0)</f>
        <v>26453.74</v>
      </c>
      <c r="U89" s="2"/>
      <c r="V89" s="6">
        <f t="shared" si="17"/>
        <v>1.3454622722496376E-2</v>
      </c>
      <c r="W89" s="2"/>
      <c r="X89" s="2">
        <f t="shared" si="18"/>
        <v>-13247.62</v>
      </c>
      <c r="Y89" s="2"/>
      <c r="Z89" s="6">
        <f t="shared" si="19"/>
        <v>-0.50078438814322668</v>
      </c>
    </row>
    <row r="90" spans="1:26" s="69" customFormat="1" ht="15" hidden="1" customHeight="1" outlineLevel="2" x14ac:dyDescent="0.25">
      <c r="A90" s="25"/>
      <c r="B90" s="12" t="str">
        <f>CONCATENATE("          ","6305"," - ","FREIGHT OUT")</f>
        <v xml:space="preserve">          6305 - FREIGHT OUT</v>
      </c>
      <c r="C90" s="12"/>
      <c r="D90" s="7">
        <v>814.34</v>
      </c>
      <c r="E90" s="3"/>
      <c r="F90" s="8">
        <f t="shared" si="12"/>
        <v>3.4971197310661083E-2</v>
      </c>
      <c r="G90" s="3"/>
      <c r="H90" s="7">
        <v>2675.75</v>
      </c>
      <c r="I90" s="3"/>
      <c r="J90" s="8">
        <f t="shared" si="13"/>
        <v>5.1867330511636847E-2</v>
      </c>
      <c r="K90" s="3"/>
      <c r="L90" s="7">
        <f t="shared" si="14"/>
        <v>-1861.4099999999999</v>
      </c>
      <c r="M90" s="3"/>
      <c r="N90" s="8">
        <f t="shared" si="15"/>
        <v>-0.69565916098290193</v>
      </c>
      <c r="O90" s="12"/>
      <c r="P90" s="7">
        <v>13204.53</v>
      </c>
      <c r="Q90" s="3"/>
      <c r="R90" s="8">
        <f t="shared" si="16"/>
        <v>7.3747962992563735E-3</v>
      </c>
      <c r="S90" s="3"/>
      <c r="T90" s="7">
        <v>26453.24</v>
      </c>
      <c r="U90" s="3"/>
      <c r="V90" s="8">
        <f t="shared" si="17"/>
        <v>1.345436841776059E-2</v>
      </c>
      <c r="W90" s="3"/>
      <c r="X90" s="7">
        <f t="shared" si="18"/>
        <v>-13248.710000000001</v>
      </c>
      <c r="Y90" s="3"/>
      <c r="Z90" s="8">
        <f t="shared" si="19"/>
        <v>-0.50083505838982301</v>
      </c>
    </row>
    <row r="91" spans="1:26" s="69" customFormat="1" ht="15" hidden="1" customHeight="1" outlineLevel="2" x14ac:dyDescent="0.25">
      <c r="A91" s="25"/>
      <c r="B91" s="12" t="str">
        <f>CONCATENATE("          ","6307"," - ","POSTAGE")</f>
        <v xml:space="preserve">          6307 - POSTAGE</v>
      </c>
      <c r="C91" s="12"/>
      <c r="D91" s="7"/>
      <c r="E91" s="3"/>
      <c r="F91" s="8">
        <f t="shared" si="12"/>
        <v>0</v>
      </c>
      <c r="G91" s="3"/>
      <c r="H91" s="7"/>
      <c r="I91" s="3"/>
      <c r="J91" s="8">
        <f t="shared" si="13"/>
        <v>0</v>
      </c>
      <c r="K91" s="3"/>
      <c r="L91" s="7">
        <f t="shared" si="14"/>
        <v>0</v>
      </c>
      <c r="M91" s="3"/>
      <c r="N91" s="8">
        <f t="shared" si="15"/>
        <v>0</v>
      </c>
      <c r="O91" s="12"/>
      <c r="P91" s="7">
        <v>1.59</v>
      </c>
      <c r="Q91" s="3"/>
      <c r="R91" s="8">
        <f t="shared" si="16"/>
        <v>8.8802298270499849E-7</v>
      </c>
      <c r="S91" s="3"/>
      <c r="T91" s="7">
        <v>0.5</v>
      </c>
      <c r="U91" s="3"/>
      <c r="V91" s="8">
        <f t="shared" si="17"/>
        <v>2.5430473578587327E-7</v>
      </c>
      <c r="W91" s="3"/>
      <c r="X91" s="7">
        <f t="shared" si="18"/>
        <v>1.0900000000000001</v>
      </c>
      <c r="Y91" s="3"/>
      <c r="Z91" s="8">
        <f t="shared" si="19"/>
        <v>2.1800000000000002</v>
      </c>
    </row>
    <row r="92" spans="1:26" s="68" customFormat="1" ht="15" customHeight="1" outlineLevel="1" collapsed="1" x14ac:dyDescent="0.25">
      <c r="A92" s="26"/>
      <c r="B92" s="14" t="str">
        <f>CONCATENATE("     ","General                                           ")</f>
        <v xml:space="preserve">     General                                           </v>
      </c>
      <c r="C92" s="14"/>
      <c r="D92" s="2">
        <f>SUM(OSRRefD22_7x_0)</f>
        <v>0</v>
      </c>
      <c r="E92" s="2"/>
      <c r="F92" s="6">
        <f t="shared" si="12"/>
        <v>0</v>
      </c>
      <c r="G92" s="2"/>
      <c r="H92" s="2">
        <f>SUM(OSRRefH22_7x_0)</f>
        <v>0</v>
      </c>
      <c r="I92" s="2"/>
      <c r="J92" s="6">
        <f t="shared" si="13"/>
        <v>0</v>
      </c>
      <c r="K92" s="2"/>
      <c r="L92" s="2">
        <f t="shared" si="14"/>
        <v>0</v>
      </c>
      <c r="M92" s="2"/>
      <c r="N92" s="6">
        <f t="shared" si="15"/>
        <v>0</v>
      </c>
      <c r="O92" s="14"/>
      <c r="P92" s="2">
        <f>SUM(OSRRefP22_7x_0)</f>
        <v>0</v>
      </c>
      <c r="Q92" s="2"/>
      <c r="R92" s="6">
        <f t="shared" si="16"/>
        <v>0</v>
      </c>
      <c r="S92" s="2"/>
      <c r="T92" s="2">
        <f>SUM(OSRRefT22_7x_0)</f>
        <v>-1043.02</v>
      </c>
      <c r="U92" s="2"/>
      <c r="V92" s="6">
        <f t="shared" si="17"/>
        <v>-5.304898510387631E-4</v>
      </c>
      <c r="W92" s="2"/>
      <c r="X92" s="2">
        <f t="shared" si="18"/>
        <v>1043.02</v>
      </c>
      <c r="Y92" s="2"/>
      <c r="Z92" s="6">
        <f t="shared" si="19"/>
        <v>-1</v>
      </c>
    </row>
    <row r="93" spans="1:26" s="69" customFormat="1" ht="15" hidden="1" customHeight="1" outlineLevel="2" x14ac:dyDescent="0.25">
      <c r="A93" s="25"/>
      <c r="B93" s="12" t="str">
        <f>CONCATENATE("          ","6279"," - ","GENERAL EXPENSE")</f>
        <v xml:space="preserve">          6279 - GENERAL EXPENSE</v>
      </c>
      <c r="C93" s="12"/>
      <c r="D93" s="7"/>
      <c r="E93" s="3"/>
      <c r="F93" s="8">
        <f t="shared" ref="F93:F112" si="20">IF(D$12=0,0,D93/D$12)</f>
        <v>0</v>
      </c>
      <c r="G93" s="3"/>
      <c r="H93" s="7"/>
      <c r="I93" s="3"/>
      <c r="J93" s="8">
        <f t="shared" ref="J93:J112" si="21">IF(H$12=0,0,H93/H$12)</f>
        <v>0</v>
      </c>
      <c r="K93" s="3"/>
      <c r="L93" s="7">
        <f t="shared" ref="L93:L112" si="22">+D93-H93</f>
        <v>0</v>
      </c>
      <c r="M93" s="3"/>
      <c r="N93" s="8">
        <f t="shared" ref="N93:N112" si="23">IF(H93=0,0,L93/H93)</f>
        <v>0</v>
      </c>
      <c r="O93" s="12"/>
      <c r="P93" s="7"/>
      <c r="Q93" s="3"/>
      <c r="R93" s="8">
        <f t="shared" ref="R93:R112" si="24">IF(P$12=0,0,P93/P$12)</f>
        <v>0</v>
      </c>
      <c r="S93" s="3"/>
      <c r="T93" s="7">
        <v>-1043.02</v>
      </c>
      <c r="U93" s="3"/>
      <c r="V93" s="8">
        <f t="shared" ref="V93:V112" si="25">IF(T$12=0,0,T93/T$12)</f>
        <v>-5.304898510387631E-4</v>
      </c>
      <c r="W93" s="3"/>
      <c r="X93" s="7">
        <f t="shared" ref="X93:X112" si="26">+P93-T93</f>
        <v>1043.02</v>
      </c>
      <c r="Y93" s="3"/>
      <c r="Z93" s="8">
        <f t="shared" ref="Z93:Z112" si="27">IF(T93=0,0,X93/T93)</f>
        <v>-1</v>
      </c>
    </row>
    <row r="94" spans="1:26" s="68" customFormat="1" ht="15" customHeight="1" outlineLevel="1" collapsed="1" x14ac:dyDescent="0.25">
      <c r="A94" s="26"/>
      <c r="B94" s="14" t="str">
        <f>CONCATENATE("     ","Inventory Adjustment                              ")</f>
        <v xml:space="preserve">     Inventory Adjustment                              </v>
      </c>
      <c r="C94" s="14"/>
      <c r="D94" s="2">
        <f>SUM(OSRRefD22_8x_0)</f>
        <v>1000</v>
      </c>
      <c r="E94" s="2"/>
      <c r="F94" s="6">
        <f t="shared" si="20"/>
        <v>4.2944221468503428E-2</v>
      </c>
      <c r="G94" s="2"/>
      <c r="H94" s="2">
        <f>SUM(OSRRefH22_8x_0)</f>
        <v>1000</v>
      </c>
      <c r="I94" s="2"/>
      <c r="J94" s="6">
        <f t="shared" si="21"/>
        <v>1.9384221437592022E-2</v>
      </c>
      <c r="K94" s="2"/>
      <c r="L94" s="2">
        <f t="shared" si="22"/>
        <v>0</v>
      </c>
      <c r="M94" s="2"/>
      <c r="N94" s="6">
        <f t="shared" si="23"/>
        <v>0</v>
      </c>
      <c r="O94" s="14"/>
      <c r="P94" s="2">
        <f>SUM(OSRRefP22_8x_0)</f>
        <v>15000</v>
      </c>
      <c r="Q94" s="2"/>
      <c r="R94" s="6">
        <f t="shared" si="24"/>
        <v>8.3775753085377214E-3</v>
      </c>
      <c r="S94" s="2"/>
      <c r="T94" s="2">
        <f>SUM(OSRRefT22_8x_0)</f>
        <v>16000</v>
      </c>
      <c r="U94" s="2"/>
      <c r="V94" s="6">
        <f t="shared" si="25"/>
        <v>8.1377515451479445E-3</v>
      </c>
      <c r="W94" s="2"/>
      <c r="X94" s="2">
        <f t="shared" si="26"/>
        <v>-1000</v>
      </c>
      <c r="Y94" s="2"/>
      <c r="Z94" s="6">
        <f t="shared" si="27"/>
        <v>-6.25E-2</v>
      </c>
    </row>
    <row r="95" spans="1:26" s="69" customFormat="1" ht="15" hidden="1" customHeight="1" outlineLevel="2" x14ac:dyDescent="0.25">
      <c r="A95" s="25"/>
      <c r="B95" s="12" t="str">
        <f>CONCATENATE("          ","6408"," - ","INVENTORY ADJUSTMENT")</f>
        <v xml:space="preserve">          6408 - INVENTORY ADJUSTMENT</v>
      </c>
      <c r="C95" s="12"/>
      <c r="D95" s="7">
        <v>1000</v>
      </c>
      <c r="E95" s="3"/>
      <c r="F95" s="8">
        <f t="shared" si="20"/>
        <v>4.2944221468503428E-2</v>
      </c>
      <c r="G95" s="3"/>
      <c r="H95" s="7">
        <v>1000</v>
      </c>
      <c r="I95" s="3"/>
      <c r="J95" s="8">
        <f t="shared" si="21"/>
        <v>1.9384221437592022E-2</v>
      </c>
      <c r="K95" s="3"/>
      <c r="L95" s="7">
        <f t="shared" si="22"/>
        <v>0</v>
      </c>
      <c r="M95" s="3"/>
      <c r="N95" s="8">
        <f t="shared" si="23"/>
        <v>0</v>
      </c>
      <c r="O95" s="12"/>
      <c r="P95" s="7">
        <v>15000</v>
      </c>
      <c r="Q95" s="3"/>
      <c r="R95" s="8">
        <f t="shared" si="24"/>
        <v>8.3775753085377214E-3</v>
      </c>
      <c r="S95" s="3"/>
      <c r="T95" s="7">
        <v>16000</v>
      </c>
      <c r="U95" s="3"/>
      <c r="V95" s="8">
        <f t="shared" si="25"/>
        <v>8.1377515451479445E-3</v>
      </c>
      <c r="W95" s="3"/>
      <c r="X95" s="7">
        <f t="shared" si="26"/>
        <v>-1000</v>
      </c>
      <c r="Y95" s="3"/>
      <c r="Z95" s="8">
        <f t="shared" si="27"/>
        <v>-6.25E-2</v>
      </c>
    </row>
    <row r="96" spans="1:26" s="68" customFormat="1" ht="15" customHeight="1" outlineLevel="1" collapsed="1" x14ac:dyDescent="0.25">
      <c r="A96" s="26"/>
      <c r="B96" s="14" t="str">
        <f>CONCATENATE("     ","Repair and Maintenance                            ")</f>
        <v xml:space="preserve">     Repair and Maintenance                            </v>
      </c>
      <c r="C96" s="14"/>
      <c r="D96" s="2">
        <f>SUM(OSRRefD22_9x_0)</f>
        <v>21.85</v>
      </c>
      <c r="E96" s="2"/>
      <c r="F96" s="6">
        <f t="shared" si="20"/>
        <v>9.3833123908679988E-4</v>
      </c>
      <c r="G96" s="2"/>
      <c r="H96" s="2">
        <f>SUM(OSRRefH22_9x_0)</f>
        <v>14.74</v>
      </c>
      <c r="I96" s="2"/>
      <c r="J96" s="6">
        <f t="shared" si="21"/>
        <v>2.8572342399010641E-4</v>
      </c>
      <c r="K96" s="2"/>
      <c r="L96" s="2">
        <f t="shared" si="22"/>
        <v>7.1100000000000012</v>
      </c>
      <c r="M96" s="2"/>
      <c r="N96" s="6">
        <f t="shared" si="23"/>
        <v>0.4823609226594302</v>
      </c>
      <c r="O96" s="14"/>
      <c r="P96" s="2">
        <f>SUM(OSRRefP22_9x_0)</f>
        <v>6084.25</v>
      </c>
      <c r="Q96" s="2"/>
      <c r="R96" s="6">
        <f t="shared" si="24"/>
        <v>3.398084171398042E-3</v>
      </c>
      <c r="S96" s="2"/>
      <c r="T96" s="2">
        <f>SUM(OSRRefT22_9x_0)</f>
        <v>476.99</v>
      </c>
      <c r="U96" s="2"/>
      <c r="V96" s="6">
        <f t="shared" si="25"/>
        <v>2.4260163184500742E-4</v>
      </c>
      <c r="W96" s="2"/>
      <c r="X96" s="2">
        <f t="shared" si="26"/>
        <v>5607.26</v>
      </c>
      <c r="Y96" s="2"/>
      <c r="Z96" s="6">
        <f t="shared" si="27"/>
        <v>11.755508501226441</v>
      </c>
    </row>
    <row r="97" spans="1:26" s="69" customFormat="1" ht="15" hidden="1" customHeight="1" outlineLevel="2" x14ac:dyDescent="0.25">
      <c r="A97" s="25"/>
      <c r="B97" s="12" t="str">
        <f>CONCATENATE("          ","6371"," - ","COMPUTER SOFTWARE MAINTENANCE")</f>
        <v xml:space="preserve">          6371 - COMPUTER SOFTWARE MAINTENANCE</v>
      </c>
      <c r="C97" s="12"/>
      <c r="D97" s="7"/>
      <c r="E97" s="3"/>
      <c r="F97" s="8">
        <f t="shared" si="20"/>
        <v>0</v>
      </c>
      <c r="G97" s="3"/>
      <c r="H97" s="7"/>
      <c r="I97" s="3"/>
      <c r="J97" s="8">
        <f t="shared" si="21"/>
        <v>0</v>
      </c>
      <c r="K97" s="3"/>
      <c r="L97" s="7">
        <f t="shared" si="22"/>
        <v>0</v>
      </c>
      <c r="M97" s="3"/>
      <c r="N97" s="8">
        <f t="shared" si="23"/>
        <v>0</v>
      </c>
      <c r="O97" s="12"/>
      <c r="P97" s="7">
        <v>5775</v>
      </c>
      <c r="Q97" s="3"/>
      <c r="R97" s="8">
        <f t="shared" si="24"/>
        <v>3.2253664937870229E-3</v>
      </c>
      <c r="S97" s="3"/>
      <c r="T97" s="7"/>
      <c r="U97" s="3"/>
      <c r="V97" s="8">
        <f t="shared" si="25"/>
        <v>0</v>
      </c>
      <c r="W97" s="3"/>
      <c r="X97" s="7">
        <f t="shared" si="26"/>
        <v>5775</v>
      </c>
      <c r="Y97" s="3"/>
      <c r="Z97" s="8">
        <f t="shared" si="27"/>
        <v>0</v>
      </c>
    </row>
    <row r="98" spans="1:26" s="69" customFormat="1" ht="15" hidden="1" customHeight="1" outlineLevel="2" x14ac:dyDescent="0.25">
      <c r="A98" s="25"/>
      <c r="B98" s="12" t="str">
        <f>CONCATENATE("          ","6373"," - ","MAINTENANCE CONTRACTS")</f>
        <v xml:space="preserve">          6373 - MAINTENANCE CONTRACTS</v>
      </c>
      <c r="C98" s="12"/>
      <c r="D98" s="7">
        <v>21.85</v>
      </c>
      <c r="E98" s="3"/>
      <c r="F98" s="8">
        <f t="shared" si="20"/>
        <v>9.3833123908679988E-4</v>
      </c>
      <c r="G98" s="3"/>
      <c r="H98" s="7">
        <v>14.74</v>
      </c>
      <c r="I98" s="3"/>
      <c r="J98" s="8">
        <f t="shared" si="21"/>
        <v>2.8572342399010641E-4</v>
      </c>
      <c r="K98" s="3"/>
      <c r="L98" s="7">
        <f t="shared" si="22"/>
        <v>7.1100000000000012</v>
      </c>
      <c r="M98" s="3"/>
      <c r="N98" s="8">
        <f t="shared" si="23"/>
        <v>0.4823609226594302</v>
      </c>
      <c r="O98" s="12"/>
      <c r="P98" s="7">
        <v>171.83</v>
      </c>
      <c r="Q98" s="3"/>
      <c r="R98" s="8">
        <f t="shared" si="24"/>
        <v>9.5967917684402452E-5</v>
      </c>
      <c r="S98" s="3"/>
      <c r="T98" s="7">
        <v>219.48</v>
      </c>
      <c r="U98" s="3"/>
      <c r="V98" s="8">
        <f t="shared" si="25"/>
        <v>1.1162960682056694E-4</v>
      </c>
      <c r="W98" s="3"/>
      <c r="X98" s="7">
        <f t="shared" si="26"/>
        <v>-47.649999999999977</v>
      </c>
      <c r="Y98" s="3"/>
      <c r="Z98" s="8">
        <f t="shared" si="27"/>
        <v>-0.21710406415163103</v>
      </c>
    </row>
    <row r="99" spans="1:26" s="69" customFormat="1" ht="15" hidden="1" customHeight="1" outlineLevel="2" x14ac:dyDescent="0.25">
      <c r="A99" s="25"/>
      <c r="B99" s="12" t="str">
        <f>CONCATENATE("          ","6375"," - ","OUTSIDE REPAIRS &amp; MAINTENANCE")</f>
        <v xml:space="preserve">          6375 - OUTSIDE REPAIRS &amp; MAINTENANCE</v>
      </c>
      <c r="C99" s="12"/>
      <c r="D99" s="7"/>
      <c r="E99" s="3"/>
      <c r="F99" s="8">
        <f t="shared" si="20"/>
        <v>0</v>
      </c>
      <c r="G99" s="3"/>
      <c r="H99" s="7"/>
      <c r="I99" s="3"/>
      <c r="J99" s="8">
        <f t="shared" si="21"/>
        <v>0</v>
      </c>
      <c r="K99" s="3"/>
      <c r="L99" s="7">
        <f t="shared" si="22"/>
        <v>0</v>
      </c>
      <c r="M99" s="3"/>
      <c r="N99" s="8">
        <f t="shared" si="23"/>
        <v>0</v>
      </c>
      <c r="O99" s="12"/>
      <c r="P99" s="7">
        <v>137.41999999999999</v>
      </c>
      <c r="Q99" s="3"/>
      <c r="R99" s="8">
        <f t="shared" si="24"/>
        <v>7.6749759926616906E-5</v>
      </c>
      <c r="S99" s="3"/>
      <c r="T99" s="7">
        <v>257.51</v>
      </c>
      <c r="U99" s="3"/>
      <c r="V99" s="8">
        <f t="shared" si="25"/>
        <v>1.3097202502444045E-4</v>
      </c>
      <c r="W99" s="3"/>
      <c r="X99" s="7">
        <f t="shared" si="26"/>
        <v>-120.09</v>
      </c>
      <c r="Y99" s="3"/>
      <c r="Z99" s="8">
        <f t="shared" si="27"/>
        <v>-0.46635082132732714</v>
      </c>
    </row>
    <row r="100" spans="1:26" s="68" customFormat="1" ht="15" customHeight="1" outlineLevel="1" collapsed="1" x14ac:dyDescent="0.25">
      <c r="A100" s="26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SUM(OSRRefD22_10x_0)</f>
        <v>1587.59</v>
      </c>
      <c r="E100" s="2"/>
      <c r="F100" s="6">
        <f t="shared" si="20"/>
        <v>6.8177816561181354E-2</v>
      </c>
      <c r="G100" s="2"/>
      <c r="H100" s="2">
        <f>SUM(OSRRefH22_10x_0)</f>
        <v>554.32000000000005</v>
      </c>
      <c r="I100" s="2"/>
      <c r="J100" s="6">
        <f t="shared" si="21"/>
        <v>1.074506162728601E-2</v>
      </c>
      <c r="K100" s="2"/>
      <c r="L100" s="2">
        <f t="shared" si="22"/>
        <v>1033.27</v>
      </c>
      <c r="M100" s="2"/>
      <c r="N100" s="6">
        <f t="shared" si="23"/>
        <v>1.8640316062923941</v>
      </c>
      <c r="O100" s="14"/>
      <c r="P100" s="2">
        <f>SUM(OSRRefP22_10x_0)</f>
        <v>6427.98</v>
      </c>
      <c r="Q100" s="2"/>
      <c r="R100" s="6">
        <f t="shared" si="24"/>
        <v>3.5900591021182865E-3</v>
      </c>
      <c r="S100" s="2"/>
      <c r="T100" s="2">
        <f>SUM(OSRRefT22_10x_0)</f>
        <v>5209.66</v>
      </c>
      <c r="U100" s="2"/>
      <c r="V100" s="6">
        <f t="shared" si="25"/>
        <v>2.6496824196684653E-3</v>
      </c>
      <c r="W100" s="2"/>
      <c r="X100" s="2">
        <f t="shared" si="26"/>
        <v>1218.3199999999997</v>
      </c>
      <c r="Y100" s="2"/>
      <c r="Z100" s="6">
        <f t="shared" si="27"/>
        <v>0.2338578717229147</v>
      </c>
    </row>
    <row r="101" spans="1:26" s="69" customFormat="1" ht="15" hidden="1" customHeight="1" outlineLevel="2" x14ac:dyDescent="0.25">
      <c r="A101" s="25"/>
      <c r="B101" s="12" t="str">
        <f>CONCATENATE("          ","6258"," - ","MEMBERSHIP DUES")</f>
        <v xml:space="preserve">          6258 - MEMBERSHIP DUES</v>
      </c>
      <c r="C101" s="12"/>
      <c r="D101" s="7">
        <v>143.84</v>
      </c>
      <c r="E101" s="3"/>
      <c r="F101" s="8">
        <f t="shared" si="20"/>
        <v>6.177096816029533E-3</v>
      </c>
      <c r="G101" s="3"/>
      <c r="H101" s="7">
        <v>554.32000000000005</v>
      </c>
      <c r="I101" s="3"/>
      <c r="J101" s="8">
        <f t="shared" si="21"/>
        <v>1.074506162728601E-2</v>
      </c>
      <c r="K101" s="3"/>
      <c r="L101" s="7">
        <f t="shared" si="22"/>
        <v>-410.48</v>
      </c>
      <c r="M101" s="3"/>
      <c r="N101" s="8">
        <f t="shared" si="23"/>
        <v>-0.74051089623322264</v>
      </c>
      <c r="O101" s="12"/>
      <c r="P101" s="7">
        <v>3076.59</v>
      </c>
      <c r="Q101" s="3"/>
      <c r="R101" s="8">
        <f t="shared" si="24"/>
        <v>1.718290961232938E-3</v>
      </c>
      <c r="S101" s="3"/>
      <c r="T101" s="7">
        <v>3357.58</v>
      </c>
      <c r="U101" s="3"/>
      <c r="V101" s="8">
        <f t="shared" si="25"/>
        <v>1.7076969895598649E-3</v>
      </c>
      <c r="W101" s="3"/>
      <c r="X101" s="7">
        <f t="shared" si="26"/>
        <v>-280.98999999999978</v>
      </c>
      <c r="Y101" s="3"/>
      <c r="Z101" s="8">
        <f t="shared" si="27"/>
        <v>-8.3688251657443688E-2</v>
      </c>
    </row>
    <row r="102" spans="1:26" s="69" customFormat="1" ht="15" hidden="1" customHeight="1" outlineLevel="2" x14ac:dyDescent="0.25">
      <c r="A102" s="25"/>
      <c r="B102" s="12" t="str">
        <f>CONCATENATE("          ","6275"," - ","SUBSCRIPTIONS")</f>
        <v xml:space="preserve">          6275 - SUBSCRIPTIONS</v>
      </c>
      <c r="C102" s="12"/>
      <c r="D102" s="7">
        <v>1443.75</v>
      </c>
      <c r="E102" s="3"/>
      <c r="F102" s="8">
        <f t="shared" si="20"/>
        <v>6.2000719745151818E-2</v>
      </c>
      <c r="G102" s="3"/>
      <c r="H102" s="7"/>
      <c r="I102" s="3"/>
      <c r="J102" s="8">
        <f t="shared" si="21"/>
        <v>0</v>
      </c>
      <c r="K102" s="3"/>
      <c r="L102" s="7">
        <f t="shared" si="22"/>
        <v>1443.75</v>
      </c>
      <c r="M102" s="3"/>
      <c r="N102" s="8">
        <f t="shared" si="23"/>
        <v>0</v>
      </c>
      <c r="O102" s="12"/>
      <c r="P102" s="7">
        <v>3351.39</v>
      </c>
      <c r="Q102" s="3"/>
      <c r="R102" s="8">
        <f t="shared" si="24"/>
        <v>1.8717681408853487E-3</v>
      </c>
      <c r="S102" s="3"/>
      <c r="T102" s="7">
        <v>1852.08</v>
      </c>
      <c r="U102" s="3"/>
      <c r="V102" s="8">
        <f t="shared" si="25"/>
        <v>9.4198543010860032E-4</v>
      </c>
      <c r="W102" s="3"/>
      <c r="X102" s="7">
        <f t="shared" si="26"/>
        <v>1499.31</v>
      </c>
      <c r="Y102" s="3"/>
      <c r="Z102" s="8">
        <f t="shared" si="27"/>
        <v>0.80952766619152516</v>
      </c>
    </row>
    <row r="103" spans="1:26" s="68" customFormat="1" ht="15" customHeight="1" outlineLevel="1" collapsed="1" x14ac:dyDescent="0.25">
      <c r="A103" s="26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SUM(OSRRefD22_11x_0)</f>
        <v>950.13</v>
      </c>
      <c r="E103" s="2"/>
      <c r="F103" s="6">
        <f t="shared" si="20"/>
        <v>4.0802593143869158E-2</v>
      </c>
      <c r="G103" s="2"/>
      <c r="H103" s="2">
        <f>SUM(OSRRefH22_11x_0)</f>
        <v>-7.0600000000000023</v>
      </c>
      <c r="I103" s="2"/>
      <c r="J103" s="6">
        <f t="shared" si="21"/>
        <v>-1.3685260334939971E-4</v>
      </c>
      <c r="K103" s="2"/>
      <c r="L103" s="2">
        <f t="shared" si="22"/>
        <v>957.19</v>
      </c>
      <c r="M103" s="2"/>
      <c r="N103" s="6">
        <f t="shared" si="23"/>
        <v>-135.57932011331442</v>
      </c>
      <c r="O103" s="14"/>
      <c r="P103" s="2">
        <f>SUM(OSRRefP22_11x_0)</f>
        <v>2483.75</v>
      </c>
      <c r="Q103" s="2"/>
      <c r="R103" s="6">
        <f t="shared" si="24"/>
        <v>1.3871868448387043E-3</v>
      </c>
      <c r="S103" s="2"/>
      <c r="T103" s="2">
        <f>SUM(OSRRefT22_11x_0)</f>
        <v>5366.37</v>
      </c>
      <c r="U103" s="2"/>
      <c r="V103" s="6">
        <f t="shared" si="25"/>
        <v>2.7293866099584738E-3</v>
      </c>
      <c r="W103" s="2"/>
      <c r="X103" s="2">
        <f t="shared" si="26"/>
        <v>-2882.62</v>
      </c>
      <c r="Y103" s="2"/>
      <c r="Z103" s="6">
        <f t="shared" si="27"/>
        <v>-0.53716385564170943</v>
      </c>
    </row>
    <row r="104" spans="1:26" s="69" customFormat="1" ht="15" hidden="1" customHeight="1" outlineLevel="2" x14ac:dyDescent="0.25">
      <c r="A104" s="25"/>
      <c r="B104" s="12" t="str">
        <f>CONCATENATE("          ","6241"," - ","OFFICE EXPENSE")</f>
        <v xml:space="preserve">          6241 - OFFICE EXPENSE</v>
      </c>
      <c r="C104" s="12"/>
      <c r="D104" s="7">
        <v>433.78</v>
      </c>
      <c r="E104" s="3"/>
      <c r="F104" s="8">
        <f t="shared" si="20"/>
        <v>1.8628344388607415E-2</v>
      </c>
      <c r="G104" s="3"/>
      <c r="H104" s="7">
        <v>58.08</v>
      </c>
      <c r="I104" s="3"/>
      <c r="J104" s="8">
        <f t="shared" si="21"/>
        <v>1.1258355810953445E-3</v>
      </c>
      <c r="K104" s="3"/>
      <c r="L104" s="7">
        <f t="shared" si="22"/>
        <v>375.7</v>
      </c>
      <c r="M104" s="3"/>
      <c r="N104" s="8">
        <f t="shared" si="23"/>
        <v>6.4686639118457299</v>
      </c>
      <c r="O104" s="12"/>
      <c r="P104" s="7">
        <v>1772.37</v>
      </c>
      <c r="Q104" s="3"/>
      <c r="R104" s="8">
        <f t="shared" si="24"/>
        <v>9.8987754330620006E-4</v>
      </c>
      <c r="S104" s="3"/>
      <c r="T104" s="7">
        <v>1624.75</v>
      </c>
      <c r="U104" s="3"/>
      <c r="V104" s="8">
        <f t="shared" si="25"/>
        <v>8.2636323893619525E-4</v>
      </c>
      <c r="W104" s="3"/>
      <c r="X104" s="7">
        <f t="shared" si="26"/>
        <v>147.61999999999989</v>
      </c>
      <c r="Y104" s="3"/>
      <c r="Z104" s="8">
        <f t="shared" si="27"/>
        <v>9.0857054931527861E-2</v>
      </c>
    </row>
    <row r="105" spans="1:26" s="69" customFormat="1" ht="15" hidden="1" customHeight="1" outlineLevel="2" x14ac:dyDescent="0.25">
      <c r="A105" s="25"/>
      <c r="B105" s="12" t="str">
        <f>CONCATENATE("          ","6247"," - ","STORE SUPPLIES")</f>
        <v xml:space="preserve">          6247 - STORE SUPPLIES</v>
      </c>
      <c r="C105" s="12"/>
      <c r="D105" s="7">
        <v>516.35</v>
      </c>
      <c r="E105" s="3"/>
      <c r="F105" s="8">
        <f t="shared" si="20"/>
        <v>2.2174248755261746E-2</v>
      </c>
      <c r="G105" s="3"/>
      <c r="H105" s="7">
        <v>-65.14</v>
      </c>
      <c r="I105" s="3"/>
      <c r="J105" s="8">
        <f t="shared" si="21"/>
        <v>-1.2626881844447443E-3</v>
      </c>
      <c r="K105" s="3"/>
      <c r="L105" s="7">
        <f t="shared" si="22"/>
        <v>581.49</v>
      </c>
      <c r="M105" s="3"/>
      <c r="N105" s="8">
        <f t="shared" si="23"/>
        <v>-8.9267731040835123</v>
      </c>
      <c r="O105" s="12"/>
      <c r="P105" s="7">
        <v>711.38</v>
      </c>
      <c r="Q105" s="3"/>
      <c r="R105" s="8">
        <f t="shared" si="24"/>
        <v>3.9730930153250425E-4</v>
      </c>
      <c r="S105" s="3"/>
      <c r="T105" s="7">
        <v>3741.62</v>
      </c>
      <c r="U105" s="3"/>
      <c r="V105" s="8">
        <f t="shared" si="25"/>
        <v>1.9030233710222784E-3</v>
      </c>
      <c r="W105" s="3"/>
      <c r="X105" s="7">
        <f t="shared" si="26"/>
        <v>-3030.24</v>
      </c>
      <c r="Y105" s="3"/>
      <c r="Z105" s="8">
        <f t="shared" si="27"/>
        <v>-0.80987379798055381</v>
      </c>
    </row>
    <row r="106" spans="1:26" s="68" customFormat="1" ht="15" customHeight="1" outlineLevel="1" collapsed="1" x14ac:dyDescent="0.25">
      <c r="A106" s="26"/>
      <c r="B106" s="14" t="str">
        <f>CONCATENATE("     ","Telephone/Data Lines                              ")</f>
        <v xml:space="preserve">     Telephone/Data Lines                              </v>
      </c>
      <c r="C106" s="14"/>
      <c r="D106" s="2">
        <f>SUM(OSRRefD22_12x_0)</f>
        <v>483.05</v>
      </c>
      <c r="E106" s="2"/>
      <c r="F106" s="6">
        <f t="shared" si="20"/>
        <v>2.0744206180360582E-2</v>
      </c>
      <c r="G106" s="2"/>
      <c r="H106" s="2">
        <f>SUM(OSRRefH22_12x_0)</f>
        <v>563.79999999999995</v>
      </c>
      <c r="I106" s="2"/>
      <c r="J106" s="6">
        <f t="shared" si="21"/>
        <v>1.0928824046514381E-2</v>
      </c>
      <c r="K106" s="2"/>
      <c r="L106" s="2">
        <f t="shared" si="22"/>
        <v>-80.749999999999943</v>
      </c>
      <c r="M106" s="2"/>
      <c r="N106" s="6">
        <f t="shared" si="23"/>
        <v>-0.1432245477119545</v>
      </c>
      <c r="O106" s="14"/>
      <c r="P106" s="2">
        <f>SUM(OSRRefP22_12x_0)</f>
        <v>5959.6</v>
      </c>
      <c r="Q106" s="2"/>
      <c r="R106" s="6">
        <f t="shared" si="24"/>
        <v>3.3284665205840936E-3</v>
      </c>
      <c r="S106" s="2"/>
      <c r="T106" s="2">
        <f>SUM(OSRRefT22_12x_0)</f>
        <v>8749.7000000000007</v>
      </c>
      <c r="U106" s="2"/>
      <c r="V106" s="6">
        <f t="shared" si="25"/>
        <v>4.4501802934113115E-3</v>
      </c>
      <c r="W106" s="2"/>
      <c r="X106" s="2">
        <f t="shared" si="26"/>
        <v>-2790.1000000000004</v>
      </c>
      <c r="Y106" s="2"/>
      <c r="Z106" s="6">
        <f t="shared" si="27"/>
        <v>-0.31887950444015223</v>
      </c>
    </row>
    <row r="107" spans="1:26" s="69" customFormat="1" ht="15" hidden="1" customHeight="1" outlineLevel="2" x14ac:dyDescent="0.25">
      <c r="A107" s="25"/>
      <c r="B107" s="12" t="str">
        <f>CONCATENATE("          ","6303"," - ","DATA PHONE LINES")</f>
        <v xml:space="preserve">          6303 - DATA PHONE LINES</v>
      </c>
      <c r="C107" s="12"/>
      <c r="D107" s="7"/>
      <c r="E107" s="3"/>
      <c r="F107" s="8">
        <f t="shared" si="20"/>
        <v>0</v>
      </c>
      <c r="G107" s="3"/>
      <c r="H107" s="7"/>
      <c r="I107" s="3"/>
      <c r="J107" s="8">
        <f t="shared" si="21"/>
        <v>0</v>
      </c>
      <c r="K107" s="3"/>
      <c r="L107" s="7">
        <f t="shared" si="22"/>
        <v>0</v>
      </c>
      <c r="M107" s="3"/>
      <c r="N107" s="8">
        <f t="shared" si="23"/>
        <v>0</v>
      </c>
      <c r="O107" s="12"/>
      <c r="P107" s="7">
        <v>295</v>
      </c>
      <c r="Q107" s="3"/>
      <c r="R107" s="8">
        <f t="shared" si="24"/>
        <v>1.6475898106790851E-4</v>
      </c>
      <c r="S107" s="3"/>
      <c r="T107" s="7">
        <v>3540</v>
      </c>
      <c r="U107" s="3"/>
      <c r="V107" s="8">
        <f t="shared" si="25"/>
        <v>1.800477529363983E-3</v>
      </c>
      <c r="W107" s="3"/>
      <c r="X107" s="7">
        <f t="shared" si="26"/>
        <v>-3245</v>
      </c>
      <c r="Y107" s="3"/>
      <c r="Z107" s="8">
        <f t="shared" si="27"/>
        <v>-0.91666666666666663</v>
      </c>
    </row>
    <row r="108" spans="1:26" s="69" customFormat="1" ht="15" hidden="1" customHeight="1" outlineLevel="2" x14ac:dyDescent="0.25">
      <c r="A108" s="25"/>
      <c r="B108" s="12" t="str">
        <f>CONCATENATE("          ","6309"," - ","TELEPHONE")</f>
        <v xml:space="preserve">          6309 - TELEPHONE</v>
      </c>
      <c r="C108" s="12"/>
      <c r="D108" s="7">
        <v>483.05</v>
      </c>
      <c r="E108" s="3"/>
      <c r="F108" s="8">
        <f t="shared" si="20"/>
        <v>2.0744206180360582E-2</v>
      </c>
      <c r="G108" s="3"/>
      <c r="H108" s="7">
        <v>563.79999999999995</v>
      </c>
      <c r="I108" s="3"/>
      <c r="J108" s="8">
        <f t="shared" si="21"/>
        <v>1.0928824046514381E-2</v>
      </c>
      <c r="K108" s="3"/>
      <c r="L108" s="7">
        <f t="shared" si="22"/>
        <v>-80.749999999999943</v>
      </c>
      <c r="M108" s="3"/>
      <c r="N108" s="8">
        <f t="shared" si="23"/>
        <v>-0.1432245477119545</v>
      </c>
      <c r="O108" s="12"/>
      <c r="P108" s="7">
        <v>5664.6</v>
      </c>
      <c r="Q108" s="3"/>
      <c r="R108" s="8">
        <f t="shared" si="24"/>
        <v>3.1637075395161852E-3</v>
      </c>
      <c r="S108" s="3"/>
      <c r="T108" s="7">
        <v>5209.7</v>
      </c>
      <c r="U108" s="3"/>
      <c r="V108" s="8">
        <f t="shared" si="25"/>
        <v>2.6497027640473279E-3</v>
      </c>
      <c r="W108" s="3"/>
      <c r="X108" s="7">
        <f t="shared" si="26"/>
        <v>454.90000000000055</v>
      </c>
      <c r="Y108" s="3"/>
      <c r="Z108" s="8">
        <f t="shared" si="27"/>
        <v>8.7317887786244996E-2</v>
      </c>
    </row>
    <row r="109" spans="1:26" s="68" customFormat="1" ht="15" customHeight="1" outlineLevel="1" collapsed="1" x14ac:dyDescent="0.25">
      <c r="A109" s="26"/>
      <c r="B109" s="14" t="str">
        <f>CONCATENATE("     ","Training                                          ")</f>
        <v xml:space="preserve">     Training                                          </v>
      </c>
      <c r="C109" s="14"/>
      <c r="D109" s="2">
        <f>SUM(OSRRefD22_13x_0)</f>
        <v>0</v>
      </c>
      <c r="E109" s="2"/>
      <c r="F109" s="6">
        <f t="shared" si="20"/>
        <v>0</v>
      </c>
      <c r="G109" s="2"/>
      <c r="H109" s="2">
        <f>SUM(OSRRefH22_13x_0)</f>
        <v>0</v>
      </c>
      <c r="I109" s="2"/>
      <c r="J109" s="6">
        <f t="shared" si="21"/>
        <v>0</v>
      </c>
      <c r="K109" s="2"/>
      <c r="L109" s="2">
        <f t="shared" si="22"/>
        <v>0</v>
      </c>
      <c r="M109" s="2"/>
      <c r="N109" s="6">
        <f t="shared" si="23"/>
        <v>0</v>
      </c>
      <c r="O109" s="14"/>
      <c r="P109" s="2">
        <f>SUM(OSRRefP22_13x_0)</f>
        <v>125</v>
      </c>
      <c r="Q109" s="2"/>
      <c r="R109" s="6">
        <f t="shared" si="24"/>
        <v>6.9813127571147674E-5</v>
      </c>
      <c r="S109" s="2"/>
      <c r="T109" s="2">
        <f>SUM(OSRRefT22_13x_0)</f>
        <v>0</v>
      </c>
      <c r="U109" s="2"/>
      <c r="V109" s="6">
        <f t="shared" si="25"/>
        <v>0</v>
      </c>
      <c r="W109" s="2"/>
      <c r="X109" s="2">
        <f t="shared" si="26"/>
        <v>125</v>
      </c>
      <c r="Y109" s="2"/>
      <c r="Z109" s="6">
        <f t="shared" si="27"/>
        <v>0</v>
      </c>
    </row>
    <row r="110" spans="1:26" s="69" customFormat="1" ht="15" hidden="1" customHeight="1" outlineLevel="2" x14ac:dyDescent="0.25">
      <c r="A110" s="25"/>
      <c r="B110" s="12" t="str">
        <f>CONCATENATE("          ","6376"," - ","TRAINING")</f>
        <v xml:space="preserve">          6376 - TRAINING</v>
      </c>
      <c r="C110" s="12"/>
      <c r="D110" s="7"/>
      <c r="E110" s="3"/>
      <c r="F110" s="8">
        <f t="shared" si="20"/>
        <v>0</v>
      </c>
      <c r="G110" s="3"/>
      <c r="H110" s="7"/>
      <c r="I110" s="3"/>
      <c r="J110" s="8">
        <f t="shared" si="21"/>
        <v>0</v>
      </c>
      <c r="K110" s="3"/>
      <c r="L110" s="7">
        <f t="shared" si="22"/>
        <v>0</v>
      </c>
      <c r="M110" s="3"/>
      <c r="N110" s="8">
        <f t="shared" si="23"/>
        <v>0</v>
      </c>
      <c r="O110" s="12"/>
      <c r="P110" s="7">
        <v>125</v>
      </c>
      <c r="Q110" s="3"/>
      <c r="R110" s="8">
        <f t="shared" si="24"/>
        <v>6.9813127571147674E-5</v>
      </c>
      <c r="S110" s="3"/>
      <c r="T110" s="7"/>
      <c r="U110" s="3"/>
      <c r="V110" s="8">
        <f t="shared" si="25"/>
        <v>0</v>
      </c>
      <c r="W110" s="3"/>
      <c r="X110" s="7">
        <f t="shared" si="26"/>
        <v>125</v>
      </c>
      <c r="Y110" s="3"/>
      <c r="Z110" s="8">
        <f t="shared" si="27"/>
        <v>0</v>
      </c>
    </row>
    <row r="111" spans="1:26" s="68" customFormat="1" ht="15" customHeight="1" outlineLevel="1" collapsed="1" x14ac:dyDescent="0.25">
      <c r="A111" s="26"/>
      <c r="B111" s="14" t="str">
        <f>CONCATENATE("     ","Travel                                            ")</f>
        <v xml:space="preserve">     Travel                                            </v>
      </c>
      <c r="C111" s="14"/>
      <c r="D111" s="2">
        <f>SUM(OSRRefD22_14x_0)</f>
        <v>0</v>
      </c>
      <c r="E111" s="2"/>
      <c r="F111" s="6">
        <f t="shared" si="20"/>
        <v>0</v>
      </c>
      <c r="G111" s="2"/>
      <c r="H111" s="2">
        <f>SUM(OSRRefH22_14x_0)</f>
        <v>0</v>
      </c>
      <c r="I111" s="2"/>
      <c r="J111" s="6">
        <f t="shared" si="21"/>
        <v>0</v>
      </c>
      <c r="K111" s="2"/>
      <c r="L111" s="2">
        <f t="shared" si="22"/>
        <v>0</v>
      </c>
      <c r="M111" s="2"/>
      <c r="N111" s="6">
        <f t="shared" si="23"/>
        <v>0</v>
      </c>
      <c r="O111" s="14"/>
      <c r="P111" s="2">
        <f>SUM(OSRRefP22_14x_0)</f>
        <v>0</v>
      </c>
      <c r="Q111" s="2"/>
      <c r="R111" s="6">
        <f t="shared" si="24"/>
        <v>0</v>
      </c>
      <c r="S111" s="2"/>
      <c r="T111" s="2">
        <f>SUM(OSRRefT22_14x_0)</f>
        <v>0.16</v>
      </c>
      <c r="U111" s="2"/>
      <c r="V111" s="6">
        <f t="shared" si="25"/>
        <v>8.1377515451479457E-8</v>
      </c>
      <c r="W111" s="2"/>
      <c r="X111" s="2">
        <f t="shared" si="26"/>
        <v>-0.16</v>
      </c>
      <c r="Y111" s="2"/>
      <c r="Z111" s="6">
        <f t="shared" si="27"/>
        <v>-1</v>
      </c>
    </row>
    <row r="112" spans="1:26" s="69" customFormat="1" ht="15" hidden="1" customHeight="1" outlineLevel="2" x14ac:dyDescent="0.25">
      <c r="A112" s="25"/>
      <c r="B112" s="12" t="str">
        <f>CONCATENATE("          ","6292"," - ","TRAVEL/CONFERENCE")</f>
        <v xml:space="preserve">          6292 - TRAVEL/CONFERENCE</v>
      </c>
      <c r="C112" s="12"/>
      <c r="D112" s="7"/>
      <c r="E112" s="3"/>
      <c r="F112" s="8">
        <f t="shared" si="20"/>
        <v>0</v>
      </c>
      <c r="G112" s="3"/>
      <c r="H112" s="7"/>
      <c r="I112" s="3"/>
      <c r="J112" s="8">
        <f t="shared" si="21"/>
        <v>0</v>
      </c>
      <c r="K112" s="3"/>
      <c r="L112" s="7">
        <f t="shared" si="22"/>
        <v>0</v>
      </c>
      <c r="M112" s="3"/>
      <c r="N112" s="8">
        <f t="shared" si="23"/>
        <v>0</v>
      </c>
      <c r="O112" s="12"/>
      <c r="P112" s="7"/>
      <c r="Q112" s="3"/>
      <c r="R112" s="8">
        <f t="shared" si="24"/>
        <v>0</v>
      </c>
      <c r="S112" s="3"/>
      <c r="T112" s="7">
        <v>0.16</v>
      </c>
      <c r="U112" s="3"/>
      <c r="V112" s="8">
        <f t="shared" si="25"/>
        <v>8.1377515451479457E-8</v>
      </c>
      <c r="W112" s="3"/>
      <c r="X112" s="7">
        <f t="shared" si="26"/>
        <v>-0.16</v>
      </c>
      <c r="Y112" s="3"/>
      <c r="Z112" s="8">
        <f t="shared" si="27"/>
        <v>-1</v>
      </c>
    </row>
    <row r="113" spans="1:26" s="64" customFormat="1" ht="15" customHeight="1" x14ac:dyDescent="0.25">
      <c r="A113" s="36"/>
      <c r="B113" s="36"/>
      <c r="C113" s="36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O113" s="3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62" customFormat="1" ht="15" customHeight="1" collapsed="1" x14ac:dyDescent="0.25">
      <c r="A114" s="11"/>
      <c r="B114" s="28" t="s">
        <v>290</v>
      </c>
      <c r="C114" s="11"/>
      <c r="D114" s="5">
        <f>SUM(OSRRefD25x_0)</f>
        <v>2412.0299999999997</v>
      </c>
      <c r="E114" s="5"/>
      <c r="F114" s="13">
        <f>IF(D$12=0,0,D114/D$12)</f>
        <v>0.10358275050867431</v>
      </c>
      <c r="G114" s="5"/>
      <c r="H114" s="5">
        <f>SUM(OSRRefH25x_0)</f>
        <v>3009.01</v>
      </c>
      <c r="I114" s="5"/>
      <c r="J114" s="13">
        <f>IF(H$12=0,0,H114/H$12)</f>
        <v>5.8327316147928771E-2</v>
      </c>
      <c r="K114" s="5"/>
      <c r="L114" s="5">
        <f>+D114-H114</f>
        <v>-596.98000000000047</v>
      </c>
      <c r="M114" s="5"/>
      <c r="N114" s="13">
        <f>IF(H114=0,0,L114/H114)</f>
        <v>-0.1983974795696925</v>
      </c>
      <c r="O114" s="11"/>
      <c r="P114" s="5">
        <f>SUM(OSRRefP25x_0)</f>
        <v>359676.87</v>
      </c>
      <c r="Q114" s="5"/>
      <c r="R114" s="13">
        <f>IF(P$12=0,0,P114/P$12)</f>
        <v>0.2008813376776088</v>
      </c>
      <c r="S114" s="5"/>
      <c r="T114" s="5">
        <f>SUM(OSRRefT25x_0)</f>
        <v>334317.08</v>
      </c>
      <c r="U114" s="5"/>
      <c r="V114" s="13">
        <f>IF(T$12=0,0,T114/T$12)</f>
        <v>0.17003683339620934</v>
      </c>
      <c r="W114" s="5"/>
      <c r="X114" s="5">
        <f>+P114-T114</f>
        <v>25359.789999999979</v>
      </c>
      <c r="Y114" s="5"/>
      <c r="Z114" s="13">
        <f>IF(T114=0,0,X114/T114)</f>
        <v>7.5855502207664585E-2</v>
      </c>
    </row>
    <row r="115" spans="1:26" s="69" customFormat="1" ht="15" hidden="1" customHeight="1" outlineLevel="1" x14ac:dyDescent="0.25">
      <c r="A115" s="42"/>
      <c r="B115" s="12" t="str">
        <f>CONCATENATE("          ","9150"," - ","MISC. INCOME")</f>
        <v xml:space="preserve">          9150 - MISC. INCOME</v>
      </c>
      <c r="C115" s="12"/>
      <c r="D115" s="3">
        <f>--427.31</f>
        <v>427.31</v>
      </c>
      <c r="E115" s="3"/>
      <c r="F115" s="20">
        <f>IF(D$12=0,0,D115/D$12)</f>
        <v>1.8350495275706199E-2</v>
      </c>
      <c r="G115" s="3"/>
      <c r="H115" s="3">
        <f>--1572.94</f>
        <v>1572.94</v>
      </c>
      <c r="I115" s="3"/>
      <c r="J115" s="20">
        <f>IF(H$12=0,0,H115/H$12)</f>
        <v>3.0490217268045995E-2</v>
      </c>
      <c r="K115" s="3"/>
      <c r="L115" s="3">
        <f>+D115-H115</f>
        <v>-1145.6300000000001</v>
      </c>
      <c r="M115" s="3"/>
      <c r="N115" s="20">
        <f>IF(H115=0,0,L115/H115)</f>
        <v>-0.72833674520324998</v>
      </c>
      <c r="O115" s="12"/>
      <c r="P115" s="3">
        <f>--30042.02</f>
        <v>30042.02</v>
      </c>
      <c r="Q115" s="3"/>
      <c r="R115" s="20">
        <f>IF(P$12=0,0,P115/P$12)</f>
        <v>1.6778618998039761E-2</v>
      </c>
      <c r="S115" s="3"/>
      <c r="T115" s="3">
        <f>--33036.05</f>
        <v>33036.050000000003</v>
      </c>
      <c r="U115" s="3"/>
      <c r="V115" s="20">
        <f>IF(T$12=0,0,T115/T$12)</f>
        <v>1.68024479333178E-2</v>
      </c>
      <c r="W115" s="3"/>
      <c r="X115" s="3">
        <f>+P115-T115</f>
        <v>-2994.0300000000025</v>
      </c>
      <c r="Y115" s="3"/>
      <c r="Z115" s="20">
        <f>IF(T115=0,0,X115/T115)</f>
        <v>-9.0629176308911083E-2</v>
      </c>
    </row>
    <row r="116" spans="1:26" s="69" customFormat="1" ht="15" hidden="1" customHeight="1" outlineLevel="1" x14ac:dyDescent="0.25">
      <c r="A116" s="42"/>
      <c r="B116" s="12" t="str">
        <f>CONCATENATE("          ","9151"," - ","MISC. INCOME")</f>
        <v xml:space="preserve">          9151 - MISC. INCOME</v>
      </c>
      <c r="C116" s="12"/>
      <c r="D116" s="3">
        <f>--626.04</f>
        <v>626.04</v>
      </c>
      <c r="E116" s="3"/>
      <c r="F116" s="20">
        <f>IF(D$12=0,0,D116/D$12)</f>
        <v>2.6884800408141882E-2</v>
      </c>
      <c r="G116" s="3"/>
      <c r="H116" s="3">
        <f>0</f>
        <v>0</v>
      </c>
      <c r="I116" s="3"/>
      <c r="J116" s="20">
        <f>IF(H$12=0,0,H116/H$12)</f>
        <v>0</v>
      </c>
      <c r="K116" s="3"/>
      <c r="L116" s="3">
        <f>+D116-H116</f>
        <v>626.04</v>
      </c>
      <c r="M116" s="3"/>
      <c r="N116" s="20">
        <f>IF(H116=0,0,L116/H116)</f>
        <v>0</v>
      </c>
      <c r="O116" s="12"/>
      <c r="P116" s="3">
        <f>--324387.74</f>
        <v>324387.74</v>
      </c>
      <c r="Q116" s="3"/>
      <c r="R116" s="20">
        <f>IF(P$12=0,0,P116/P$12)</f>
        <v>0.18117218140109026</v>
      </c>
      <c r="S116" s="3"/>
      <c r="T116" s="3">
        <f>--295628.46</f>
        <v>295628.46000000002</v>
      </c>
      <c r="U116" s="3"/>
      <c r="V116" s="20">
        <f>IF(T$12=0,0,T116/T$12)</f>
        <v>0.15035943482216924</v>
      </c>
      <c r="W116" s="3"/>
      <c r="X116" s="3">
        <f>+P116-T116</f>
        <v>28759.27999999997</v>
      </c>
      <c r="Y116" s="3"/>
      <c r="Z116" s="20">
        <f>IF(T116=0,0,X116/T116)</f>
        <v>9.7281838155906797E-2</v>
      </c>
    </row>
    <row r="117" spans="1:26" s="69" customFormat="1" ht="15" hidden="1" customHeight="1" outlineLevel="1" x14ac:dyDescent="0.25">
      <c r="A117" s="42"/>
      <c r="B117" s="12" t="str">
        <f>CONCATENATE("          ","9152"," - ","MISC. INCOME")</f>
        <v xml:space="preserve">          9152 - MISC. INCOME</v>
      </c>
      <c r="C117" s="12"/>
      <c r="D117" s="3">
        <f>--1358.68</f>
        <v>1358.68</v>
      </c>
      <c r="E117" s="3"/>
      <c r="F117" s="20">
        <f>IF(D$12=0,0,D117/D$12)</f>
        <v>5.8347454824826235E-2</v>
      </c>
      <c r="G117" s="3"/>
      <c r="H117" s="3">
        <f>--1436.07</f>
        <v>1436.07</v>
      </c>
      <c r="I117" s="3"/>
      <c r="J117" s="20">
        <f>IF(H$12=0,0,H117/H$12)</f>
        <v>2.7837098879882772E-2</v>
      </c>
      <c r="K117" s="3"/>
      <c r="L117" s="3">
        <f>+D117-H117</f>
        <v>-77.389999999999873</v>
      </c>
      <c r="M117" s="3"/>
      <c r="N117" s="20">
        <f>IF(H117=0,0,L117/H117)</f>
        <v>-5.389013070393496E-2</v>
      </c>
      <c r="O117" s="12"/>
      <c r="P117" s="3">
        <f>--5247.11</f>
        <v>5247.11</v>
      </c>
      <c r="Q117" s="3"/>
      <c r="R117" s="20">
        <f>IF(P$12=0,0,P117/P$12)</f>
        <v>2.9305372784787574E-3</v>
      </c>
      <c r="S117" s="3"/>
      <c r="T117" s="3">
        <f>--5652.57</f>
        <v>5652.57</v>
      </c>
      <c r="U117" s="3"/>
      <c r="V117" s="20">
        <f>IF(T$12=0,0,T117/T$12)</f>
        <v>2.8749506407223075E-3</v>
      </c>
      <c r="W117" s="3"/>
      <c r="X117" s="3">
        <f>+P117-T117</f>
        <v>-405.46000000000004</v>
      </c>
      <c r="Y117" s="3"/>
      <c r="Z117" s="20">
        <f>IF(T117=0,0,X117/T117)</f>
        <v>-7.1730204137233161E-2</v>
      </c>
    </row>
    <row r="118" spans="1:26" ht="15" customHeight="1" x14ac:dyDescent="0.25">
      <c r="A118" s="10"/>
      <c r="B118" s="11"/>
      <c r="C118" s="11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O118" s="11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2" customFormat="1" ht="15" customHeight="1" x14ac:dyDescent="0.25">
      <c r="A119" s="11"/>
      <c r="B119" s="27" t="s">
        <v>291</v>
      </c>
      <c r="C119" s="27"/>
      <c r="D119" s="22">
        <f>+D59-D61+D114</f>
        <v>-30507.630000000012</v>
      </c>
      <c r="E119" s="15"/>
      <c r="F119" s="23">
        <f>IF(D$12=0,0,D119/D$12)</f>
        <v>-1.3101264191991597</v>
      </c>
      <c r="G119" s="15"/>
      <c r="H119" s="22">
        <f>+H59-H61+H114</f>
        <v>-36551.840000000026</v>
      </c>
      <c r="I119" s="15"/>
      <c r="J119" s="23">
        <f>IF(H$12=0,0,H119/H$12)</f>
        <v>-0.70852896051143399</v>
      </c>
      <c r="K119" s="16"/>
      <c r="L119" s="22">
        <f>+D119-H119</f>
        <v>6044.2100000000137</v>
      </c>
      <c r="M119" s="16"/>
      <c r="N119" s="23">
        <f>IF(H119=0,0,L119/H119)</f>
        <v>-0.1653599381043474</v>
      </c>
      <c r="O119" s="28"/>
      <c r="P119" s="22">
        <f>+P59-P61+P114</f>
        <v>267102.86999999982</v>
      </c>
      <c r="Q119" s="15"/>
      <c r="R119" s="23">
        <f>IF(P$12=0,0,P119/P$12)</f>
        <v>0.14917829390343729</v>
      </c>
      <c r="S119" s="15"/>
      <c r="T119" s="22">
        <f>+T59-T61+T114</f>
        <v>386146.60000000021</v>
      </c>
      <c r="U119" s="15"/>
      <c r="V119" s="23">
        <f>IF(T$12=0,0,T119/T$12)</f>
        <v>0.1963978181752267</v>
      </c>
      <c r="W119" s="16"/>
      <c r="X119" s="22">
        <f>+P119-T119</f>
        <v>-119043.73000000039</v>
      </c>
      <c r="Y119" s="16"/>
      <c r="Z119" s="23">
        <f>IF(T119=0,0,X119/T119)</f>
        <v>-0.30828636067234655</v>
      </c>
    </row>
    <row r="120" spans="1:26" ht="15" customHeight="1" x14ac:dyDescent="0.25">
      <c r="A120" s="10"/>
      <c r="B120" s="11"/>
      <c r="C120" s="10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2" customFormat="1" ht="15" customHeight="1" x14ac:dyDescent="0.25">
      <c r="A121" s="48"/>
      <c r="B121" s="11" t="s">
        <v>292</v>
      </c>
      <c r="C121" s="11"/>
      <c r="D121" s="5">
        <v>1100.74</v>
      </c>
      <c r="E121" s="5"/>
      <c r="F121" s="13">
        <f>IF(D$12=0,0,D121/D$12)</f>
        <v>4.7270422339240462E-2</v>
      </c>
      <c r="G121" s="5"/>
      <c r="H121" s="5">
        <v>19613.53</v>
      </c>
      <c r="I121" s="5"/>
      <c r="J121" s="13">
        <f>IF(H$12=0,0,H121/H$12)</f>
        <v>0.38019300869285422</v>
      </c>
      <c r="K121" s="5"/>
      <c r="L121" s="5">
        <f>+D121-H121</f>
        <v>-18512.789999999997</v>
      </c>
      <c r="M121" s="5"/>
      <c r="N121" s="13">
        <f>IF(H121=0,0,L121/H121)</f>
        <v>-0.94387853690794055</v>
      </c>
      <c r="O121" s="11"/>
      <c r="P121" s="5">
        <v>201296.94</v>
      </c>
      <c r="Q121" s="5"/>
      <c r="R121" s="13">
        <f>IF(P$12=0,0,P121/P$12)</f>
        <v>0.11242535161521328</v>
      </c>
      <c r="S121" s="5"/>
      <c r="T121" s="5">
        <v>420146.56</v>
      </c>
      <c r="U121" s="5"/>
      <c r="V121" s="13">
        <f>IF(T$12=0,0,T121/T$12)</f>
        <v>0.21369051986428711</v>
      </c>
      <c r="W121" s="5"/>
      <c r="X121" s="5">
        <f>+P121-T121</f>
        <v>-218849.62</v>
      </c>
      <c r="Y121" s="5"/>
      <c r="Z121" s="13">
        <f>IF(T121=0,0,X121/T121)</f>
        <v>-0.52088875843705584</v>
      </c>
    </row>
    <row r="122" spans="1:26" ht="15" customHeight="1" x14ac:dyDescent="0.25">
      <c r="A122" s="10"/>
      <c r="B122" s="11"/>
      <c r="C122" s="11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O122" s="11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2" customFormat="1" ht="15" customHeight="1" x14ac:dyDescent="0.25">
      <c r="A123" s="11"/>
      <c r="B123" s="27" t="s">
        <v>293</v>
      </c>
      <c r="C123" s="27"/>
      <c r="D123" s="35">
        <f>+D119-D121</f>
        <v>-31608.370000000014</v>
      </c>
      <c r="E123" s="15"/>
      <c r="F123" s="30">
        <f>IF(D$12=0,0,D123/D$12)</f>
        <v>-1.3573968415384001</v>
      </c>
      <c r="G123" s="15"/>
      <c r="H123" s="35">
        <f>+H119-H121</f>
        <v>-56165.370000000024</v>
      </c>
      <c r="I123" s="15"/>
      <c r="J123" s="30">
        <f>IF(H$12=0,0,H123/H$12)</f>
        <v>-1.0887219692042882</v>
      </c>
      <c r="K123" s="16"/>
      <c r="L123" s="35">
        <f>D123-H123</f>
        <v>24557.000000000011</v>
      </c>
      <c r="M123" s="16"/>
      <c r="N123" s="30">
        <f>IF(H123=0,0,L123/H123)</f>
        <v>-0.43722671104988714</v>
      </c>
      <c r="O123" s="28"/>
      <c r="P123" s="35">
        <f>+P119-P121</f>
        <v>65805.929999999818</v>
      </c>
      <c r="Q123" s="15"/>
      <c r="R123" s="30">
        <f>IF(P$12=0,0,P123/P$12)</f>
        <v>3.6752942288224011E-2</v>
      </c>
      <c r="S123" s="15"/>
      <c r="T123" s="35">
        <f>+T119-T121</f>
        <v>-33999.959999999788</v>
      </c>
      <c r="U123" s="15"/>
      <c r="V123" s="30">
        <f>IF(T$12=0,0,T123/T$12)</f>
        <v>-1.7292701689060413E-2</v>
      </c>
      <c r="W123" s="16"/>
      <c r="X123" s="35">
        <f>P123-T123</f>
        <v>99805.889999999607</v>
      </c>
      <c r="Y123" s="16"/>
      <c r="Z123" s="30">
        <f>IF(T123=0,0,X123/T123)</f>
        <v>-2.9354708064362498</v>
      </c>
    </row>
    <row r="124" spans="1:26" ht="15" customHeight="1" x14ac:dyDescent="0.25">
      <c r="A124" s="10"/>
      <c r="B124" s="10"/>
      <c r="C124" s="10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ht="15" customHeight="1" x14ac:dyDescent="0.25">
      <c r="A125" s="10"/>
      <c r="B125" s="10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2" customFormat="1" ht="15" customHeight="1" x14ac:dyDescent="0.25">
      <c r="A126" s="11"/>
      <c r="B126" s="27" t="s">
        <v>296</v>
      </c>
      <c r="C126" s="27"/>
      <c r="D126" s="32">
        <f>SUM(D123:D125)</f>
        <v>-31608.370000000014</v>
      </c>
      <c r="E126" s="15"/>
      <c r="F126" s="34">
        <f>IF(D$12=0,0,D126/D$12)</f>
        <v>-1.3573968415384001</v>
      </c>
      <c r="G126" s="15"/>
      <c r="H126" s="32">
        <f>SUM(H123:H125)</f>
        <v>-56165.370000000024</v>
      </c>
      <c r="I126" s="15"/>
      <c r="J126" s="34">
        <f>IF(H$12=0,0,H126/H$12)</f>
        <v>-1.0887219692042882</v>
      </c>
      <c r="K126" s="16"/>
      <c r="L126" s="32">
        <f>+D126-H126</f>
        <v>24557.000000000011</v>
      </c>
      <c r="M126" s="16"/>
      <c r="N126" s="34">
        <f>IF(H126=0,0,L126/H126)</f>
        <v>-0.43722671104988714</v>
      </c>
      <c r="O126" s="28"/>
      <c r="P126" s="32">
        <f>SUM(P123:P125)</f>
        <v>65805.929999999818</v>
      </c>
      <c r="Q126" s="15"/>
      <c r="R126" s="34">
        <f>IF(P$12=0,0,P126/P$12)</f>
        <v>3.6752942288224011E-2</v>
      </c>
      <c r="S126" s="15"/>
      <c r="T126" s="32">
        <f>SUM(T123:T125)</f>
        <v>-33999.959999999788</v>
      </c>
      <c r="U126" s="15"/>
      <c r="V126" s="34">
        <f>IF(T$12=0,0,T126/T$12)</f>
        <v>-1.7292701689060413E-2</v>
      </c>
      <c r="W126" s="16"/>
      <c r="X126" s="32">
        <f>+P126-T126</f>
        <v>99805.889999999607</v>
      </c>
      <c r="Y126" s="16"/>
      <c r="Z126" s="34">
        <f>IF(T126=0,0,X126/T126)</f>
        <v>-2.9354708064362498</v>
      </c>
    </row>
    <row r="127" spans="1:26" ht="15" customHeight="1" x14ac:dyDescent="0.25">
      <c r="A127" s="10"/>
      <c r="C127" s="10"/>
      <c r="D127" s="18"/>
      <c r="E127" s="18"/>
      <c r="G127" s="18"/>
      <c r="H127" s="18"/>
      <c r="I127" s="18"/>
      <c r="J127" s="41"/>
      <c r="K127" s="18"/>
      <c r="L127" s="18"/>
      <c r="M127" s="18"/>
      <c r="P127" s="18"/>
      <c r="Q127" s="18"/>
      <c r="R127" s="41"/>
      <c r="S127" s="18"/>
      <c r="T127" s="18"/>
      <c r="U127" s="18"/>
      <c r="V127" s="41"/>
      <c r="W127" s="18"/>
      <c r="X127" s="18"/>
    </row>
    <row r="128" spans="1:26" ht="15" customHeight="1" x14ac:dyDescent="0.25">
      <c r="A128" s="10"/>
      <c r="B128" s="50">
        <v>44727.879654085649</v>
      </c>
      <c r="D128" s="18"/>
      <c r="E128" s="18"/>
      <c r="G128" s="18"/>
      <c r="H128" s="18"/>
      <c r="I128" s="18"/>
      <c r="J128" s="41"/>
      <c r="K128" s="18"/>
      <c r="L128" s="18"/>
      <c r="M128" s="18"/>
      <c r="P128" s="18"/>
      <c r="Q128" s="18"/>
      <c r="R128" s="41"/>
      <c r="S128" s="18"/>
      <c r="T128" s="18"/>
      <c r="U128" s="18"/>
      <c r="V128" s="41"/>
      <c r="W128" s="18"/>
      <c r="X128" s="18"/>
    </row>
    <row r="129" spans="1:24" ht="15" customHeight="1" x14ac:dyDescent="0.25">
      <c r="A129" s="10"/>
      <c r="B129" s="53" t="s">
        <v>297</v>
      </c>
      <c r="D129" s="18"/>
      <c r="E129" s="18"/>
      <c r="G129" s="18"/>
      <c r="H129" s="18"/>
      <c r="I129" s="18"/>
      <c r="J129" s="41"/>
      <c r="K129" s="18"/>
      <c r="L129" s="18"/>
      <c r="M129" s="18"/>
      <c r="P129" s="18"/>
      <c r="Q129" s="18"/>
      <c r="R129" s="41"/>
      <c r="S129" s="18"/>
      <c r="T129" s="18"/>
      <c r="U129" s="18"/>
      <c r="V129" s="41"/>
      <c r="W129" s="18"/>
      <c r="X129" s="18"/>
    </row>
    <row r="130" spans="1:24" ht="15" customHeight="1" x14ac:dyDescent="0.25">
      <c r="A130" s="10"/>
      <c r="B130" s="55"/>
      <c r="D130" s="18"/>
      <c r="E130" s="18"/>
      <c r="G130" s="18"/>
      <c r="H130" s="18"/>
      <c r="I130" s="18"/>
      <c r="J130" s="41"/>
      <c r="K130" s="18"/>
      <c r="L130" s="18"/>
      <c r="M130" s="18"/>
      <c r="P130" s="18"/>
      <c r="Q130" s="18"/>
      <c r="R130" s="41"/>
      <c r="S130" s="18"/>
      <c r="T130" s="18"/>
      <c r="U130" s="18"/>
      <c r="V130" s="41"/>
      <c r="W130" s="18"/>
      <c r="X130" s="18"/>
    </row>
    <row r="131" spans="1:24" ht="15" customHeight="1" x14ac:dyDescent="0.25">
      <c r="D131" s="18"/>
      <c r="E131" s="18"/>
      <c r="G131" s="18"/>
      <c r="H131" s="18"/>
      <c r="I131" s="18"/>
      <c r="J131" s="41"/>
      <c r="K131" s="18"/>
      <c r="L131" s="18"/>
      <c r="M131" s="18"/>
      <c r="P131" s="18"/>
      <c r="Q131" s="18"/>
      <c r="R131" s="41"/>
      <c r="S131" s="18"/>
      <c r="T131" s="18"/>
      <c r="U131" s="18"/>
      <c r="V131" s="41"/>
      <c r="W131" s="18"/>
      <c r="X13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52485-18BB-3D8D-4998-8991499C4539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","324"," - ","Textbook Rental")</f>
        <v>Department 324 - Textbook Rental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9857.34</v>
      </c>
      <c r="E12" s="5"/>
      <c r="F12" s="13"/>
      <c r="G12" s="5"/>
      <c r="H12" s="5">
        <f>SUM(OSRRefH13x_0)</f>
        <v>12105.54</v>
      </c>
      <c r="I12" s="5"/>
      <c r="J12" s="13"/>
      <c r="K12" s="5"/>
      <c r="L12" s="5">
        <f>+D12-H12</f>
        <v>-2248.2000000000007</v>
      </c>
      <c r="M12" s="5"/>
      <c r="N12" s="13">
        <f>IF(H12=0,0,L12/H12)</f>
        <v>-0.18571662230681163</v>
      </c>
      <c r="O12" s="11"/>
      <c r="P12" s="5">
        <f>SUM(OSRRefP13x_0)</f>
        <v>444869.55000000005</v>
      </c>
      <c r="Q12" s="5"/>
      <c r="R12" s="13"/>
      <c r="S12" s="5"/>
      <c r="T12" s="5">
        <f>SUM(OSRRefT13x_0)</f>
        <v>777185.35</v>
      </c>
      <c r="U12" s="5"/>
      <c r="V12" s="13"/>
      <c r="W12" s="5"/>
      <c r="X12" s="5">
        <f>+P12-T12</f>
        <v>-332315.79999999993</v>
      </c>
      <c r="Y12" s="5"/>
      <c r="Z12" s="13">
        <f>IF(T12=0,0,X12/T12)</f>
        <v>-0.42758886281116848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--6691.92</f>
        <v>6691.92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6691.92</v>
      </c>
      <c r="M13" s="3"/>
      <c r="N13" s="20">
        <f>IF(H13=0,0,L13/H13)</f>
        <v>0</v>
      </c>
      <c r="O13" s="12"/>
      <c r="P13" s="3">
        <f>--278068.09</f>
        <v>278068.09000000003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278068.09000000003</v>
      </c>
      <c r="Y13" s="3"/>
      <c r="Z13" s="20">
        <f>IF(T13=0,0,X13/T13)</f>
        <v>0</v>
      </c>
    </row>
    <row r="14" spans="1:26" s="69" customFormat="1" ht="15" hidden="1" customHeight="1" outlineLevel="1" x14ac:dyDescent="0.25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--5841.29</f>
        <v>5841.29</v>
      </c>
      <c r="I14" s="3"/>
      <c r="J14" s="20"/>
      <c r="K14" s="3"/>
      <c r="L14" s="3">
        <f>+D14-H14</f>
        <v>-5841.29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f>--269846.67</f>
        <v>269846.67</v>
      </c>
      <c r="U14" s="3"/>
      <c r="V14" s="20"/>
      <c r="W14" s="3"/>
      <c r="X14" s="3">
        <f>+P14-T14</f>
        <v>-269846.67</v>
      </c>
      <c r="Y14" s="3"/>
      <c r="Z14" s="20">
        <f>IF(T14=0,0,X14/T14)</f>
        <v>-1</v>
      </c>
    </row>
    <row r="15" spans="1:26" s="69" customFormat="1" ht="15" hidden="1" customHeight="1" outlineLevel="1" x14ac:dyDescent="0.25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--2718.04</f>
        <v>2718.04</v>
      </c>
      <c r="I15" s="3"/>
      <c r="J15" s="20"/>
      <c r="K15" s="3"/>
      <c r="L15" s="3">
        <f>+D15-H15</f>
        <v>-2718.04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f>--229953.7</f>
        <v>229953.7</v>
      </c>
      <c r="U15" s="3"/>
      <c r="V15" s="20"/>
      <c r="W15" s="3"/>
      <c r="X15" s="3">
        <f>+P15-T15</f>
        <v>-229953.7</v>
      </c>
      <c r="Y15" s="3"/>
      <c r="Z15" s="20">
        <f>IF(T15=0,0,X15/T15)</f>
        <v>-1</v>
      </c>
    </row>
    <row r="16" spans="1:26" s="69" customFormat="1" ht="15" hidden="1" customHeight="1" outlineLevel="1" x14ac:dyDescent="0.25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--3165.42</f>
        <v>3165.42</v>
      </c>
      <c r="E16" s="3"/>
      <c r="F16" s="20"/>
      <c r="G16" s="3"/>
      <c r="H16" s="3">
        <f>--3546.21</f>
        <v>3546.21</v>
      </c>
      <c r="I16" s="3"/>
      <c r="J16" s="20"/>
      <c r="K16" s="3"/>
      <c r="L16" s="3">
        <f>+D16-H16</f>
        <v>-380.78999999999996</v>
      </c>
      <c r="M16" s="3"/>
      <c r="N16" s="20">
        <f>IF(H16=0,0,L16/H16)</f>
        <v>-0.10737942761426987</v>
      </c>
      <c r="O16" s="12"/>
      <c r="P16" s="3">
        <f>--166801.46</f>
        <v>166801.46</v>
      </c>
      <c r="Q16" s="3"/>
      <c r="R16" s="20"/>
      <c r="S16" s="3"/>
      <c r="T16" s="3">
        <f>--277384.98</f>
        <v>277384.98</v>
      </c>
      <c r="U16" s="3"/>
      <c r="V16" s="20"/>
      <c r="W16" s="3"/>
      <c r="X16" s="3">
        <f>+P16-T16</f>
        <v>-110583.51999999999</v>
      </c>
      <c r="Y16" s="3"/>
      <c r="Z16" s="20">
        <f>IF(T16=0,0,X16/T16)</f>
        <v>-0.39866441218266396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25">
      <c r="A18" s="11"/>
      <c r="B18" s="28" t="s">
        <v>287</v>
      </c>
      <c r="C18" s="11"/>
      <c r="D18" s="5">
        <f>SUM(OSRRefD16x_0)</f>
        <v>2594.2600000000002</v>
      </c>
      <c r="E18" s="5"/>
      <c r="F18" s="13">
        <f>IF(D$12=0,0,D18/D$12)</f>
        <v>0.26318053349077947</v>
      </c>
      <c r="G18" s="5"/>
      <c r="H18" s="5">
        <f>SUM(OSRRefH16x_0)</f>
        <v>7358.5399999999991</v>
      </c>
      <c r="I18" s="5"/>
      <c r="J18" s="13">
        <f>IF(H$12=0,0,H18/H$12)</f>
        <v>0.60786548968488796</v>
      </c>
      <c r="K18" s="5"/>
      <c r="L18" s="5">
        <f>+D18-H18</f>
        <v>-4764.2799999999988</v>
      </c>
      <c r="M18" s="5"/>
      <c r="N18" s="13">
        <f>IF(H18=0,0,L18/H18)</f>
        <v>-0.64744908636767617</v>
      </c>
      <c r="O18" s="11"/>
      <c r="P18" s="5">
        <f>SUM(OSRRefP16x_0)</f>
        <v>304997.01</v>
      </c>
      <c r="Q18" s="5"/>
      <c r="R18" s="13">
        <f>IF(P$12=0,0,P18/P$12)</f>
        <v>0.68558751661020623</v>
      </c>
      <c r="S18" s="5"/>
      <c r="T18" s="5">
        <f>SUM(OSRRefT16x_0)</f>
        <v>550555.76</v>
      </c>
      <c r="U18" s="5"/>
      <c r="V18" s="13">
        <f>IF(T$12=0,0,T18/T$12)</f>
        <v>0.70839698663903017</v>
      </c>
      <c r="W18" s="5"/>
      <c r="X18" s="5">
        <f>+P18-T18</f>
        <v>-245558.75</v>
      </c>
      <c r="Y18" s="5"/>
      <c r="Z18" s="13">
        <f>IF(T18=0,0,X18/T18)</f>
        <v>-0.44601976373837227</v>
      </c>
    </row>
    <row r="19" spans="1:26" s="69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>
        <v>2594.2600000000002</v>
      </c>
      <c r="E19" s="3"/>
      <c r="F19" s="20">
        <f>IF(D$12=0,0,D19/D$12)</f>
        <v>0.26318053349077947</v>
      </c>
      <c r="G19" s="3"/>
      <c r="H19" s="3"/>
      <c r="I19" s="3"/>
      <c r="J19" s="20">
        <f>IF(H$12=0,0,H19/H$12)</f>
        <v>0</v>
      </c>
      <c r="K19" s="3"/>
      <c r="L19" s="3">
        <f>+D19-H19</f>
        <v>2594.2600000000002</v>
      </c>
      <c r="M19" s="3"/>
      <c r="N19" s="20">
        <f>IF(H19=0,0,L19/H19)</f>
        <v>0</v>
      </c>
      <c r="O19" s="12"/>
      <c r="P19" s="3">
        <v>304997.01</v>
      </c>
      <c r="Q19" s="3"/>
      <c r="R19" s="20">
        <f>IF(P$12=0,0,P19/P$12)</f>
        <v>0.68558751661020623</v>
      </c>
      <c r="S19" s="3"/>
      <c r="T19" s="3"/>
      <c r="U19" s="3"/>
      <c r="V19" s="20">
        <f>IF(T$12=0,0,T19/T$12)</f>
        <v>0</v>
      </c>
      <c r="W19" s="3"/>
      <c r="X19" s="3">
        <f>+P19-T19</f>
        <v>304997.01</v>
      </c>
      <c r="Y19" s="3"/>
      <c r="Z19" s="20">
        <f>IF(T19=0,0,X19/T19)</f>
        <v>0</v>
      </c>
    </row>
    <row r="20" spans="1:26" s="69" customFormat="1" ht="15" hidden="1" customHeight="1" outlineLevel="1" x14ac:dyDescent="0.25">
      <c r="A20" s="42"/>
      <c r="B20" s="12" t="str">
        <f>CONCATENATE("          ","5001"," - ","PURCHASES @ COST-NEW TEXT")</f>
        <v xml:space="preserve">          5001 - PURCHASES @ COST-NEW TEXT</v>
      </c>
      <c r="C20" s="12"/>
      <c r="D20" s="3"/>
      <c r="E20" s="3"/>
      <c r="F20" s="20">
        <f>IF(D$12=0,0,D20/D$12)</f>
        <v>0</v>
      </c>
      <c r="G20" s="3"/>
      <c r="H20" s="3">
        <v>4785.9399999999996</v>
      </c>
      <c r="I20" s="3"/>
      <c r="J20" s="20">
        <f>IF(H$12=0,0,H20/H$12)</f>
        <v>0.39535121935907025</v>
      </c>
      <c r="K20" s="3"/>
      <c r="L20" s="3">
        <f>+D20-H20</f>
        <v>-4785.9399999999996</v>
      </c>
      <c r="M20" s="3"/>
      <c r="N20" s="20">
        <f>IF(H20=0,0,L20/H20)</f>
        <v>-1</v>
      </c>
      <c r="O20" s="12"/>
      <c r="P20" s="3"/>
      <c r="Q20" s="3"/>
      <c r="R20" s="20">
        <f>IF(P$12=0,0,P20/P$12)</f>
        <v>0</v>
      </c>
      <c r="S20" s="3"/>
      <c r="T20" s="3">
        <v>305344.96999999997</v>
      </c>
      <c r="U20" s="3"/>
      <c r="V20" s="20">
        <f>IF(T$12=0,0,T20/T$12)</f>
        <v>0.39288564819190169</v>
      </c>
      <c r="W20" s="3"/>
      <c r="X20" s="3">
        <f>+P20-T20</f>
        <v>-305344.96999999997</v>
      </c>
      <c r="Y20" s="3"/>
      <c r="Z20" s="20">
        <f>IF(T20=0,0,X20/T20)</f>
        <v>-1</v>
      </c>
    </row>
    <row r="21" spans="1:26" s="69" customFormat="1" ht="15" hidden="1" customHeight="1" outlineLevel="1" x14ac:dyDescent="0.25">
      <c r="A21" s="42"/>
      <c r="B21" s="12" t="str">
        <f>CONCATENATE("          ","5002"," - ","PURCHASES @ COST-USED TEXT")</f>
        <v xml:space="preserve">          5002 - PURCHASES @ COST-USED TEXT</v>
      </c>
      <c r="C21" s="12"/>
      <c r="D21" s="3"/>
      <c r="E21" s="3"/>
      <c r="F21" s="20">
        <f>IF(D$12=0,0,D21/D$12)</f>
        <v>0</v>
      </c>
      <c r="G21" s="3"/>
      <c r="H21" s="3">
        <v>2572.6</v>
      </c>
      <c r="I21" s="3"/>
      <c r="J21" s="20">
        <f>IF(H$12=0,0,H21/H$12)</f>
        <v>0.21251427032581774</v>
      </c>
      <c r="K21" s="3"/>
      <c r="L21" s="3">
        <f>+D21-H21</f>
        <v>-2572.6</v>
      </c>
      <c r="M21" s="3"/>
      <c r="N21" s="20">
        <f>IF(H21=0,0,L21/H21)</f>
        <v>-1</v>
      </c>
      <c r="O21" s="12"/>
      <c r="P21" s="3"/>
      <c r="Q21" s="3"/>
      <c r="R21" s="20">
        <f>IF(P$12=0,0,P21/P$12)</f>
        <v>0</v>
      </c>
      <c r="S21" s="3"/>
      <c r="T21" s="3">
        <v>245210.79</v>
      </c>
      <c r="U21" s="3"/>
      <c r="V21" s="20">
        <f>IF(T$12=0,0,T21/T$12)</f>
        <v>0.31551133844712848</v>
      </c>
      <c r="W21" s="3"/>
      <c r="X21" s="3">
        <f>+P21-T21</f>
        <v>-245210.79</v>
      </c>
      <c r="Y21" s="3"/>
      <c r="Z21" s="20">
        <f>IF(T21=0,0,X21/T21)</f>
        <v>-1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25">
      <c r="A23" s="11"/>
      <c r="B23" s="27" t="s">
        <v>288</v>
      </c>
      <c r="C23" s="27"/>
      <c r="D23" s="22">
        <f>D12-D18</f>
        <v>7263.08</v>
      </c>
      <c r="E23" s="15"/>
      <c r="F23" s="23">
        <f>IF(D$12=0,0,D23/D$12)</f>
        <v>0.73681946650922048</v>
      </c>
      <c r="G23" s="15"/>
      <c r="H23" s="22">
        <f>H12-H18</f>
        <v>4747.0000000000018</v>
      </c>
      <c r="I23" s="15"/>
      <c r="J23" s="23">
        <f>IF(H$12=0,0,H23/H$12)</f>
        <v>0.39213451031511204</v>
      </c>
      <c r="K23" s="16"/>
      <c r="L23" s="22">
        <f>+D23-H23</f>
        <v>2516.0799999999981</v>
      </c>
      <c r="M23" s="16"/>
      <c r="N23" s="23">
        <f>IF(H23=0,0,L23/H23)</f>
        <v>0.53003581209184691</v>
      </c>
      <c r="O23" s="28"/>
      <c r="P23" s="22">
        <f>P12-P18</f>
        <v>139872.54000000004</v>
      </c>
      <c r="Q23" s="15"/>
      <c r="R23" s="23">
        <f>IF(P$12=0,0,P23/P$12)</f>
        <v>0.31441248338979377</v>
      </c>
      <c r="S23" s="15"/>
      <c r="T23" s="22">
        <f>T12-T18</f>
        <v>226629.58999999997</v>
      </c>
      <c r="U23" s="15"/>
      <c r="V23" s="23">
        <f>IF(T$12=0,0,T23/T$12)</f>
        <v>0.29160301336096978</v>
      </c>
      <c r="W23" s="16"/>
      <c r="X23" s="22">
        <f>+P23-T23</f>
        <v>-86757.04999999993</v>
      </c>
      <c r="Y23" s="16"/>
      <c r="Z23" s="23">
        <f>IF(T23=0,0,X23/T23)</f>
        <v>-0.38281430946417871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25">
      <c r="A25" s="11"/>
      <c r="B25" s="28" t="s">
        <v>289</v>
      </c>
      <c r="C25" s="11"/>
      <c r="D25" s="21">
        <f>SUM(0)</f>
        <v>0</v>
      </c>
      <c r="E25" s="21"/>
      <c r="F25" s="31">
        <f>IF(D$12=0,0,D25/D$12)</f>
        <v>0</v>
      </c>
      <c r="G25" s="21"/>
      <c r="H25" s="21">
        <f>SUM(0)</f>
        <v>0</v>
      </c>
      <c r="I25" s="21"/>
      <c r="J25" s="31">
        <f>IF(H$12=0,0,H25/H$12)</f>
        <v>0</v>
      </c>
      <c r="K25" s="5"/>
      <c r="L25" s="21">
        <f>+D25-H25</f>
        <v>0</v>
      </c>
      <c r="M25" s="5"/>
      <c r="N25" s="31">
        <f>IF(H25=0,0,L25/H25)</f>
        <v>0</v>
      </c>
      <c r="O25" s="11"/>
      <c r="P25" s="21">
        <f>SUM(0)</f>
        <v>0</v>
      </c>
      <c r="Q25" s="21"/>
      <c r="R25" s="31">
        <f>IF(P$12=0,0,P25/P$12)</f>
        <v>0</v>
      </c>
      <c r="S25" s="21"/>
      <c r="T25" s="21">
        <f>SUM(0)</f>
        <v>0</v>
      </c>
      <c r="U25" s="21"/>
      <c r="V25" s="31">
        <f>IF(T$12=0,0,T25/T$12)</f>
        <v>0</v>
      </c>
      <c r="W25" s="5"/>
      <c r="X25" s="21">
        <f>+P25-T25</f>
        <v>0</v>
      </c>
      <c r="Y25" s="5"/>
      <c r="Z25" s="31">
        <f>IF(T25=0,0,X25/T25)</f>
        <v>0</v>
      </c>
    </row>
    <row r="26" spans="1:26" s="64" customFormat="1" ht="15" customHeight="1" x14ac:dyDescent="0.25">
      <c r="A26" s="36"/>
      <c r="B26" s="36"/>
      <c r="C26" s="36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6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2" customFormat="1" ht="15" customHeight="1" x14ac:dyDescent="0.25">
      <c r="A27" s="11"/>
      <c r="B27" s="28" t="s">
        <v>290</v>
      </c>
      <c r="C27" s="11"/>
      <c r="D27" s="5">
        <f>SUM(0)</f>
        <v>0</v>
      </c>
      <c r="E27" s="5"/>
      <c r="F27" s="13">
        <f>IF(D$12=0,0,D27/D$12)</f>
        <v>0</v>
      </c>
      <c r="G27" s="5"/>
      <c r="H27" s="5">
        <f>SUM(0)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SUM(0)</f>
        <v>0</v>
      </c>
      <c r="Q27" s="5"/>
      <c r="R27" s="13">
        <f>IF(P$12=0,0,P27/P$12)</f>
        <v>0</v>
      </c>
      <c r="S27" s="5"/>
      <c r="T27" s="5">
        <f>SUM(0)</f>
        <v>0</v>
      </c>
      <c r="U27" s="5"/>
      <c r="V27" s="13">
        <f>IF(T$12=0,0,T27/T$12)</f>
        <v>0</v>
      </c>
      <c r="W27" s="5"/>
      <c r="X27" s="5">
        <f>+P27-T27</f>
        <v>0</v>
      </c>
      <c r="Y27" s="5"/>
      <c r="Z27" s="13">
        <f>IF(T27=0,0,X27/T27)</f>
        <v>0</v>
      </c>
    </row>
    <row r="28" spans="1:26" ht="15" customHeight="1" x14ac:dyDescent="0.25">
      <c r="A28" s="10"/>
      <c r="B28" s="11"/>
      <c r="C28" s="11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O28" s="11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11"/>
      <c r="B29" s="27" t="s">
        <v>291</v>
      </c>
      <c r="C29" s="27"/>
      <c r="D29" s="22">
        <f>+D23-D25+D27</f>
        <v>7263.08</v>
      </c>
      <c r="E29" s="15"/>
      <c r="F29" s="23">
        <f>IF(D$12=0,0,D29/D$12)</f>
        <v>0.73681946650922048</v>
      </c>
      <c r="G29" s="15"/>
      <c r="H29" s="22">
        <f>+H23-H25+H27</f>
        <v>4747.0000000000018</v>
      </c>
      <c r="I29" s="15"/>
      <c r="J29" s="23">
        <f>IF(H$12=0,0,H29/H$12)</f>
        <v>0.39213451031511204</v>
      </c>
      <c r="K29" s="16"/>
      <c r="L29" s="22">
        <f>+D29-H29</f>
        <v>2516.0799999999981</v>
      </c>
      <c r="M29" s="16"/>
      <c r="N29" s="23">
        <f>IF(H29=0,0,L29/H29)</f>
        <v>0.53003581209184691</v>
      </c>
      <c r="O29" s="28"/>
      <c r="P29" s="22">
        <f>+P23-P25+P27</f>
        <v>139872.54000000004</v>
      </c>
      <c r="Q29" s="15"/>
      <c r="R29" s="23">
        <f>IF(P$12=0,0,P29/P$12)</f>
        <v>0.31441248338979377</v>
      </c>
      <c r="S29" s="15"/>
      <c r="T29" s="22">
        <f>+T23-T25+T27</f>
        <v>226629.58999999997</v>
      </c>
      <c r="U29" s="15"/>
      <c r="V29" s="23">
        <f>IF(T$12=0,0,T29/T$12)</f>
        <v>0.29160301336096978</v>
      </c>
      <c r="W29" s="16"/>
      <c r="X29" s="22">
        <f>+P29-T29</f>
        <v>-86757.04999999993</v>
      </c>
      <c r="Y29" s="16"/>
      <c r="Z29" s="23">
        <f>IF(T29=0,0,X29/T29)</f>
        <v>-0.38281430946417871</v>
      </c>
    </row>
    <row r="30" spans="1:26" ht="15" customHeight="1" x14ac:dyDescent="0.25">
      <c r="A30" s="10"/>
      <c r="B30" s="11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48"/>
      <c r="B31" s="11" t="s">
        <v>292</v>
      </c>
      <c r="C31" s="11"/>
      <c r="D31" s="5">
        <v>734.75</v>
      </c>
      <c r="E31" s="5"/>
      <c r="F31" s="13">
        <f>IF(D$12=0,0,D31/D$12)</f>
        <v>7.4538364305177657E-2</v>
      </c>
      <c r="G31" s="5"/>
      <c r="H31" s="5">
        <v>6019.34</v>
      </c>
      <c r="I31" s="5"/>
      <c r="J31" s="13">
        <f>IF(H$12=0,0,H31/H$12)</f>
        <v>0.49723845445969361</v>
      </c>
      <c r="K31" s="5"/>
      <c r="L31" s="5">
        <f>+D31-H31</f>
        <v>-5284.59</v>
      </c>
      <c r="M31" s="5"/>
      <c r="N31" s="13">
        <f>IF(H31=0,0,L31/H31)</f>
        <v>-0.87793512245528582</v>
      </c>
      <c r="O31" s="11"/>
      <c r="P31" s="5">
        <v>50014.62</v>
      </c>
      <c r="Q31" s="5"/>
      <c r="R31" s="13">
        <f>IF(P$12=0,0,P31/P$12)</f>
        <v>0.11242536154699731</v>
      </c>
      <c r="S31" s="5"/>
      <c r="T31" s="5">
        <v>166077.14000000001</v>
      </c>
      <c r="U31" s="5"/>
      <c r="V31" s="13">
        <f>IF(T$12=0,0,T31/T$12)</f>
        <v>0.21369051796974817</v>
      </c>
      <c r="W31" s="5"/>
      <c r="X31" s="5">
        <f>+P31-T31</f>
        <v>-116062.52000000002</v>
      </c>
      <c r="Y31" s="5"/>
      <c r="Z31" s="13">
        <f>IF(T31=0,0,X31/T31)</f>
        <v>-0.69884705384497836</v>
      </c>
    </row>
    <row r="32" spans="1:26" ht="15" customHeight="1" x14ac:dyDescent="0.25">
      <c r="A32" s="10"/>
      <c r="B32" s="11"/>
      <c r="C32" s="11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O32" s="11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11"/>
      <c r="B33" s="27" t="s">
        <v>293</v>
      </c>
      <c r="C33" s="27"/>
      <c r="D33" s="35">
        <f>+D29-D31</f>
        <v>6528.33</v>
      </c>
      <c r="E33" s="15"/>
      <c r="F33" s="30">
        <f>IF(D$12=0,0,D33/D$12)</f>
        <v>0.6622811022040429</v>
      </c>
      <c r="G33" s="15"/>
      <c r="H33" s="35">
        <f>+H29-H31</f>
        <v>-1272.3399999999983</v>
      </c>
      <c r="I33" s="15"/>
      <c r="J33" s="30">
        <f>IF(H$12=0,0,H33/H$12)</f>
        <v>-0.10510394414458159</v>
      </c>
      <c r="K33" s="16"/>
      <c r="L33" s="35">
        <f>D33-H33</f>
        <v>7800.6699999999983</v>
      </c>
      <c r="M33" s="16"/>
      <c r="N33" s="30">
        <f>IF(H33=0,0,L33/H33)</f>
        <v>-6.1309634217269036</v>
      </c>
      <c r="O33" s="28"/>
      <c r="P33" s="35">
        <f>+P29-P31</f>
        <v>89857.920000000042</v>
      </c>
      <c r="Q33" s="15"/>
      <c r="R33" s="30">
        <f>IF(P$12=0,0,P33/P$12)</f>
        <v>0.20198712184279646</v>
      </c>
      <c r="S33" s="15"/>
      <c r="T33" s="35">
        <f>+T29-T31</f>
        <v>60552.449999999953</v>
      </c>
      <c r="U33" s="15"/>
      <c r="V33" s="30">
        <f>IF(T$12=0,0,T33/T$12)</f>
        <v>7.7912495391221609E-2</v>
      </c>
      <c r="W33" s="16"/>
      <c r="X33" s="35">
        <f>P33-T33</f>
        <v>29305.470000000088</v>
      </c>
      <c r="Y33" s="16"/>
      <c r="Z33" s="30">
        <f>IF(T33=0,0,X33/T33)</f>
        <v>0.48396836131321047</v>
      </c>
    </row>
    <row r="34" spans="1:26" ht="15" customHeight="1" x14ac:dyDescent="0.25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>
        <f>SUM(D33:D35)</f>
        <v>6528.33</v>
      </c>
      <c r="E36" s="15"/>
      <c r="F36" s="34">
        <f>IF(D$12=0,0,D36/D$12)</f>
        <v>0.6622811022040429</v>
      </c>
      <c r="G36" s="15"/>
      <c r="H36" s="32">
        <f>SUM(H33:H35)</f>
        <v>-1272.3399999999983</v>
      </c>
      <c r="I36" s="15"/>
      <c r="J36" s="34">
        <f>IF(H$12=0,0,H36/H$12)</f>
        <v>-0.10510394414458159</v>
      </c>
      <c r="K36" s="16"/>
      <c r="L36" s="32">
        <f>+D36-H36</f>
        <v>7800.6699999999983</v>
      </c>
      <c r="M36" s="16"/>
      <c r="N36" s="34">
        <f>IF(H36=0,0,L36/H36)</f>
        <v>-6.1309634217269036</v>
      </c>
      <c r="O36" s="28"/>
      <c r="P36" s="32">
        <f>SUM(P33:P35)</f>
        <v>89857.920000000042</v>
      </c>
      <c r="Q36" s="15"/>
      <c r="R36" s="34">
        <f>IF(P$12=0,0,P36/P$12)</f>
        <v>0.20198712184279646</v>
      </c>
      <c r="S36" s="15"/>
      <c r="T36" s="32">
        <f>SUM(T33:T35)</f>
        <v>60552.449999999953</v>
      </c>
      <c r="U36" s="15"/>
      <c r="V36" s="34">
        <f>IF(T$12=0,0,T36/T$12)</f>
        <v>7.7912495391221609E-2</v>
      </c>
      <c r="W36" s="16"/>
      <c r="X36" s="32">
        <f>+P36-T36</f>
        <v>29305.470000000088</v>
      </c>
      <c r="Y36" s="16"/>
      <c r="Z36" s="34">
        <f>IF(T36=0,0,X36/T36)</f>
        <v>0.48396836131321047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>
        <v>44727.879654085649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s">
        <v>297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6691F-BD16-D63D-DBA4-B800DD2E9019}">
  <sheetPr>
    <tabColor rgb="FFFFFF00"/>
    <outlinePr summaryBelow="0" summaryRight="0"/>
  </sheetPr>
  <dimension ref="A2:Z18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308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796040.28999999992</v>
      </c>
      <c r="E12" s="5"/>
      <c r="F12" s="13"/>
      <c r="G12" s="5"/>
      <c r="H12" s="5">
        <f>SUM(OSRRefH13x_0)</f>
        <v>430122.32000000012</v>
      </c>
      <c r="I12" s="5"/>
      <c r="J12" s="13"/>
      <c r="K12" s="5"/>
      <c r="L12" s="5">
        <f t="shared" ref="L12:L57" si="0">+D12-H12</f>
        <v>365917.9699999998</v>
      </c>
      <c r="M12" s="5"/>
      <c r="N12" s="13">
        <f t="shared" ref="N12:N57" si="1">IF(H12=0,0,L12/H12)</f>
        <v>0.85073002024168309</v>
      </c>
      <c r="O12" s="11"/>
      <c r="P12" s="5">
        <f>SUM(OSRRefP13x_0)</f>
        <v>5060481.209999999</v>
      </c>
      <c r="Q12" s="5"/>
      <c r="R12" s="13"/>
      <c r="S12" s="5"/>
      <c r="T12" s="5">
        <f>SUM(OSRRefT13x_0)</f>
        <v>2338427.7400000012</v>
      </c>
      <c r="U12" s="5"/>
      <c r="V12" s="13"/>
      <c r="W12" s="5"/>
      <c r="X12" s="5">
        <f t="shared" ref="X12:X57" si="2">+P12-T12</f>
        <v>2722053.4699999979</v>
      </c>
      <c r="Y12" s="5"/>
      <c r="Z12" s="13">
        <f t="shared" ref="Z12:Z57" si="3">IF(T12=0,0,X12/T12)</f>
        <v>1.1640528477480327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--795788</f>
        <v>795788</v>
      </c>
      <c r="E13" s="3"/>
      <c r="F13" s="20"/>
      <c r="G13" s="3"/>
      <c r="H13" s="3">
        <f>-10651.2</f>
        <v>-10651.2</v>
      </c>
      <c r="I13" s="3"/>
      <c r="J13" s="20"/>
      <c r="K13" s="3"/>
      <c r="L13" s="3">
        <f t="shared" si="0"/>
        <v>806439.2</v>
      </c>
      <c r="M13" s="3"/>
      <c r="N13" s="20">
        <f t="shared" si="1"/>
        <v>-75.713459516298627</v>
      </c>
      <c r="O13" s="12"/>
      <c r="P13" s="3">
        <f>--4701174.77</f>
        <v>4701174.7699999996</v>
      </c>
      <c r="Q13" s="3"/>
      <c r="R13" s="20"/>
      <c r="S13" s="3"/>
      <c r="T13" s="3">
        <f>-135158.39</f>
        <v>-135158.39000000001</v>
      </c>
      <c r="U13" s="3"/>
      <c r="V13" s="20"/>
      <c r="W13" s="3"/>
      <c r="X13" s="3">
        <f t="shared" si="2"/>
        <v>4836333.1599999992</v>
      </c>
      <c r="Y13" s="3"/>
      <c r="Z13" s="20">
        <f t="shared" si="3"/>
        <v>-35.782707680966006</v>
      </c>
    </row>
    <row r="14" spans="1:26" s="69" customFormat="1" ht="15" hidden="1" customHeight="1" outlineLevel="1" x14ac:dyDescent="0.25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--36.37</f>
        <v>36.369999999999997</v>
      </c>
      <c r="I14" s="3"/>
      <c r="J14" s="20"/>
      <c r="K14" s="3"/>
      <c r="L14" s="3">
        <f t="shared" si="0"/>
        <v>-36.369999999999997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--522.54</f>
        <v>522.54</v>
      </c>
      <c r="U14" s="3"/>
      <c r="V14" s="20"/>
      <c r="W14" s="3"/>
      <c r="X14" s="3">
        <f t="shared" si="2"/>
        <v>-522.54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--6033.32</f>
        <v>6033.32</v>
      </c>
      <c r="I15" s="3"/>
      <c r="J15" s="20"/>
      <c r="K15" s="3"/>
      <c r="L15" s="3">
        <f t="shared" si="0"/>
        <v>-6033.32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--70104.29</f>
        <v>70104.289999999994</v>
      </c>
      <c r="U15" s="3"/>
      <c r="V15" s="20"/>
      <c r="W15" s="3"/>
      <c r="X15" s="3">
        <f t="shared" si="2"/>
        <v>-70104.289999999994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--1495.15</f>
        <v>1495.15</v>
      </c>
      <c r="I16" s="3"/>
      <c r="J16" s="20"/>
      <c r="K16" s="3"/>
      <c r="L16" s="3">
        <f t="shared" si="0"/>
        <v>-1495.15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--48395.32</f>
        <v>48395.32</v>
      </c>
      <c r="U16" s="3"/>
      <c r="V16" s="20"/>
      <c r="W16" s="3"/>
      <c r="X16" s="3">
        <f t="shared" si="2"/>
        <v>-48395.32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--490.12</f>
        <v>490.12</v>
      </c>
      <c r="I17" s="3"/>
      <c r="J17" s="20"/>
      <c r="K17" s="3"/>
      <c r="L17" s="3">
        <f t="shared" si="0"/>
        <v>-490.12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--4700.71</f>
        <v>4700.71</v>
      </c>
      <c r="U17" s="3"/>
      <c r="V17" s="20"/>
      <c r="W17" s="3"/>
      <c r="X17" s="3">
        <f t="shared" si="2"/>
        <v>-4700.71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--187399.42</f>
        <v>187399.42</v>
      </c>
      <c r="I19" s="3"/>
      <c r="J19" s="20"/>
      <c r="K19" s="3"/>
      <c r="L19" s="3">
        <f t="shared" si="0"/>
        <v>-187399.42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--1100580.15</f>
        <v>1100580.1499999999</v>
      </c>
      <c r="U19" s="3"/>
      <c r="V19" s="20"/>
      <c r="W19" s="3"/>
      <c r="X19" s="3">
        <f t="shared" si="2"/>
        <v>-1100580.1499999999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--190934.06</f>
        <v>190934.06</v>
      </c>
      <c r="I20" s="3"/>
      <c r="J20" s="20"/>
      <c r="K20" s="3"/>
      <c r="L20" s="3">
        <f t="shared" si="0"/>
        <v>-190934.06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--538470.87</f>
        <v>538470.87</v>
      </c>
      <c r="U20" s="3"/>
      <c r="V20" s="20"/>
      <c r="W20" s="3"/>
      <c r="X20" s="3">
        <f t="shared" si="2"/>
        <v>-538470.87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--7002.2</f>
        <v>7002.2</v>
      </c>
      <c r="I21" s="3"/>
      <c r="J21" s="20"/>
      <c r="K21" s="3"/>
      <c r="L21" s="3">
        <f t="shared" si="0"/>
        <v>-7002.2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--90580.88</f>
        <v>90580.88</v>
      </c>
      <c r="U21" s="3"/>
      <c r="V21" s="20"/>
      <c r="W21" s="3"/>
      <c r="X21" s="3">
        <f t="shared" si="2"/>
        <v>-90580.88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--7208.82</f>
        <v>7208.82</v>
      </c>
      <c r="I22" s="3"/>
      <c r="J22" s="20"/>
      <c r="K22" s="3"/>
      <c r="L22" s="3">
        <f t="shared" si="0"/>
        <v>-7208.82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--144015.52</f>
        <v>144015.51999999999</v>
      </c>
      <c r="U22" s="3"/>
      <c r="V22" s="20"/>
      <c r="W22" s="3"/>
      <c r="X22" s="3">
        <f t="shared" si="2"/>
        <v>-144015.51999999999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--5024.1</f>
        <v>5024.1000000000004</v>
      </c>
      <c r="I23" s="3"/>
      <c r="J23" s="20"/>
      <c r="K23" s="3"/>
      <c r="L23" s="3">
        <f t="shared" si="0"/>
        <v>-5024.1000000000004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--41116.33</f>
        <v>41116.33</v>
      </c>
      <c r="U23" s="3"/>
      <c r="V23" s="20"/>
      <c r="W23" s="3"/>
      <c r="X23" s="3">
        <f t="shared" si="2"/>
        <v>-41116.33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--26335.59</f>
        <v>26335.59</v>
      </c>
      <c r="I24" s="3"/>
      <c r="J24" s="20"/>
      <c r="K24" s="3"/>
      <c r="L24" s="3">
        <f t="shared" si="0"/>
        <v>-26335.59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--233577.93</f>
        <v>233577.93</v>
      </c>
      <c r="U24" s="3"/>
      <c r="V24" s="20"/>
      <c r="W24" s="3"/>
      <c r="X24" s="3">
        <f t="shared" si="2"/>
        <v>-233577.93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","4081"," - ","TAXABLE SALES-ELECTRONICS")</f>
        <v xml:space="preserve">          4081 - TAXABLE SALES-ELECTRONICS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--71.95</f>
        <v>71.95</v>
      </c>
      <c r="U25" s="3"/>
      <c r="V25" s="20"/>
      <c r="W25" s="3"/>
      <c r="X25" s="3">
        <f t="shared" si="2"/>
        <v>-71.95</v>
      </c>
      <c r="Y25" s="3"/>
      <c r="Z25" s="20">
        <f t="shared" si="3"/>
        <v>-1</v>
      </c>
    </row>
    <row r="26" spans="1:26" s="69" customFormat="1" ht="15" hidden="1" customHeight="1" outlineLevel="1" x14ac:dyDescent="0.25">
      <c r="A26" s="42"/>
      <c r="B26" s="12" t="str">
        <f>CONCATENATE("          ","4083"," - ","TAXABLE SALES-COMPUTER EQUIPME")</f>
        <v xml:space="preserve">          4083 - TAXABLE SALES-COMPUTER EQUIPME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--9.99</f>
        <v>9.99</v>
      </c>
      <c r="U26" s="3"/>
      <c r="V26" s="20"/>
      <c r="W26" s="3"/>
      <c r="X26" s="3">
        <f t="shared" si="2"/>
        <v>-9.99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","4100"," - ","NON-TAXABLE SALES")</f>
        <v xml:space="preserve">          4100 - NON-TAXABLE SALES</v>
      </c>
      <c r="C27" s="12"/>
      <c r="D27" s="3">
        <f>--60093.82</f>
        <v>60093.82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60093.82</v>
      </c>
      <c r="M27" s="3"/>
      <c r="N27" s="20">
        <f t="shared" si="1"/>
        <v>0</v>
      </c>
      <c r="O27" s="12"/>
      <c r="P27" s="3">
        <f>--639143.23</f>
        <v>639143.23</v>
      </c>
      <c r="Q27" s="3"/>
      <c r="R27" s="20"/>
      <c r="S27" s="3"/>
      <c r="T27" s="3">
        <f>0</f>
        <v>0</v>
      </c>
      <c r="U27" s="3"/>
      <c r="V27" s="20"/>
      <c r="W27" s="3"/>
      <c r="X27" s="3">
        <f t="shared" si="2"/>
        <v>639143.23</v>
      </c>
      <c r="Y27" s="3"/>
      <c r="Z27" s="20">
        <f t="shared" si="3"/>
        <v>0</v>
      </c>
    </row>
    <row r="28" spans="1:26" s="69" customFormat="1" ht="15" hidden="1" customHeight="1" outlineLevel="1" x14ac:dyDescent="0.25">
      <c r="A28" s="42"/>
      <c r="B28" s="12" t="str">
        <f>CONCATENATE("          ","4126"," - ","NON-TAXABLE SALES-WRITING INST")</f>
        <v xml:space="preserve">          4126 - NON-TAXABLE SALES-WRITING INST</v>
      </c>
      <c r="C28" s="12"/>
      <c r="D28" s="3">
        <f>0</f>
        <v>0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0</v>
      </c>
      <c r="M28" s="3"/>
      <c r="N28" s="20">
        <f t="shared" si="1"/>
        <v>0</v>
      </c>
      <c r="O28" s="12"/>
      <c r="P28" s="3">
        <f>0</f>
        <v>0</v>
      </c>
      <c r="Q28" s="3"/>
      <c r="R28" s="20"/>
      <c r="S28" s="3"/>
      <c r="T28" s="3">
        <f>--52.68</f>
        <v>52.68</v>
      </c>
      <c r="U28" s="3"/>
      <c r="V28" s="20"/>
      <c r="W28" s="3"/>
      <c r="X28" s="3">
        <f t="shared" si="2"/>
        <v>-52.68</v>
      </c>
      <c r="Y28" s="3"/>
      <c r="Z28" s="20">
        <f t="shared" si="3"/>
        <v>-1</v>
      </c>
    </row>
    <row r="29" spans="1:26" s="69" customFormat="1" ht="15" hidden="1" customHeight="1" outlineLevel="1" x14ac:dyDescent="0.25">
      <c r="A29" s="42"/>
      <c r="B29" s="12" t="str">
        <f>CONCATENATE("          ","4127"," - ","NON-TAXABLE SALES-SCHOOL SUPPL")</f>
        <v xml:space="preserve">          4127 - NON-TAXABLE SALES-SCHOOL SUPPL</v>
      </c>
      <c r="C29" s="12"/>
      <c r="D29" s="3">
        <f>0</f>
        <v>0</v>
      </c>
      <c r="E29" s="3"/>
      <c r="F29" s="20"/>
      <c r="G29" s="3"/>
      <c r="H29" s="3">
        <f>--548.05</f>
        <v>548.04999999999995</v>
      </c>
      <c r="I29" s="3"/>
      <c r="J29" s="20"/>
      <c r="K29" s="3"/>
      <c r="L29" s="3">
        <f t="shared" si="0"/>
        <v>-548.04999999999995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--7648.73</f>
        <v>7648.73</v>
      </c>
      <c r="U29" s="3"/>
      <c r="V29" s="20"/>
      <c r="W29" s="3"/>
      <c r="X29" s="3">
        <f t="shared" si="2"/>
        <v>-7648.73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","4128"," - ","NON-TAXABLE SALES-ART/TECH")</f>
        <v xml:space="preserve">          4128 - NON-TAXABLE SALES-ART/TECH</v>
      </c>
      <c r="C30" s="12"/>
      <c r="D30" s="3">
        <f>0</f>
        <v>0</v>
      </c>
      <c r="E30" s="3"/>
      <c r="F30" s="20"/>
      <c r="G30" s="3"/>
      <c r="H30" s="3">
        <f>--45.96</f>
        <v>45.96</v>
      </c>
      <c r="I30" s="3"/>
      <c r="J30" s="20"/>
      <c r="K30" s="3"/>
      <c r="L30" s="3">
        <f t="shared" si="0"/>
        <v>-45.96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--115.91</f>
        <v>115.91</v>
      </c>
      <c r="U30" s="3"/>
      <c r="V30" s="20"/>
      <c r="W30" s="3"/>
      <c r="X30" s="3">
        <f t="shared" si="2"/>
        <v>-115.91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","4131"," - ","NON-TAXABLE SALES-FOOD")</f>
        <v xml:space="preserve">          4131 - NON-TAXABLE SALES-FOOD</v>
      </c>
      <c r="C31" s="12"/>
      <c r="D31" s="3">
        <f>0</f>
        <v>0</v>
      </c>
      <c r="E31" s="3"/>
      <c r="F31" s="20"/>
      <c r="G31" s="3"/>
      <c r="H31" s="3">
        <f>--775.78</f>
        <v>775.78</v>
      </c>
      <c r="I31" s="3"/>
      <c r="J31" s="20"/>
      <c r="K31" s="3"/>
      <c r="L31" s="3">
        <f t="shared" si="0"/>
        <v>-775.78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--12156.14</f>
        <v>12156.14</v>
      </c>
      <c r="U31" s="3"/>
      <c r="V31" s="20"/>
      <c r="W31" s="3"/>
      <c r="X31" s="3">
        <f t="shared" si="2"/>
        <v>-12156.14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","4132"," - ","NON-TAXABLE SALES-JUICE")</f>
        <v xml:space="preserve">          4132 - NON-TAXABLE SALES-JUICE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--22.49</f>
        <v>22.49</v>
      </c>
      <c r="U32" s="3"/>
      <c r="V32" s="20"/>
      <c r="W32" s="3"/>
      <c r="X32" s="3">
        <f t="shared" si="2"/>
        <v>-22.49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","4133"," - ","NON-TAXABLE SALES-CANDY")</f>
        <v xml:space="preserve">          4133 - NON-TAXABLE SALES-CANDY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--80.71</f>
        <v>80.709999999999994</v>
      </c>
      <c r="U33" s="3"/>
      <c r="V33" s="20"/>
      <c r="W33" s="3"/>
      <c r="X33" s="3">
        <f t="shared" si="2"/>
        <v>-80.709999999999994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","4134"," - ","NON-TAXABLE SALES-SODA")</f>
        <v xml:space="preserve">          4134 - NON-TAXABLE SALES-SODA</v>
      </c>
      <c r="C34" s="12"/>
      <c r="D34" s="3">
        <f>0</f>
        <v>0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0</v>
      </c>
      <c r="M34" s="3"/>
      <c r="N34" s="20">
        <f t="shared" si="1"/>
        <v>0</v>
      </c>
      <c r="O34" s="12"/>
      <c r="P34" s="3">
        <f>0</f>
        <v>0</v>
      </c>
      <c r="Q34" s="3"/>
      <c r="R34" s="20"/>
      <c r="S34" s="3"/>
      <c r="T34" s="3">
        <f>--45.53</f>
        <v>45.53</v>
      </c>
      <c r="U34" s="3"/>
      <c r="V34" s="20"/>
      <c r="W34" s="3"/>
      <c r="X34" s="3">
        <f t="shared" si="2"/>
        <v>-45.53</v>
      </c>
      <c r="Y34" s="3"/>
      <c r="Z34" s="20">
        <f t="shared" si="3"/>
        <v>-1</v>
      </c>
    </row>
    <row r="35" spans="1:26" s="69" customFormat="1" ht="15" hidden="1" customHeight="1" outlineLevel="1" x14ac:dyDescent="0.25">
      <c r="A35" s="42"/>
      <c r="B35" s="12" t="str">
        <f>CONCATENATE("          ","4137"," - ","NON-TAXABLE SALES-WATER")</f>
        <v xml:space="preserve">          4137 - NON-TAXABLE SALES-WATER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--68.25</f>
        <v>68.25</v>
      </c>
      <c r="U35" s="3"/>
      <c r="V35" s="20"/>
      <c r="W35" s="3"/>
      <c r="X35" s="3">
        <f t="shared" si="2"/>
        <v>-68.25</v>
      </c>
      <c r="Y35" s="3"/>
      <c r="Z35" s="20">
        <f t="shared" si="3"/>
        <v>-1</v>
      </c>
    </row>
    <row r="36" spans="1:26" s="69" customFormat="1" ht="15" hidden="1" customHeight="1" outlineLevel="1" x14ac:dyDescent="0.25">
      <c r="A36" s="42"/>
      <c r="B36" s="12" t="str">
        <f>CONCATENATE("          ","4140"," - ","NON-TAXABLE SALES-LOGO CLOTHIN")</f>
        <v xml:space="preserve">          4140 - NON-TAXABLE SALES-LOGO CLOTHIN</v>
      </c>
      <c r="C36" s="12"/>
      <c r="D36" s="3">
        <f>0</f>
        <v>0</v>
      </c>
      <c r="E36" s="3"/>
      <c r="F36" s="20"/>
      <c r="G36" s="3"/>
      <c r="H36" s="3">
        <f>--16733.37</f>
        <v>16733.37</v>
      </c>
      <c r="I36" s="3"/>
      <c r="J36" s="20"/>
      <c r="K36" s="3"/>
      <c r="L36" s="3">
        <f t="shared" si="0"/>
        <v>-16733.37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--171525.76</f>
        <v>171525.76000000001</v>
      </c>
      <c r="U36" s="3"/>
      <c r="V36" s="20"/>
      <c r="W36" s="3"/>
      <c r="X36" s="3">
        <f t="shared" si="2"/>
        <v>-171525.76000000001</v>
      </c>
      <c r="Y36" s="3"/>
      <c r="Z36" s="20">
        <f t="shared" si="3"/>
        <v>-1</v>
      </c>
    </row>
    <row r="37" spans="1:26" s="69" customFormat="1" ht="15" hidden="1" customHeight="1" outlineLevel="1" x14ac:dyDescent="0.25">
      <c r="A37" s="42"/>
      <c r="B37" s="12" t="str">
        <f>CONCATENATE("          ","4141"," - ","NON-TAXABLE SALES-LOGO GIFTS")</f>
        <v xml:space="preserve">          4141 - NON-TAXABLE SALES-LOGO GIFTS</v>
      </c>
      <c r="C37" s="12"/>
      <c r="D37" s="3">
        <f>0</f>
        <v>0</v>
      </c>
      <c r="E37" s="3"/>
      <c r="F37" s="20"/>
      <c r="G37" s="3"/>
      <c r="H37" s="3">
        <f>--1882.42</f>
        <v>1882.42</v>
      </c>
      <c r="I37" s="3"/>
      <c r="J37" s="20"/>
      <c r="K37" s="3"/>
      <c r="L37" s="3">
        <f t="shared" si="0"/>
        <v>-1882.42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--37399.99</f>
        <v>37399.99</v>
      </c>
      <c r="U37" s="3"/>
      <c r="V37" s="20"/>
      <c r="W37" s="3"/>
      <c r="X37" s="3">
        <f t="shared" si="2"/>
        <v>-37399.99</v>
      </c>
      <c r="Y37" s="3"/>
      <c r="Z37" s="20">
        <f t="shared" si="3"/>
        <v>-1</v>
      </c>
    </row>
    <row r="38" spans="1:26" s="69" customFormat="1" ht="15" hidden="1" customHeight="1" outlineLevel="1" x14ac:dyDescent="0.25">
      <c r="A38" s="42"/>
      <c r="B38" s="12" t="str">
        <f>CONCATENATE("          ","4142"," - ","NON-TAXABLE SALES-EVERYDAY GIF")</f>
        <v xml:space="preserve">          4142 - NON-TAXABLE SALES-EVERYDAY GIF</v>
      </c>
      <c r="C38" s="12"/>
      <c r="D38" s="3">
        <f>0</f>
        <v>0</v>
      </c>
      <c r="E38" s="3"/>
      <c r="F38" s="20"/>
      <c r="G38" s="3"/>
      <c r="H38" s="3">
        <f>--11.96</f>
        <v>11.96</v>
      </c>
      <c r="I38" s="3"/>
      <c r="J38" s="20"/>
      <c r="K38" s="3"/>
      <c r="L38" s="3">
        <f t="shared" si="0"/>
        <v>-11.96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--1467.37</f>
        <v>1467.37</v>
      </c>
      <c r="U38" s="3"/>
      <c r="V38" s="20"/>
      <c r="W38" s="3"/>
      <c r="X38" s="3">
        <f t="shared" si="2"/>
        <v>-1467.37</v>
      </c>
      <c r="Y38" s="3"/>
      <c r="Z38" s="20">
        <f t="shared" si="3"/>
        <v>-1</v>
      </c>
    </row>
    <row r="39" spans="1:26" s="69" customFormat="1" ht="15" hidden="1" customHeight="1" outlineLevel="1" x14ac:dyDescent="0.25">
      <c r="A39" s="42"/>
      <c r="B39" s="12" t="str">
        <f>CONCATENATE("          ","4143"," - ","NON-TAXABLE SALES-CARDS")</f>
        <v xml:space="preserve">          4143 - NON-TAXABLE SALES-CARDS</v>
      </c>
      <c r="C39" s="12"/>
      <c r="D39" s="3">
        <f>0</f>
        <v>0</v>
      </c>
      <c r="E39" s="3"/>
      <c r="F39" s="20"/>
      <c r="G39" s="3"/>
      <c r="H39" s="3">
        <f>--120.71</f>
        <v>120.71</v>
      </c>
      <c r="I39" s="3"/>
      <c r="J39" s="20"/>
      <c r="K39" s="3"/>
      <c r="L39" s="3">
        <f t="shared" si="0"/>
        <v>-120.71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--2552.16</f>
        <v>2552.16</v>
      </c>
      <c r="U39" s="3"/>
      <c r="V39" s="20"/>
      <c r="W39" s="3"/>
      <c r="X39" s="3">
        <f t="shared" si="2"/>
        <v>-2552.16</v>
      </c>
      <c r="Y39" s="3"/>
      <c r="Z39" s="20">
        <f t="shared" si="3"/>
        <v>-1</v>
      </c>
    </row>
    <row r="40" spans="1:26" s="69" customFormat="1" ht="15" hidden="1" customHeight="1" outlineLevel="1" x14ac:dyDescent="0.25">
      <c r="A40" s="42"/>
      <c r="B40" s="12" t="str">
        <f>CONCATENATE("          ","4144"," - ","NON-TAXABLE SALES-ACCESSORIES")</f>
        <v xml:space="preserve">          4144 - NON-TAXABLE SALES-ACCESSORIES</v>
      </c>
      <c r="C40" s="12"/>
      <c r="D40" s="3">
        <f>0</f>
        <v>0</v>
      </c>
      <c r="E40" s="3"/>
      <c r="F40" s="20"/>
      <c r="G40" s="3"/>
      <c r="H40" s="3">
        <f>--164.7</f>
        <v>164.7</v>
      </c>
      <c r="I40" s="3"/>
      <c r="J40" s="20"/>
      <c r="K40" s="3"/>
      <c r="L40" s="3">
        <f t="shared" si="0"/>
        <v>-164.7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--873.8</f>
        <v>873.8</v>
      </c>
      <c r="U40" s="3"/>
      <c r="V40" s="20"/>
      <c r="W40" s="3"/>
      <c r="X40" s="3">
        <f t="shared" si="2"/>
        <v>-873.8</v>
      </c>
      <c r="Y40" s="3"/>
      <c r="Z40" s="20">
        <f t="shared" si="3"/>
        <v>-1</v>
      </c>
    </row>
    <row r="41" spans="1:26" s="69" customFormat="1" ht="15" hidden="1" customHeight="1" outlineLevel="1" x14ac:dyDescent="0.25">
      <c r="A41" s="42"/>
      <c r="B41" s="12" t="str">
        <f>CONCATENATE("          ","4145"," - ","NON-TAXABLE SALES-SPECIAL ORDE")</f>
        <v xml:space="preserve">          4145 - NON-TAXABLE SALES-SPECIAL ORDE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--74066.89</f>
        <v>74066.89</v>
      </c>
      <c r="U41" s="3"/>
      <c r="V41" s="20"/>
      <c r="W41" s="3"/>
      <c r="X41" s="3">
        <f t="shared" si="2"/>
        <v>-74066.89</v>
      </c>
      <c r="Y41" s="3"/>
      <c r="Z41" s="20">
        <f t="shared" si="3"/>
        <v>-1</v>
      </c>
    </row>
    <row r="42" spans="1:26" s="69" customFormat="1" ht="15" hidden="1" customHeight="1" outlineLevel="1" x14ac:dyDescent="0.25">
      <c r="A42" s="42"/>
      <c r="B42" s="12" t="str">
        <f>CONCATENATE("          ","4200"," - ","TAXABLE RETURNS")</f>
        <v xml:space="preserve">          4200 - TAXABLE RETURNS</v>
      </c>
      <c r="C42" s="12"/>
      <c r="D42" s="3">
        <f>-38449.1</f>
        <v>-38449.1</v>
      </c>
      <c r="E42" s="3"/>
      <c r="F42" s="20"/>
      <c r="G42" s="3"/>
      <c r="H42" s="3">
        <f>0</f>
        <v>0</v>
      </c>
      <c r="I42" s="3"/>
      <c r="J42" s="20"/>
      <c r="K42" s="3"/>
      <c r="L42" s="3">
        <f t="shared" si="0"/>
        <v>-38449.1</v>
      </c>
      <c r="M42" s="3"/>
      <c r="N42" s="20">
        <f t="shared" si="1"/>
        <v>0</v>
      </c>
      <c r="O42" s="12"/>
      <c r="P42" s="3">
        <f>-156176.87</f>
        <v>-156176.87</v>
      </c>
      <c r="Q42" s="3"/>
      <c r="R42" s="20"/>
      <c r="S42" s="3"/>
      <c r="T42" s="3">
        <f>0</f>
        <v>0</v>
      </c>
      <c r="U42" s="3"/>
      <c r="V42" s="20"/>
      <c r="W42" s="3"/>
      <c r="X42" s="3">
        <f t="shared" si="2"/>
        <v>-156176.87</v>
      </c>
      <c r="Y42" s="3"/>
      <c r="Z42" s="20">
        <f t="shared" si="3"/>
        <v>0</v>
      </c>
    </row>
    <row r="43" spans="1:26" s="69" customFormat="1" ht="15" hidden="1" customHeight="1" outlineLevel="1" x14ac:dyDescent="0.25">
      <c r="A43" s="42"/>
      <c r="B43" s="12" t="str">
        <f>CONCATENATE("          ","4226"," - ","SALES RETURN TAXABLE-WRITING I")</f>
        <v xml:space="preserve">          4226 - SALES RETURN TAXABLE-WRITING I</v>
      </c>
      <c r="C43" s="12"/>
      <c r="D43" s="3">
        <f>0</f>
        <v>0</v>
      </c>
      <c r="E43" s="3"/>
      <c r="F43" s="20"/>
      <c r="G43" s="3"/>
      <c r="H43" s="3">
        <f>-0.79</f>
        <v>-0.79</v>
      </c>
      <c r="I43" s="3"/>
      <c r="J43" s="20"/>
      <c r="K43" s="3"/>
      <c r="L43" s="3">
        <f t="shared" si="0"/>
        <v>0.79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-35.02</f>
        <v>-35.020000000000003</v>
      </c>
      <c r="U43" s="3"/>
      <c r="V43" s="20"/>
      <c r="W43" s="3"/>
      <c r="X43" s="3">
        <f t="shared" si="2"/>
        <v>35.020000000000003</v>
      </c>
      <c r="Y43" s="3"/>
      <c r="Z43" s="20">
        <f t="shared" si="3"/>
        <v>-1</v>
      </c>
    </row>
    <row r="44" spans="1:26" s="69" customFormat="1" ht="15" hidden="1" customHeight="1" outlineLevel="1" x14ac:dyDescent="0.25">
      <c r="A44" s="42"/>
      <c r="B44" s="12" t="str">
        <f>CONCATENATE("          ","4227"," - ","SALES RETURN TAXABLE-SCHOOL SU")</f>
        <v xml:space="preserve">          4227 - SALES RETURN TAXABLE-SCHOOL SU</v>
      </c>
      <c r="C44" s="12"/>
      <c r="D44" s="3">
        <f>0</f>
        <v>0</v>
      </c>
      <c r="E44" s="3"/>
      <c r="F44" s="20"/>
      <c r="G44" s="3"/>
      <c r="H44" s="3">
        <f>-137.82</f>
        <v>-137.82</v>
      </c>
      <c r="I44" s="3"/>
      <c r="J44" s="20"/>
      <c r="K44" s="3"/>
      <c r="L44" s="3">
        <f t="shared" si="0"/>
        <v>137.82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-1484.48</f>
        <v>-1484.48</v>
      </c>
      <c r="U44" s="3"/>
      <c r="V44" s="20"/>
      <c r="W44" s="3"/>
      <c r="X44" s="3">
        <f t="shared" si="2"/>
        <v>1484.48</v>
      </c>
      <c r="Y44" s="3"/>
      <c r="Z44" s="20">
        <f t="shared" si="3"/>
        <v>-1</v>
      </c>
    </row>
    <row r="45" spans="1:26" s="69" customFormat="1" ht="15" hidden="1" customHeight="1" outlineLevel="1" x14ac:dyDescent="0.25">
      <c r="A45" s="42"/>
      <c r="B45" s="12" t="str">
        <f>CONCATENATE("          ","4228"," - ","SALES RETURN TAXABLE-ART/TECH")</f>
        <v xml:space="preserve">          4228 - SALES RETURN TAXABLE-ART/TECH</v>
      </c>
      <c r="C45" s="12"/>
      <c r="D45" s="3">
        <f>0</f>
        <v>0</v>
      </c>
      <c r="E45" s="3"/>
      <c r="F45" s="20"/>
      <c r="G45" s="3"/>
      <c r="H45" s="3">
        <f>0</f>
        <v>0</v>
      </c>
      <c r="I45" s="3"/>
      <c r="J45" s="20"/>
      <c r="K45" s="3"/>
      <c r="L45" s="3">
        <f t="shared" si="0"/>
        <v>0</v>
      </c>
      <c r="M45" s="3"/>
      <c r="N45" s="20">
        <f t="shared" si="1"/>
        <v>0</v>
      </c>
      <c r="O45" s="12"/>
      <c r="P45" s="3">
        <f>0</f>
        <v>0</v>
      </c>
      <c r="Q45" s="3"/>
      <c r="R45" s="20"/>
      <c r="S45" s="3"/>
      <c r="T45" s="3">
        <f>-12973.73</f>
        <v>-12973.73</v>
      </c>
      <c r="U45" s="3"/>
      <c r="V45" s="20"/>
      <c r="W45" s="3"/>
      <c r="X45" s="3">
        <f t="shared" si="2"/>
        <v>12973.73</v>
      </c>
      <c r="Y45" s="3"/>
      <c r="Z45" s="20">
        <f t="shared" si="3"/>
        <v>-1</v>
      </c>
    </row>
    <row r="46" spans="1:26" s="69" customFormat="1" ht="15" hidden="1" customHeight="1" outlineLevel="1" x14ac:dyDescent="0.25">
      <c r="A46" s="42"/>
      <c r="B46" s="12" t="str">
        <f>CONCATENATE("          ","4240"," - ","SALES RETURN TAXABLE-LOGO CLOT")</f>
        <v xml:space="preserve">          4240 - SALES RETURN TAXABLE-LOGO CLOT</v>
      </c>
      <c r="C46" s="12"/>
      <c r="D46" s="3">
        <f>0</f>
        <v>0</v>
      </c>
      <c r="E46" s="3"/>
      <c r="F46" s="20"/>
      <c r="G46" s="3"/>
      <c r="H46" s="3">
        <f>-6427.17</f>
        <v>-6427.17</v>
      </c>
      <c r="I46" s="3"/>
      <c r="J46" s="20"/>
      <c r="K46" s="3"/>
      <c r="L46" s="3">
        <f t="shared" si="0"/>
        <v>6427.17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-47093.44</f>
        <v>-47093.440000000002</v>
      </c>
      <c r="U46" s="3"/>
      <c r="V46" s="20"/>
      <c r="W46" s="3"/>
      <c r="X46" s="3">
        <f t="shared" si="2"/>
        <v>47093.440000000002</v>
      </c>
      <c r="Y46" s="3"/>
      <c r="Z46" s="20">
        <f t="shared" si="3"/>
        <v>-1</v>
      </c>
    </row>
    <row r="47" spans="1:26" s="69" customFormat="1" ht="15" hidden="1" customHeight="1" outlineLevel="1" x14ac:dyDescent="0.25">
      <c r="A47" s="42"/>
      <c r="B47" s="12" t="str">
        <f>CONCATENATE("          ","4241"," - ","SALES RETURN TAXABLE-LOGO GIFT")</f>
        <v xml:space="preserve">          4241 - SALES RETURN TAXABLE-LOGO GIFT</v>
      </c>
      <c r="C47" s="12"/>
      <c r="D47" s="3">
        <f>0</f>
        <v>0</v>
      </c>
      <c r="E47" s="3"/>
      <c r="F47" s="20"/>
      <c r="G47" s="3"/>
      <c r="H47" s="3">
        <f>-4497.34</f>
        <v>-4497.34</v>
      </c>
      <c r="I47" s="3"/>
      <c r="J47" s="20"/>
      <c r="K47" s="3"/>
      <c r="L47" s="3">
        <f t="shared" si="0"/>
        <v>4497.34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-15387.54</f>
        <v>-15387.54</v>
      </c>
      <c r="U47" s="3"/>
      <c r="V47" s="20"/>
      <c r="W47" s="3"/>
      <c r="X47" s="3">
        <f t="shared" si="2"/>
        <v>15387.54</v>
      </c>
      <c r="Y47" s="3"/>
      <c r="Z47" s="20">
        <f t="shared" si="3"/>
        <v>-1</v>
      </c>
    </row>
    <row r="48" spans="1:26" s="69" customFormat="1" ht="15" hidden="1" customHeight="1" outlineLevel="1" x14ac:dyDescent="0.25">
      <c r="A48" s="42"/>
      <c r="B48" s="12" t="str">
        <f>CONCATENATE("          ","4242"," - ","SALES RETURN TAXABLE-EVERYDAY")</f>
        <v xml:space="preserve">          4242 - SALES RETURN TAXABLE-EVERYDAY</v>
      </c>
      <c r="C48" s="12"/>
      <c r="D48" s="3">
        <f>0</f>
        <v>0</v>
      </c>
      <c r="E48" s="3"/>
      <c r="F48" s="20"/>
      <c r="G48" s="3"/>
      <c r="H48" s="3">
        <f>-107</f>
        <v>-107</v>
      </c>
      <c r="I48" s="3"/>
      <c r="J48" s="20"/>
      <c r="K48" s="3"/>
      <c r="L48" s="3">
        <f t="shared" si="0"/>
        <v>107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-2743.09</f>
        <v>-2743.09</v>
      </c>
      <c r="U48" s="3"/>
      <c r="V48" s="20"/>
      <c r="W48" s="3"/>
      <c r="X48" s="3">
        <f t="shared" si="2"/>
        <v>2743.09</v>
      </c>
      <c r="Y48" s="3"/>
      <c r="Z48" s="20">
        <f t="shared" si="3"/>
        <v>-1</v>
      </c>
    </row>
    <row r="49" spans="1:26" s="69" customFormat="1" ht="15" hidden="1" customHeight="1" outlineLevel="1" x14ac:dyDescent="0.25">
      <c r="A49" s="42"/>
      <c r="B49" s="12" t="str">
        <f>CONCATENATE("          ","4243"," - ","SALES RETURN TAXABLE-CARDS")</f>
        <v xml:space="preserve">          4243 - SALES RETURN TAXABLE-CARDS</v>
      </c>
      <c r="C49" s="12"/>
      <c r="D49" s="3">
        <f>0</f>
        <v>0</v>
      </c>
      <c r="E49" s="3"/>
      <c r="F49" s="20"/>
      <c r="G49" s="3"/>
      <c r="H49" s="3">
        <f>-76.9</f>
        <v>-76.900000000000006</v>
      </c>
      <c r="I49" s="3"/>
      <c r="J49" s="20"/>
      <c r="K49" s="3"/>
      <c r="L49" s="3">
        <f t="shared" si="0"/>
        <v>76.900000000000006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-6218.99</f>
        <v>-6218.99</v>
      </c>
      <c r="U49" s="3"/>
      <c r="V49" s="20"/>
      <c r="W49" s="3"/>
      <c r="X49" s="3">
        <f t="shared" si="2"/>
        <v>6218.99</v>
      </c>
      <c r="Y49" s="3"/>
      <c r="Z49" s="20">
        <f t="shared" si="3"/>
        <v>-1</v>
      </c>
    </row>
    <row r="50" spans="1:26" s="69" customFormat="1" ht="15" hidden="1" customHeight="1" outlineLevel="1" x14ac:dyDescent="0.25">
      <c r="A50" s="42"/>
      <c r="B50" s="12" t="str">
        <f>CONCATENATE("          ","4244"," - ","SALES RETURN TAXABLE-ACCESSORI")</f>
        <v xml:space="preserve">          4244 - SALES RETURN TAXABLE-ACCESSORI</v>
      </c>
      <c r="C50" s="12"/>
      <c r="D50" s="3">
        <f>0</f>
        <v>0</v>
      </c>
      <c r="E50" s="3"/>
      <c r="F50" s="20"/>
      <c r="G50" s="3"/>
      <c r="H50" s="3">
        <f>-24.41</f>
        <v>-24.41</v>
      </c>
      <c r="I50" s="3"/>
      <c r="J50" s="20"/>
      <c r="K50" s="3"/>
      <c r="L50" s="3">
        <f t="shared" si="0"/>
        <v>24.41</v>
      </c>
      <c r="M50" s="3"/>
      <c r="N50" s="20">
        <f t="shared" si="1"/>
        <v>-1</v>
      </c>
      <c r="O50" s="12"/>
      <c r="P50" s="3">
        <f>0</f>
        <v>0</v>
      </c>
      <c r="Q50" s="3"/>
      <c r="R50" s="20"/>
      <c r="S50" s="3"/>
      <c r="T50" s="3">
        <f>-1267.91</f>
        <v>-1267.9100000000001</v>
      </c>
      <c r="U50" s="3"/>
      <c r="V50" s="20"/>
      <c r="W50" s="3"/>
      <c r="X50" s="3">
        <f t="shared" si="2"/>
        <v>1267.9100000000001</v>
      </c>
      <c r="Y50" s="3"/>
      <c r="Z50" s="20">
        <f t="shared" si="3"/>
        <v>-1</v>
      </c>
    </row>
    <row r="51" spans="1:26" s="69" customFormat="1" ht="15" hidden="1" customHeight="1" outlineLevel="1" x14ac:dyDescent="0.25">
      <c r="A51" s="42"/>
      <c r="B51" s="12" t="str">
        <f>CONCATENATE("          ","4245"," - ","SALES RETURN TAXABLE-SPECIAL O")</f>
        <v xml:space="preserve">          4245 - SALES RETURN TAXABLE-SPECIAL O</v>
      </c>
      <c r="C51" s="12"/>
      <c r="D51" s="3">
        <f>0</f>
        <v>0</v>
      </c>
      <c r="E51" s="3"/>
      <c r="F51" s="20"/>
      <c r="G51" s="3"/>
      <c r="H51" s="3">
        <f>-36</f>
        <v>-36</v>
      </c>
      <c r="I51" s="3"/>
      <c r="J51" s="20"/>
      <c r="K51" s="3"/>
      <c r="L51" s="3">
        <f t="shared" si="0"/>
        <v>36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-15460.73</f>
        <v>-15460.73</v>
      </c>
      <c r="U51" s="3"/>
      <c r="V51" s="20"/>
      <c r="W51" s="3"/>
      <c r="X51" s="3">
        <f t="shared" si="2"/>
        <v>15460.73</v>
      </c>
      <c r="Y51" s="3"/>
      <c r="Z51" s="20">
        <f t="shared" si="3"/>
        <v>-1</v>
      </c>
    </row>
    <row r="52" spans="1:26" s="69" customFormat="1" ht="15" hidden="1" customHeight="1" outlineLevel="1" x14ac:dyDescent="0.25">
      <c r="A52" s="42"/>
      <c r="B52" s="12" t="str">
        <f>CONCATENATE("          ","4300"," - ","NON-TAX RETURNS")</f>
        <v xml:space="preserve">          4300 - NON-TAX RETURNS</v>
      </c>
      <c r="C52" s="12"/>
      <c r="D52" s="3">
        <f>-346.55</f>
        <v>-346.55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0"/>
        <v>-346.55</v>
      </c>
      <c r="M52" s="3"/>
      <c r="N52" s="20">
        <f t="shared" si="1"/>
        <v>0</v>
      </c>
      <c r="O52" s="12"/>
      <c r="P52" s="3">
        <f>-3496.69</f>
        <v>-3496.69</v>
      </c>
      <c r="Q52" s="3"/>
      <c r="R52" s="20"/>
      <c r="S52" s="3"/>
      <c r="T52" s="3">
        <f>0</f>
        <v>0</v>
      </c>
      <c r="U52" s="3"/>
      <c r="V52" s="20"/>
      <c r="W52" s="3"/>
      <c r="X52" s="3">
        <f t="shared" si="2"/>
        <v>-3496.69</v>
      </c>
      <c r="Y52" s="3"/>
      <c r="Z52" s="20">
        <f t="shared" si="3"/>
        <v>0</v>
      </c>
    </row>
    <row r="53" spans="1:26" s="69" customFormat="1" ht="15" hidden="1" customHeight="1" outlineLevel="1" x14ac:dyDescent="0.25">
      <c r="A53" s="42"/>
      <c r="B53" s="12" t="str">
        <f>CONCATENATE("          ","4327"," - ","SALES RETURN NON TAXABLE-SCHOO")</f>
        <v xml:space="preserve">          4327 - SALES RETURN NON TAXABLE-SCHOO</v>
      </c>
      <c r="C53" s="12"/>
      <c r="D53" s="3">
        <f>0</f>
        <v>0</v>
      </c>
      <c r="E53" s="3"/>
      <c r="F53" s="20"/>
      <c r="G53" s="3"/>
      <c r="H53" s="3">
        <f>-17.41</f>
        <v>-17.41</v>
      </c>
      <c r="I53" s="3"/>
      <c r="J53" s="20"/>
      <c r="K53" s="3"/>
      <c r="L53" s="3">
        <f t="shared" si="0"/>
        <v>17.41</v>
      </c>
      <c r="M53" s="3"/>
      <c r="N53" s="20">
        <f t="shared" si="1"/>
        <v>-1</v>
      </c>
      <c r="O53" s="12"/>
      <c r="P53" s="3">
        <f>0</f>
        <v>0</v>
      </c>
      <c r="Q53" s="3"/>
      <c r="R53" s="20"/>
      <c r="S53" s="3"/>
      <c r="T53" s="3">
        <f>-17.41</f>
        <v>-17.41</v>
      </c>
      <c r="U53" s="3"/>
      <c r="V53" s="20"/>
      <c r="W53" s="3"/>
      <c r="X53" s="3">
        <f t="shared" si="2"/>
        <v>17.41</v>
      </c>
      <c r="Y53" s="3"/>
      <c r="Z53" s="20">
        <f t="shared" si="3"/>
        <v>-1</v>
      </c>
    </row>
    <row r="54" spans="1:26" s="69" customFormat="1" ht="15" hidden="1" customHeight="1" outlineLevel="1" x14ac:dyDescent="0.25">
      <c r="A54" s="42"/>
      <c r="B54" s="12" t="str">
        <f>CONCATENATE("          ","4340"," - ","SALES RETURN NON TAXABLE-LOGO")</f>
        <v xml:space="preserve">          4340 - SALES RETURN NON TAXABLE-LOGO</v>
      </c>
      <c r="C54" s="12"/>
      <c r="D54" s="3">
        <f>0</f>
        <v>0</v>
      </c>
      <c r="E54" s="3"/>
      <c r="F54" s="20"/>
      <c r="G54" s="3"/>
      <c r="H54" s="3">
        <f>-143.74</f>
        <v>-143.74</v>
      </c>
      <c r="I54" s="3"/>
      <c r="J54" s="20"/>
      <c r="K54" s="3"/>
      <c r="L54" s="3">
        <f t="shared" si="0"/>
        <v>143.74</v>
      </c>
      <c r="M54" s="3"/>
      <c r="N54" s="20">
        <f t="shared" si="1"/>
        <v>-1</v>
      </c>
      <c r="O54" s="12"/>
      <c r="P54" s="3">
        <f>0</f>
        <v>0</v>
      </c>
      <c r="Q54" s="3"/>
      <c r="R54" s="20"/>
      <c r="S54" s="3"/>
      <c r="T54" s="3">
        <f>-3451.26</f>
        <v>-3451.26</v>
      </c>
      <c r="U54" s="3"/>
      <c r="V54" s="20"/>
      <c r="W54" s="3"/>
      <c r="X54" s="3">
        <f t="shared" si="2"/>
        <v>3451.26</v>
      </c>
      <c r="Y54" s="3"/>
      <c r="Z54" s="20">
        <f t="shared" si="3"/>
        <v>-1</v>
      </c>
    </row>
    <row r="55" spans="1:26" s="69" customFormat="1" ht="15" hidden="1" customHeight="1" outlineLevel="1" x14ac:dyDescent="0.25">
      <c r="A55" s="42"/>
      <c r="B55" s="12" t="str">
        <f>CONCATENATE("          ","4341"," - ","SALES RETURN NON TAXABLE-LOGO")</f>
        <v xml:space="preserve">          4341 - SALES RETURN NON TAXABLE-LOGO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0"/>
        <v>0</v>
      </c>
      <c r="M55" s="3"/>
      <c r="N55" s="20">
        <f t="shared" si="1"/>
        <v>0</v>
      </c>
      <c r="O55" s="12"/>
      <c r="P55" s="3">
        <f>0</f>
        <v>0</v>
      </c>
      <c r="Q55" s="3"/>
      <c r="R55" s="20"/>
      <c r="S55" s="3"/>
      <c r="T55" s="3">
        <f>-391.24</f>
        <v>-391.24</v>
      </c>
      <c r="U55" s="3"/>
      <c r="V55" s="20"/>
      <c r="W55" s="3"/>
      <c r="X55" s="3">
        <f t="shared" si="2"/>
        <v>391.24</v>
      </c>
      <c r="Y55" s="3"/>
      <c r="Z55" s="20">
        <f t="shared" si="3"/>
        <v>-1</v>
      </c>
    </row>
    <row r="56" spans="1:26" s="69" customFormat="1" ht="15" hidden="1" customHeight="1" outlineLevel="1" x14ac:dyDescent="0.25">
      <c r="A56" s="42"/>
      <c r="B56" s="12" t="str">
        <f>CONCATENATE("          ","4342"," - ","SALES RETURN NON TAXABLE-EVERY")</f>
        <v xml:space="preserve">          4342 - SALES RETURN NON TAXABLE-EVERY</v>
      </c>
      <c r="C56" s="12"/>
      <c r="D56" s="3">
        <f>0</f>
        <v>0</v>
      </c>
      <c r="E56" s="3"/>
      <c r="F56" s="20"/>
      <c r="G56" s="3"/>
      <c r="H56" s="3">
        <f>0</f>
        <v>0</v>
      </c>
      <c r="I56" s="3"/>
      <c r="J56" s="20"/>
      <c r="K56" s="3"/>
      <c r="L56" s="3">
        <f t="shared" si="0"/>
        <v>0</v>
      </c>
      <c r="M56" s="3"/>
      <c r="N56" s="20">
        <f t="shared" si="1"/>
        <v>0</v>
      </c>
      <c r="O56" s="12"/>
      <c r="P56" s="3">
        <f>0</f>
        <v>0</v>
      </c>
      <c r="Q56" s="3"/>
      <c r="R56" s="20"/>
      <c r="S56" s="3"/>
      <c r="T56" s="3">
        <f>-118.7</f>
        <v>-118.7</v>
      </c>
      <c r="U56" s="3"/>
      <c r="V56" s="20"/>
      <c r="W56" s="3"/>
      <c r="X56" s="3">
        <f t="shared" si="2"/>
        <v>118.7</v>
      </c>
      <c r="Y56" s="3"/>
      <c r="Z56" s="20">
        <f t="shared" si="3"/>
        <v>-1</v>
      </c>
    </row>
    <row r="57" spans="1:26" s="69" customFormat="1" ht="15" hidden="1" customHeight="1" outlineLevel="1" x14ac:dyDescent="0.25">
      <c r="A57" s="42"/>
      <c r="B57" s="12" t="str">
        <f>CONCATENATE("          ","4500"," - ","SALES DISCOUNT")</f>
        <v xml:space="preserve">          4500 - SALES DISCOUNT</v>
      </c>
      <c r="C57" s="12"/>
      <c r="D57" s="3">
        <f>-21045.88</f>
        <v>-21045.88</v>
      </c>
      <c r="E57" s="3"/>
      <c r="F57" s="20"/>
      <c r="G57" s="3"/>
      <c r="H57" s="3">
        <f>0</f>
        <v>0</v>
      </c>
      <c r="I57" s="3"/>
      <c r="J57" s="20"/>
      <c r="K57" s="3"/>
      <c r="L57" s="3">
        <f t="shared" si="0"/>
        <v>-21045.88</v>
      </c>
      <c r="M57" s="3"/>
      <c r="N57" s="20">
        <f t="shared" si="1"/>
        <v>0</v>
      </c>
      <c r="O57" s="12"/>
      <c r="P57" s="3">
        <f>-120163.23</f>
        <v>-120163.23</v>
      </c>
      <c r="Q57" s="3"/>
      <c r="R57" s="20"/>
      <c r="S57" s="3"/>
      <c r="T57" s="3">
        <f>0</f>
        <v>0</v>
      </c>
      <c r="U57" s="3"/>
      <c r="V57" s="20"/>
      <c r="W57" s="3"/>
      <c r="X57" s="3">
        <f t="shared" si="2"/>
        <v>-120163.23</v>
      </c>
      <c r="Y57" s="3"/>
      <c r="Z57" s="20">
        <f t="shared" si="3"/>
        <v>0</v>
      </c>
    </row>
    <row r="58" spans="1:26" ht="15" customHeight="1" x14ac:dyDescent="0.25">
      <c r="A58" s="10"/>
      <c r="B58" s="11"/>
      <c r="C58" s="10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collapsed="1" x14ac:dyDescent="0.25">
      <c r="A59" s="11"/>
      <c r="B59" s="28" t="s">
        <v>287</v>
      </c>
      <c r="C59" s="11"/>
      <c r="D59" s="5">
        <f>SUM(OSRRefD16x_0)</f>
        <v>349809.96</v>
      </c>
      <c r="E59" s="5"/>
      <c r="F59" s="13">
        <f t="shared" ref="F59:F85" si="4">IF(D$12=0,0,D59/D$12)</f>
        <v>0.43943750636038792</v>
      </c>
      <c r="G59" s="5"/>
      <c r="H59" s="5">
        <f>SUM(OSRRefH16x_0)</f>
        <v>195678.53</v>
      </c>
      <c r="I59" s="5"/>
      <c r="J59" s="13">
        <f t="shared" ref="J59:J85" si="5">IF(H$12=0,0,H59/H$12)</f>
        <v>0.45493693514905237</v>
      </c>
      <c r="K59" s="5"/>
      <c r="L59" s="5">
        <f t="shared" ref="L59:L85" si="6">+D59-H59</f>
        <v>154131.43000000002</v>
      </c>
      <c r="M59" s="5"/>
      <c r="N59" s="13">
        <f t="shared" ref="N59:N85" si="7">IF(H59=0,0,L59/H59)</f>
        <v>0.78767675738365384</v>
      </c>
      <c r="O59" s="11"/>
      <c r="P59" s="5">
        <f>SUM(OSRRefP16x_0)</f>
        <v>2368338.34</v>
      </c>
      <c r="Q59" s="5"/>
      <c r="R59" s="13">
        <f t="shared" ref="R59:R85" si="8">IF(P$12=0,0,P59/P$12)</f>
        <v>0.46800654754333143</v>
      </c>
      <c r="S59" s="5"/>
      <c r="T59" s="5">
        <f>SUM(OSRRefT16x_0)</f>
        <v>1235317.0599999996</v>
      </c>
      <c r="U59" s="5"/>
      <c r="V59" s="13">
        <f t="shared" ref="V59:V85" si="9">IF(T$12=0,0,T59/T$12)</f>
        <v>0.5282682200819252</v>
      </c>
      <c r="W59" s="5"/>
      <c r="X59" s="5">
        <f t="shared" ref="X59:X85" si="10">+P59-T59</f>
        <v>1133021.2800000003</v>
      </c>
      <c r="Y59" s="5"/>
      <c r="Z59" s="13">
        <f t="shared" ref="Z59:Z85" si="11">IF(T59=0,0,X59/T59)</f>
        <v>0.91719066844264308</v>
      </c>
    </row>
    <row r="60" spans="1:26" s="69" customFormat="1" ht="15" hidden="1" customHeight="1" outlineLevel="1" x14ac:dyDescent="0.25">
      <c r="A60" s="42"/>
      <c r="B60" s="12" t="str">
        <f>CONCATENATE("          ","5000"," - ","PURCHASES @ COST")</f>
        <v xml:space="preserve">          5000 - PURCHASES @ COST</v>
      </c>
      <c r="C60" s="12"/>
      <c r="D60" s="3">
        <v>265515.25</v>
      </c>
      <c r="E60" s="3"/>
      <c r="F60" s="20">
        <f t="shared" si="4"/>
        <v>0.33354498928691162</v>
      </c>
      <c r="G60" s="3"/>
      <c r="H60" s="3"/>
      <c r="I60" s="3"/>
      <c r="J60" s="20">
        <f t="shared" si="5"/>
        <v>0</v>
      </c>
      <c r="K60" s="3"/>
      <c r="L60" s="3">
        <f t="shared" si="6"/>
        <v>265515.25</v>
      </c>
      <c r="M60" s="3"/>
      <c r="N60" s="20">
        <f t="shared" si="7"/>
        <v>0</v>
      </c>
      <c r="O60" s="12"/>
      <c r="P60" s="3">
        <v>2525249.77</v>
      </c>
      <c r="Q60" s="3"/>
      <c r="R60" s="20">
        <f t="shared" si="8"/>
        <v>0.49901376276427289</v>
      </c>
      <c r="S60" s="3"/>
      <c r="T60" s="3"/>
      <c r="U60" s="3"/>
      <c r="V60" s="20">
        <f t="shared" si="9"/>
        <v>0</v>
      </c>
      <c r="W60" s="3"/>
      <c r="X60" s="3">
        <f t="shared" si="10"/>
        <v>2525249.77</v>
      </c>
      <c r="Y60" s="3"/>
      <c r="Z60" s="20">
        <f t="shared" si="11"/>
        <v>0</v>
      </c>
    </row>
    <row r="61" spans="1:26" s="69" customFormat="1" ht="15" hidden="1" customHeight="1" outlineLevel="1" x14ac:dyDescent="0.25">
      <c r="A61" s="42"/>
      <c r="B61" s="12" t="str">
        <f>CONCATENATE("          ","5025"," - ","PURCHASES @ COST-TEST FORMS")</f>
        <v xml:space="preserve">          5025 - PURCHASES @ COST-TEST FORMS</v>
      </c>
      <c r="C61" s="12"/>
      <c r="D61" s="3"/>
      <c r="E61" s="3"/>
      <c r="F61" s="20">
        <f t="shared" si="4"/>
        <v>0</v>
      </c>
      <c r="G61" s="3"/>
      <c r="H61" s="3"/>
      <c r="I61" s="3"/>
      <c r="J61" s="20">
        <f t="shared" si="5"/>
        <v>0</v>
      </c>
      <c r="K61" s="3"/>
      <c r="L61" s="3">
        <f t="shared" si="6"/>
        <v>0</v>
      </c>
      <c r="M61" s="3"/>
      <c r="N61" s="20">
        <f t="shared" si="7"/>
        <v>0</v>
      </c>
      <c r="O61" s="12"/>
      <c r="P61" s="3"/>
      <c r="Q61" s="3"/>
      <c r="R61" s="20">
        <f t="shared" si="8"/>
        <v>0</v>
      </c>
      <c r="S61" s="3"/>
      <c r="T61" s="3">
        <v>599.29</v>
      </c>
      <c r="U61" s="3"/>
      <c r="V61" s="20">
        <f t="shared" si="9"/>
        <v>2.5627903302241861E-4</v>
      </c>
      <c r="W61" s="3"/>
      <c r="X61" s="3">
        <f t="shared" si="10"/>
        <v>-599.29</v>
      </c>
      <c r="Y61" s="3"/>
      <c r="Z61" s="20">
        <f t="shared" si="11"/>
        <v>-1</v>
      </c>
    </row>
    <row r="62" spans="1:26" s="69" customFormat="1" ht="15" hidden="1" customHeight="1" outlineLevel="1" x14ac:dyDescent="0.25">
      <c r="A62" s="42"/>
      <c r="B62" s="12" t="str">
        <f>CONCATENATE("          ","5026"," - ","PURCHASES @ COST-WRITING INSTR")</f>
        <v xml:space="preserve">          5026 - PURCHASES @ COST-WRITING INSTR</v>
      </c>
      <c r="C62" s="12"/>
      <c r="D62" s="3"/>
      <c r="E62" s="3"/>
      <c r="F62" s="20">
        <f t="shared" si="4"/>
        <v>0</v>
      </c>
      <c r="G62" s="3"/>
      <c r="H62" s="3">
        <v>-2.0499999999999998</v>
      </c>
      <c r="I62" s="3"/>
      <c r="J62" s="20">
        <f t="shared" si="5"/>
        <v>-4.7660860752355264E-6</v>
      </c>
      <c r="K62" s="3"/>
      <c r="L62" s="3">
        <f t="shared" si="6"/>
        <v>2.0499999999999998</v>
      </c>
      <c r="M62" s="3"/>
      <c r="N62" s="20">
        <f t="shared" si="7"/>
        <v>-1</v>
      </c>
      <c r="O62" s="12"/>
      <c r="P62" s="3">
        <v>0</v>
      </c>
      <c r="Q62" s="3"/>
      <c r="R62" s="20">
        <f t="shared" si="8"/>
        <v>0</v>
      </c>
      <c r="S62" s="3"/>
      <c r="T62" s="3">
        <v>582.5</v>
      </c>
      <c r="U62" s="3"/>
      <c r="V62" s="20">
        <f t="shared" si="9"/>
        <v>2.4909899503672484E-4</v>
      </c>
      <c r="W62" s="3"/>
      <c r="X62" s="3">
        <f t="shared" si="10"/>
        <v>-582.5</v>
      </c>
      <c r="Y62" s="3"/>
      <c r="Z62" s="20">
        <f t="shared" si="11"/>
        <v>-1</v>
      </c>
    </row>
    <row r="63" spans="1:26" s="69" customFormat="1" ht="15" hidden="1" customHeight="1" outlineLevel="1" x14ac:dyDescent="0.25">
      <c r="A63" s="42"/>
      <c r="B63" s="12" t="str">
        <f>CONCATENATE("          ","5027"," - ","PURCHASES @ COST-SCHOOL SUPPLI")</f>
        <v xml:space="preserve">          5027 - PURCHASES @ COST-SCHOOL SUPPLI</v>
      </c>
      <c r="C63" s="12"/>
      <c r="D63" s="3"/>
      <c r="E63" s="3"/>
      <c r="F63" s="20">
        <f t="shared" si="4"/>
        <v>0</v>
      </c>
      <c r="G63" s="3"/>
      <c r="H63" s="3">
        <v>0.39</v>
      </c>
      <c r="I63" s="3"/>
      <c r="J63" s="20">
        <f t="shared" si="5"/>
        <v>9.0671881431310032E-7</v>
      </c>
      <c r="K63" s="3"/>
      <c r="L63" s="3">
        <f t="shared" si="6"/>
        <v>-0.39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23734.99</v>
      </c>
      <c r="U63" s="3"/>
      <c r="V63" s="20">
        <f t="shared" si="9"/>
        <v>1.0149977950569466E-2</v>
      </c>
      <c r="W63" s="3"/>
      <c r="X63" s="3">
        <f t="shared" si="10"/>
        <v>-23734.99</v>
      </c>
      <c r="Y63" s="3"/>
      <c r="Z63" s="20">
        <f t="shared" si="11"/>
        <v>-1</v>
      </c>
    </row>
    <row r="64" spans="1:26" s="69" customFormat="1" ht="15" hidden="1" customHeight="1" outlineLevel="1" x14ac:dyDescent="0.25">
      <c r="A64" s="42"/>
      <c r="B64" s="12" t="str">
        <f>CONCATENATE("          ","5028"," - ","PURCHASES @ COST-ART/TECH")</f>
        <v xml:space="preserve">          5028 - PURCHASES @ COST-ART/TECH</v>
      </c>
      <c r="C64" s="12"/>
      <c r="D64" s="3"/>
      <c r="E64" s="3"/>
      <c r="F64" s="20">
        <f t="shared" si="4"/>
        <v>0</v>
      </c>
      <c r="G64" s="3"/>
      <c r="H64" s="3">
        <v>674.12</v>
      </c>
      <c r="I64" s="3"/>
      <c r="J64" s="20">
        <f t="shared" si="5"/>
        <v>1.5672750951403773E-3</v>
      </c>
      <c r="K64" s="3"/>
      <c r="L64" s="3">
        <f t="shared" si="6"/>
        <v>-674.12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47680.74</v>
      </c>
      <c r="U64" s="3"/>
      <c r="V64" s="20">
        <f t="shared" si="9"/>
        <v>2.0390084835377454E-2</v>
      </c>
      <c r="W64" s="3"/>
      <c r="X64" s="3">
        <f t="shared" si="10"/>
        <v>-47680.74</v>
      </c>
      <c r="Y64" s="3"/>
      <c r="Z64" s="20">
        <f t="shared" si="11"/>
        <v>-1</v>
      </c>
    </row>
    <row r="65" spans="1:26" s="69" customFormat="1" ht="15" hidden="1" customHeight="1" outlineLevel="1" x14ac:dyDescent="0.25">
      <c r="A65" s="42"/>
      <c r="B65" s="12" t="str">
        <f>CONCATENATE("          ","5031"," - ","PURCHASES @ COST-FOOD")</f>
        <v xml:space="preserve">          5031 - PURCHASES @ COST-FOOD</v>
      </c>
      <c r="C65" s="12"/>
      <c r="D65" s="3"/>
      <c r="E65" s="3"/>
      <c r="F65" s="20">
        <f t="shared" si="4"/>
        <v>0</v>
      </c>
      <c r="G65" s="3"/>
      <c r="H65" s="3">
        <v>280.37</v>
      </c>
      <c r="I65" s="3"/>
      <c r="J65" s="20">
        <f t="shared" si="5"/>
        <v>6.5183783068965113E-4</v>
      </c>
      <c r="K65" s="3"/>
      <c r="L65" s="3">
        <f t="shared" si="6"/>
        <v>-280.37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8066.09</v>
      </c>
      <c r="U65" s="3"/>
      <c r="V65" s="20">
        <f t="shared" si="9"/>
        <v>3.4493646572974694E-3</v>
      </c>
      <c r="W65" s="3"/>
      <c r="X65" s="3">
        <f t="shared" si="10"/>
        <v>-8066.09</v>
      </c>
      <c r="Y65" s="3"/>
      <c r="Z65" s="20">
        <f t="shared" si="11"/>
        <v>-1</v>
      </c>
    </row>
    <row r="66" spans="1:26" s="69" customFormat="1" ht="15" hidden="1" customHeight="1" outlineLevel="1" x14ac:dyDescent="0.25">
      <c r="A66" s="42"/>
      <c r="B66" s="12" t="str">
        <f>CONCATENATE("          ","5040"," - ","PURCHASES @ COST-LOGO CLOTHING")</f>
        <v xml:space="preserve">          5040 - PURCHASES @ COST-LOGO CLOTHING</v>
      </c>
      <c r="C66" s="12"/>
      <c r="D66" s="3"/>
      <c r="E66" s="3"/>
      <c r="F66" s="20">
        <f t="shared" si="4"/>
        <v>0</v>
      </c>
      <c r="G66" s="3"/>
      <c r="H66" s="3">
        <v>48288.73</v>
      </c>
      <c r="I66" s="3"/>
      <c r="J66" s="20">
        <f t="shared" si="5"/>
        <v>0.11226743592380881</v>
      </c>
      <c r="K66" s="3"/>
      <c r="L66" s="3">
        <f t="shared" si="6"/>
        <v>-48288.73</v>
      </c>
      <c r="M66" s="3"/>
      <c r="N66" s="20">
        <f t="shared" si="7"/>
        <v>-1</v>
      </c>
      <c r="O66" s="12"/>
      <c r="P66" s="3">
        <v>0</v>
      </c>
      <c r="Q66" s="3"/>
      <c r="R66" s="20">
        <f t="shared" si="8"/>
        <v>0</v>
      </c>
      <c r="S66" s="3"/>
      <c r="T66" s="3">
        <v>327378.98</v>
      </c>
      <c r="U66" s="3"/>
      <c r="V66" s="20">
        <f t="shared" si="9"/>
        <v>0.13999961358652024</v>
      </c>
      <c r="W66" s="3"/>
      <c r="X66" s="3">
        <f t="shared" si="10"/>
        <v>-327378.98</v>
      </c>
      <c r="Y66" s="3"/>
      <c r="Z66" s="20">
        <f t="shared" si="11"/>
        <v>-1</v>
      </c>
    </row>
    <row r="67" spans="1:26" s="69" customFormat="1" ht="15" hidden="1" customHeight="1" outlineLevel="1" x14ac:dyDescent="0.25">
      <c r="A67" s="42"/>
      <c r="B67" s="12" t="str">
        <f>CONCATENATE("          ","5041"," - ","PURCHASES @ COST-LOGO GIFTS")</f>
        <v xml:space="preserve">          5041 - PURCHASES @ COST-LOGO GIFTS</v>
      </c>
      <c r="C67" s="12"/>
      <c r="D67" s="3"/>
      <c r="E67" s="3"/>
      <c r="F67" s="20">
        <f t="shared" si="4"/>
        <v>0</v>
      </c>
      <c r="G67" s="3"/>
      <c r="H67" s="3">
        <v>22136.9</v>
      </c>
      <c r="I67" s="3"/>
      <c r="J67" s="20">
        <f t="shared" si="5"/>
        <v>5.1466522360429923E-2</v>
      </c>
      <c r="K67" s="3"/>
      <c r="L67" s="3">
        <f t="shared" si="6"/>
        <v>-22136.9</v>
      </c>
      <c r="M67" s="3"/>
      <c r="N67" s="20">
        <f t="shared" si="7"/>
        <v>-1</v>
      </c>
      <c r="O67" s="12"/>
      <c r="P67" s="3">
        <v>0</v>
      </c>
      <c r="Q67" s="3"/>
      <c r="R67" s="20">
        <f t="shared" si="8"/>
        <v>0</v>
      </c>
      <c r="S67" s="3"/>
      <c r="T67" s="3">
        <v>106398.85</v>
      </c>
      <c r="U67" s="3"/>
      <c r="V67" s="20">
        <f t="shared" si="9"/>
        <v>4.5500165850752332E-2</v>
      </c>
      <c r="W67" s="3"/>
      <c r="X67" s="3">
        <f t="shared" si="10"/>
        <v>-106398.85</v>
      </c>
      <c r="Y67" s="3"/>
      <c r="Z67" s="20">
        <f t="shared" si="11"/>
        <v>-1</v>
      </c>
    </row>
    <row r="68" spans="1:26" s="69" customFormat="1" ht="15" hidden="1" customHeight="1" outlineLevel="1" x14ac:dyDescent="0.25">
      <c r="A68" s="42"/>
      <c r="B68" s="12" t="str">
        <f>CONCATENATE("          ","5042"," - ","PURCHASES @ COST-EVERYDAY GIFT")</f>
        <v xml:space="preserve">          5042 - PURCHASES @ COST-EVERYDAY GIFT</v>
      </c>
      <c r="C68" s="12"/>
      <c r="D68" s="3"/>
      <c r="E68" s="3"/>
      <c r="F68" s="20">
        <f t="shared" si="4"/>
        <v>0</v>
      </c>
      <c r="G68" s="3"/>
      <c r="H68" s="3">
        <v>-0.11</v>
      </c>
      <c r="I68" s="3"/>
      <c r="J68" s="20">
        <f t="shared" si="5"/>
        <v>-2.5574120403702827E-7</v>
      </c>
      <c r="K68" s="3"/>
      <c r="L68" s="3">
        <f t="shared" si="6"/>
        <v>0.11</v>
      </c>
      <c r="M68" s="3"/>
      <c r="N68" s="20">
        <f t="shared" si="7"/>
        <v>-1</v>
      </c>
      <c r="O68" s="12"/>
      <c r="P68" s="3">
        <v>0</v>
      </c>
      <c r="Q68" s="3"/>
      <c r="R68" s="20">
        <f t="shared" si="8"/>
        <v>0</v>
      </c>
      <c r="S68" s="3"/>
      <c r="T68" s="3">
        <v>18748.07</v>
      </c>
      <c r="U68" s="3"/>
      <c r="V68" s="20">
        <f t="shared" si="9"/>
        <v>8.0173826538681037E-3</v>
      </c>
      <c r="W68" s="3"/>
      <c r="X68" s="3">
        <f t="shared" si="10"/>
        <v>-18748.07</v>
      </c>
      <c r="Y68" s="3"/>
      <c r="Z68" s="20">
        <f t="shared" si="11"/>
        <v>-1</v>
      </c>
    </row>
    <row r="69" spans="1:26" s="69" customFormat="1" ht="15" hidden="1" customHeight="1" outlineLevel="1" x14ac:dyDescent="0.25">
      <c r="A69" s="42"/>
      <c r="B69" s="12" t="str">
        <f>CONCATENATE("          ","5043"," - ","PURCHASES @ COST-CARDS")</f>
        <v xml:space="preserve">          5043 - PURCHASES @ COST-CARDS</v>
      </c>
      <c r="C69" s="12"/>
      <c r="D69" s="3"/>
      <c r="E69" s="3"/>
      <c r="F69" s="20">
        <f t="shared" si="4"/>
        <v>0</v>
      </c>
      <c r="G69" s="3"/>
      <c r="H69" s="3">
        <v>178</v>
      </c>
      <c r="I69" s="3"/>
      <c r="J69" s="20">
        <f t="shared" si="5"/>
        <v>4.1383576653264577E-4</v>
      </c>
      <c r="K69" s="3"/>
      <c r="L69" s="3">
        <f t="shared" si="6"/>
        <v>-178</v>
      </c>
      <c r="M69" s="3"/>
      <c r="N69" s="20">
        <f t="shared" si="7"/>
        <v>-1</v>
      </c>
      <c r="O69" s="12"/>
      <c r="P69" s="3">
        <v>0</v>
      </c>
      <c r="Q69" s="3"/>
      <c r="R69" s="20">
        <f t="shared" si="8"/>
        <v>0</v>
      </c>
      <c r="S69" s="3"/>
      <c r="T69" s="3">
        <v>55583.33</v>
      </c>
      <c r="U69" s="3"/>
      <c r="V69" s="20">
        <f t="shared" si="9"/>
        <v>2.3769530718960756E-2</v>
      </c>
      <c r="W69" s="3"/>
      <c r="X69" s="3">
        <f t="shared" si="10"/>
        <v>-55583.33</v>
      </c>
      <c r="Y69" s="3"/>
      <c r="Z69" s="20">
        <f t="shared" si="11"/>
        <v>-1</v>
      </c>
    </row>
    <row r="70" spans="1:26" s="69" customFormat="1" ht="15" hidden="1" customHeight="1" outlineLevel="1" x14ac:dyDescent="0.25">
      <c r="A70" s="42"/>
      <c r="B70" s="12" t="str">
        <f>CONCATENATE("          ","5044"," - ","PURCHASES @ COST-ACCESSORIES")</f>
        <v xml:space="preserve">          5044 - PURCHASES @ COST-ACCESSORIES</v>
      </c>
      <c r="C70" s="12"/>
      <c r="D70" s="3"/>
      <c r="E70" s="3"/>
      <c r="F70" s="20">
        <f t="shared" si="4"/>
        <v>0</v>
      </c>
      <c r="G70" s="3"/>
      <c r="H70" s="3"/>
      <c r="I70" s="3"/>
      <c r="J70" s="20">
        <f t="shared" si="5"/>
        <v>0</v>
      </c>
      <c r="K70" s="3"/>
      <c r="L70" s="3">
        <f t="shared" si="6"/>
        <v>0</v>
      </c>
      <c r="M70" s="3"/>
      <c r="N70" s="20">
        <f t="shared" si="7"/>
        <v>0</v>
      </c>
      <c r="O70" s="12"/>
      <c r="P70" s="3">
        <v>0</v>
      </c>
      <c r="Q70" s="3"/>
      <c r="R70" s="20">
        <f t="shared" si="8"/>
        <v>0</v>
      </c>
      <c r="S70" s="3"/>
      <c r="T70" s="3">
        <v>2555.71</v>
      </c>
      <c r="U70" s="3"/>
      <c r="V70" s="20">
        <f t="shared" si="9"/>
        <v>1.0929180988932328E-3</v>
      </c>
      <c r="W70" s="3"/>
      <c r="X70" s="3">
        <f t="shared" si="10"/>
        <v>-2555.71</v>
      </c>
      <c r="Y70" s="3"/>
      <c r="Z70" s="20">
        <f t="shared" si="11"/>
        <v>-1</v>
      </c>
    </row>
    <row r="71" spans="1:26" s="69" customFormat="1" ht="15" hidden="1" customHeight="1" outlineLevel="1" x14ac:dyDescent="0.25">
      <c r="A71" s="42"/>
      <c r="B71" s="12" t="str">
        <f>CONCATENATE("          ","5045"," - ","PURCHASES @ COST-SPECIAL ORDER")</f>
        <v xml:space="preserve">          5045 - PURCHASES @ COST-SPECIAL ORDER</v>
      </c>
      <c r="C71" s="12"/>
      <c r="D71" s="3"/>
      <c r="E71" s="3"/>
      <c r="F71" s="20">
        <f t="shared" si="4"/>
        <v>0</v>
      </c>
      <c r="G71" s="3"/>
      <c r="H71" s="3">
        <v>24141.17</v>
      </c>
      <c r="I71" s="3"/>
      <c r="J71" s="20">
        <f t="shared" si="5"/>
        <v>5.6126289842387142E-2</v>
      </c>
      <c r="K71" s="3"/>
      <c r="L71" s="3">
        <f t="shared" si="6"/>
        <v>-24141.17</v>
      </c>
      <c r="M71" s="3"/>
      <c r="N71" s="20">
        <f t="shared" si="7"/>
        <v>-1</v>
      </c>
      <c r="O71" s="12"/>
      <c r="P71" s="3">
        <v>0</v>
      </c>
      <c r="Q71" s="3"/>
      <c r="R71" s="20">
        <f t="shared" si="8"/>
        <v>0</v>
      </c>
      <c r="S71" s="3"/>
      <c r="T71" s="3">
        <v>139139.24</v>
      </c>
      <c r="U71" s="3"/>
      <c r="V71" s="20">
        <f t="shared" si="9"/>
        <v>5.9501192882701573E-2</v>
      </c>
      <c r="W71" s="3"/>
      <c r="X71" s="3">
        <f t="shared" si="10"/>
        <v>-139139.24</v>
      </c>
      <c r="Y71" s="3"/>
      <c r="Z71" s="20">
        <f t="shared" si="11"/>
        <v>-1</v>
      </c>
    </row>
    <row r="72" spans="1:26" s="69" customFormat="1" ht="15" hidden="1" customHeight="1" outlineLevel="1" x14ac:dyDescent="0.25">
      <c r="A72" s="42"/>
      <c r="B72" s="12" t="str">
        <f>CONCATENATE("          ","5086"," - ","PURCHASES @ COST-COMPUTER SUPP")</f>
        <v xml:space="preserve">          5086 - PURCHASES @ COST-COMPUTER SUPP</v>
      </c>
      <c r="C72" s="12"/>
      <c r="D72" s="3"/>
      <c r="E72" s="3"/>
      <c r="F72" s="20">
        <f t="shared" si="4"/>
        <v>0</v>
      </c>
      <c r="G72" s="3"/>
      <c r="H72" s="3"/>
      <c r="I72" s="3"/>
      <c r="J72" s="20">
        <f t="shared" si="5"/>
        <v>0</v>
      </c>
      <c r="K72" s="3"/>
      <c r="L72" s="3">
        <f t="shared" si="6"/>
        <v>0</v>
      </c>
      <c r="M72" s="3"/>
      <c r="N72" s="20">
        <f t="shared" si="7"/>
        <v>0</v>
      </c>
      <c r="O72" s="12"/>
      <c r="P72" s="3"/>
      <c r="Q72" s="3"/>
      <c r="R72" s="20">
        <f t="shared" si="8"/>
        <v>0</v>
      </c>
      <c r="S72" s="3"/>
      <c r="T72" s="3">
        <v>13.21</v>
      </c>
      <c r="U72" s="3"/>
      <c r="V72" s="20">
        <f t="shared" si="9"/>
        <v>5.6490948058972285E-6</v>
      </c>
      <c r="W72" s="3"/>
      <c r="X72" s="3">
        <f t="shared" si="10"/>
        <v>-13.21</v>
      </c>
      <c r="Y72" s="3"/>
      <c r="Z72" s="20">
        <f t="shared" si="11"/>
        <v>-1</v>
      </c>
    </row>
    <row r="73" spans="1:26" s="69" customFormat="1" ht="15" hidden="1" customHeight="1" outlineLevel="1" x14ac:dyDescent="0.25">
      <c r="A73" s="42"/>
      <c r="B73" s="12" t="str">
        <f>CONCATENATE("          ","5200"," - ","PURCHASES OFFSET")</f>
        <v xml:space="preserve">          5200 - PURCHASES OFFSET</v>
      </c>
      <c r="C73" s="12"/>
      <c r="D73" s="3">
        <v>-275767.31</v>
      </c>
      <c r="E73" s="3"/>
      <c r="F73" s="20">
        <f t="shared" si="4"/>
        <v>-0.34642380977977888</v>
      </c>
      <c r="G73" s="3"/>
      <c r="H73" s="3">
        <v>-98976.31</v>
      </c>
      <c r="I73" s="3"/>
      <c r="J73" s="20">
        <f t="shared" si="5"/>
        <v>-0.23011200627765602</v>
      </c>
      <c r="K73" s="3"/>
      <c r="L73" s="3">
        <f t="shared" si="6"/>
        <v>-176791</v>
      </c>
      <c r="M73" s="3"/>
      <c r="N73" s="20">
        <f t="shared" si="7"/>
        <v>1.7861951006255943</v>
      </c>
      <c r="O73" s="12"/>
      <c r="P73" s="3">
        <v>-2642709.14</v>
      </c>
      <c r="Q73" s="3"/>
      <c r="R73" s="20">
        <f t="shared" si="8"/>
        <v>-0.52222486959891323</v>
      </c>
      <c r="S73" s="3"/>
      <c r="T73" s="3">
        <v>-759465.47</v>
      </c>
      <c r="U73" s="3"/>
      <c r="V73" s="20">
        <f t="shared" si="9"/>
        <v>-0.32477611217526847</v>
      </c>
      <c r="W73" s="3"/>
      <c r="X73" s="3">
        <f t="shared" si="10"/>
        <v>-1883243.6700000002</v>
      </c>
      <c r="Y73" s="3"/>
      <c r="Z73" s="20">
        <f t="shared" si="11"/>
        <v>2.4796962395143525</v>
      </c>
    </row>
    <row r="74" spans="1:26" s="69" customFormat="1" ht="15" hidden="1" customHeight="1" outlineLevel="1" x14ac:dyDescent="0.25">
      <c r="A74" s="42"/>
      <c r="B74" s="12" t="str">
        <f>CONCATENATE("          ","5300"," - ","COG$ OFFSET")</f>
        <v xml:space="preserve">          5300 - COG$ OFFSET</v>
      </c>
      <c r="C74" s="12"/>
      <c r="D74" s="3">
        <v>349809.96</v>
      </c>
      <c r="E74" s="3"/>
      <c r="F74" s="20">
        <f t="shared" si="4"/>
        <v>0.43943750636038792</v>
      </c>
      <c r="G74" s="3"/>
      <c r="H74" s="3">
        <v>195650</v>
      </c>
      <c r="I74" s="3"/>
      <c r="J74" s="20">
        <f t="shared" si="5"/>
        <v>0.45487060518040529</v>
      </c>
      <c r="K74" s="3"/>
      <c r="L74" s="3">
        <f t="shared" si="6"/>
        <v>154159.96000000002</v>
      </c>
      <c r="M74" s="3"/>
      <c r="N74" s="20">
        <f t="shared" si="7"/>
        <v>0.78793743930488125</v>
      </c>
      <c r="O74" s="12"/>
      <c r="P74" s="3">
        <v>2371338.34</v>
      </c>
      <c r="Q74" s="3"/>
      <c r="R74" s="20">
        <f t="shared" si="8"/>
        <v>0.46859937654031925</v>
      </c>
      <c r="S74" s="3"/>
      <c r="T74" s="3">
        <v>1234724</v>
      </c>
      <c r="U74" s="3"/>
      <c r="V74" s="20">
        <f t="shared" si="9"/>
        <v>0.52801460523214605</v>
      </c>
      <c r="W74" s="3"/>
      <c r="X74" s="3">
        <f t="shared" si="10"/>
        <v>1136614.3399999999</v>
      </c>
      <c r="Y74" s="3"/>
      <c r="Z74" s="20">
        <f t="shared" si="11"/>
        <v>0.92054122216786893</v>
      </c>
    </row>
    <row r="75" spans="1:26" s="69" customFormat="1" ht="15" hidden="1" customHeight="1" outlineLevel="1" x14ac:dyDescent="0.25">
      <c r="A75" s="42"/>
      <c r="B75" s="12" t="str">
        <f>CONCATENATE("          ","5500"," - ","FREIGHT-IN")</f>
        <v xml:space="preserve">          5500 - FREIGHT-IN</v>
      </c>
      <c r="C75" s="12"/>
      <c r="D75" s="3">
        <v>10252.06</v>
      </c>
      <c r="E75" s="3"/>
      <c r="F75" s="20">
        <f t="shared" si="4"/>
        <v>1.2878820492867265E-2</v>
      </c>
      <c r="G75" s="3"/>
      <c r="H75" s="3">
        <v>0</v>
      </c>
      <c r="I75" s="3"/>
      <c r="J75" s="20">
        <f t="shared" si="5"/>
        <v>0</v>
      </c>
      <c r="K75" s="3"/>
      <c r="L75" s="3">
        <f t="shared" si="6"/>
        <v>10252.06</v>
      </c>
      <c r="M75" s="3"/>
      <c r="N75" s="20">
        <f t="shared" si="7"/>
        <v>0</v>
      </c>
      <c r="O75" s="12"/>
      <c r="P75" s="3">
        <v>114459.37</v>
      </c>
      <c r="Q75" s="3"/>
      <c r="R75" s="20">
        <f t="shared" si="8"/>
        <v>2.2618277837652523E-2</v>
      </c>
      <c r="S75" s="3"/>
      <c r="T75" s="3">
        <v>0</v>
      </c>
      <c r="U75" s="3"/>
      <c r="V75" s="20">
        <f t="shared" si="9"/>
        <v>0</v>
      </c>
      <c r="W75" s="3"/>
      <c r="X75" s="3">
        <f t="shared" si="10"/>
        <v>114459.37</v>
      </c>
      <c r="Y75" s="3"/>
      <c r="Z75" s="20">
        <f t="shared" si="11"/>
        <v>0</v>
      </c>
    </row>
    <row r="76" spans="1:26" s="69" customFormat="1" ht="15" hidden="1" customHeight="1" outlineLevel="1" x14ac:dyDescent="0.25">
      <c r="A76" s="42"/>
      <c r="B76" s="12" t="str">
        <f>CONCATENATE("          ","5525"," - ","FREIGHT-IN-TEST FORMS")</f>
        <v xml:space="preserve">          5525 - FREIGHT-IN-TEST FORMS</v>
      </c>
      <c r="C76" s="12"/>
      <c r="D76" s="3"/>
      <c r="E76" s="3"/>
      <c r="F76" s="20">
        <f t="shared" si="4"/>
        <v>0</v>
      </c>
      <c r="G76" s="3"/>
      <c r="H76" s="3"/>
      <c r="I76" s="3"/>
      <c r="J76" s="20">
        <f t="shared" si="5"/>
        <v>0</v>
      </c>
      <c r="K76" s="3"/>
      <c r="L76" s="3">
        <f t="shared" si="6"/>
        <v>0</v>
      </c>
      <c r="M76" s="3"/>
      <c r="N76" s="20">
        <f t="shared" si="7"/>
        <v>0</v>
      </c>
      <c r="O76" s="12"/>
      <c r="P76" s="3"/>
      <c r="Q76" s="3"/>
      <c r="R76" s="20">
        <f t="shared" si="8"/>
        <v>0</v>
      </c>
      <c r="S76" s="3"/>
      <c r="T76" s="3">
        <v>48.14</v>
      </c>
      <c r="U76" s="3"/>
      <c r="V76" s="20">
        <f t="shared" si="9"/>
        <v>2.0586481752906324E-5</v>
      </c>
      <c r="W76" s="3"/>
      <c r="X76" s="3">
        <f t="shared" si="10"/>
        <v>-48.14</v>
      </c>
      <c r="Y76" s="3"/>
      <c r="Z76" s="20">
        <f t="shared" si="11"/>
        <v>-1</v>
      </c>
    </row>
    <row r="77" spans="1:26" s="69" customFormat="1" ht="15" hidden="1" customHeight="1" outlineLevel="1" x14ac:dyDescent="0.25">
      <c r="A77" s="42"/>
      <c r="B77" s="12" t="str">
        <f>CONCATENATE("          ","5526"," - ","FREIGHT-IN-WRITING INSTRUMENTS")</f>
        <v xml:space="preserve">          5526 - FREIGHT-IN-WRITING INSTRUMENTS</v>
      </c>
      <c r="C77" s="12"/>
      <c r="D77" s="3"/>
      <c r="E77" s="3"/>
      <c r="F77" s="20">
        <f t="shared" si="4"/>
        <v>0</v>
      </c>
      <c r="G77" s="3"/>
      <c r="H77" s="3"/>
      <c r="I77" s="3"/>
      <c r="J77" s="20">
        <f t="shared" si="5"/>
        <v>0</v>
      </c>
      <c r="K77" s="3"/>
      <c r="L77" s="3">
        <f t="shared" si="6"/>
        <v>0</v>
      </c>
      <c r="M77" s="3"/>
      <c r="N77" s="20">
        <f t="shared" si="7"/>
        <v>0</v>
      </c>
      <c r="O77" s="12"/>
      <c r="P77" s="3"/>
      <c r="Q77" s="3"/>
      <c r="R77" s="20">
        <f t="shared" si="8"/>
        <v>0</v>
      </c>
      <c r="S77" s="3"/>
      <c r="T77" s="3">
        <v>0</v>
      </c>
      <c r="U77" s="3"/>
      <c r="V77" s="20">
        <f t="shared" si="9"/>
        <v>0</v>
      </c>
      <c r="W77" s="3"/>
      <c r="X77" s="3">
        <f t="shared" si="10"/>
        <v>0</v>
      </c>
      <c r="Y77" s="3"/>
      <c r="Z77" s="20">
        <f t="shared" si="11"/>
        <v>0</v>
      </c>
    </row>
    <row r="78" spans="1:26" s="69" customFormat="1" ht="15" hidden="1" customHeight="1" outlineLevel="1" x14ac:dyDescent="0.25">
      <c r="A78" s="42"/>
      <c r="B78" s="12" t="str">
        <f>CONCATENATE("          ","5527"," - ","FREIGHT-IN-SCHOOL SUPPLIES")</f>
        <v xml:space="preserve">          5527 - FREIGHT-IN-SCHOOL SUPPLIES</v>
      </c>
      <c r="C78" s="12"/>
      <c r="D78" s="3"/>
      <c r="E78" s="3"/>
      <c r="F78" s="20">
        <f t="shared" si="4"/>
        <v>0</v>
      </c>
      <c r="G78" s="3"/>
      <c r="H78" s="3"/>
      <c r="I78" s="3"/>
      <c r="J78" s="20">
        <f t="shared" si="5"/>
        <v>0</v>
      </c>
      <c r="K78" s="3"/>
      <c r="L78" s="3">
        <f t="shared" si="6"/>
        <v>0</v>
      </c>
      <c r="M78" s="3"/>
      <c r="N78" s="20">
        <f t="shared" si="7"/>
        <v>0</v>
      </c>
      <c r="O78" s="12"/>
      <c r="P78" s="3">
        <v>0</v>
      </c>
      <c r="Q78" s="3"/>
      <c r="R78" s="20">
        <f t="shared" si="8"/>
        <v>0</v>
      </c>
      <c r="S78" s="3"/>
      <c r="T78" s="3">
        <v>218.62</v>
      </c>
      <c r="U78" s="3"/>
      <c r="V78" s="20">
        <f t="shared" si="9"/>
        <v>9.3490167029920671E-5</v>
      </c>
      <c r="W78" s="3"/>
      <c r="X78" s="3">
        <f t="shared" si="10"/>
        <v>-218.62</v>
      </c>
      <c r="Y78" s="3"/>
      <c r="Z78" s="20">
        <f t="shared" si="11"/>
        <v>-1</v>
      </c>
    </row>
    <row r="79" spans="1:26" s="69" customFormat="1" ht="15" hidden="1" customHeight="1" outlineLevel="1" x14ac:dyDescent="0.25">
      <c r="A79" s="42"/>
      <c r="B79" s="12" t="str">
        <f>CONCATENATE("          ","5528"," - ","FREIGHT-IN-ART/TECH")</f>
        <v xml:space="preserve">          5528 - FREIGHT-IN-ART/TECH</v>
      </c>
      <c r="C79" s="12"/>
      <c r="D79" s="3"/>
      <c r="E79" s="3"/>
      <c r="F79" s="20">
        <f t="shared" si="4"/>
        <v>0</v>
      </c>
      <c r="G79" s="3"/>
      <c r="H79" s="3">
        <v>28.53</v>
      </c>
      <c r="I79" s="3"/>
      <c r="J79" s="20">
        <f t="shared" si="5"/>
        <v>6.6329968647058337E-5</v>
      </c>
      <c r="K79" s="3"/>
      <c r="L79" s="3">
        <f t="shared" si="6"/>
        <v>-28.53</v>
      </c>
      <c r="M79" s="3"/>
      <c r="N79" s="20">
        <f t="shared" si="7"/>
        <v>-1</v>
      </c>
      <c r="O79" s="12"/>
      <c r="P79" s="3">
        <v>0</v>
      </c>
      <c r="Q79" s="3"/>
      <c r="R79" s="20">
        <f t="shared" si="8"/>
        <v>0</v>
      </c>
      <c r="S79" s="3"/>
      <c r="T79" s="3">
        <v>572.96</v>
      </c>
      <c r="U79" s="3"/>
      <c r="V79" s="20">
        <f t="shared" si="9"/>
        <v>2.4501933080899892E-4</v>
      </c>
      <c r="W79" s="3"/>
      <c r="X79" s="3">
        <f t="shared" si="10"/>
        <v>-572.96</v>
      </c>
      <c r="Y79" s="3"/>
      <c r="Z79" s="20">
        <f t="shared" si="11"/>
        <v>-1</v>
      </c>
    </row>
    <row r="80" spans="1:26" s="69" customFormat="1" ht="15" hidden="1" customHeight="1" outlineLevel="1" x14ac:dyDescent="0.25">
      <c r="A80" s="42"/>
      <c r="B80" s="12" t="str">
        <f>CONCATENATE("          ","5540"," - ","FREIGHT-IN-LOGO CLOTHING")</f>
        <v xml:space="preserve">          5540 - FREIGHT-IN-LOGO CLOTHING</v>
      </c>
      <c r="C80" s="12"/>
      <c r="D80" s="3"/>
      <c r="E80" s="3"/>
      <c r="F80" s="20">
        <f t="shared" si="4"/>
        <v>0</v>
      </c>
      <c r="G80" s="3"/>
      <c r="H80" s="3">
        <v>1283.68</v>
      </c>
      <c r="I80" s="3"/>
      <c r="J80" s="20">
        <f t="shared" si="5"/>
        <v>2.9844533527113863E-3</v>
      </c>
      <c r="K80" s="3"/>
      <c r="L80" s="3">
        <f t="shared" si="6"/>
        <v>-1283.68</v>
      </c>
      <c r="M80" s="3"/>
      <c r="N80" s="20">
        <f t="shared" si="7"/>
        <v>-1</v>
      </c>
      <c r="O80" s="12"/>
      <c r="P80" s="3">
        <v>0</v>
      </c>
      <c r="Q80" s="3"/>
      <c r="R80" s="20">
        <f t="shared" si="8"/>
        <v>0</v>
      </c>
      <c r="S80" s="3"/>
      <c r="T80" s="3">
        <v>10499.7</v>
      </c>
      <c r="U80" s="3"/>
      <c r="V80" s="20">
        <f t="shared" si="9"/>
        <v>4.4900681857289269E-3</v>
      </c>
      <c r="W80" s="3"/>
      <c r="X80" s="3">
        <f t="shared" si="10"/>
        <v>-10499.7</v>
      </c>
      <c r="Y80" s="3"/>
      <c r="Z80" s="20">
        <f t="shared" si="11"/>
        <v>-1</v>
      </c>
    </row>
    <row r="81" spans="1:26" s="69" customFormat="1" ht="15" hidden="1" customHeight="1" outlineLevel="1" x14ac:dyDescent="0.25">
      <c r="A81" s="42"/>
      <c r="B81" s="12" t="str">
        <f>CONCATENATE("          ","5541"," - ","FREIGHT-IN-LOGO GIFTS")</f>
        <v xml:space="preserve">          5541 - FREIGHT-IN-LOGO GIFTS</v>
      </c>
      <c r="C81" s="12"/>
      <c r="D81" s="3"/>
      <c r="E81" s="3"/>
      <c r="F81" s="20">
        <f t="shared" si="4"/>
        <v>0</v>
      </c>
      <c r="G81" s="3"/>
      <c r="H81" s="3">
        <v>961.21</v>
      </c>
      <c r="I81" s="3"/>
      <c r="J81" s="20">
        <f t="shared" si="5"/>
        <v>2.2347363884766542E-3</v>
      </c>
      <c r="K81" s="3"/>
      <c r="L81" s="3">
        <f t="shared" si="6"/>
        <v>-961.21</v>
      </c>
      <c r="M81" s="3"/>
      <c r="N81" s="20">
        <f t="shared" si="7"/>
        <v>-1</v>
      </c>
      <c r="O81" s="12"/>
      <c r="P81" s="3">
        <v>0</v>
      </c>
      <c r="Q81" s="3"/>
      <c r="R81" s="20">
        <f t="shared" si="8"/>
        <v>0</v>
      </c>
      <c r="S81" s="3"/>
      <c r="T81" s="3">
        <v>5977.2</v>
      </c>
      <c r="U81" s="3"/>
      <c r="V81" s="20">
        <f t="shared" si="9"/>
        <v>2.5560764173965865E-3</v>
      </c>
      <c r="W81" s="3"/>
      <c r="X81" s="3">
        <f t="shared" si="10"/>
        <v>-5977.2</v>
      </c>
      <c r="Y81" s="3"/>
      <c r="Z81" s="20">
        <f t="shared" si="11"/>
        <v>-1</v>
      </c>
    </row>
    <row r="82" spans="1:26" s="69" customFormat="1" ht="15" hidden="1" customHeight="1" outlineLevel="1" x14ac:dyDescent="0.25">
      <c r="A82" s="42"/>
      <c r="B82" s="12" t="str">
        <f>CONCATENATE("          ","5542"," - ","FREIGHT-IN-EVERYDAY GIFTS")</f>
        <v xml:space="preserve">          5542 - FREIGHT-IN-EVERYDAY GIFTS</v>
      </c>
      <c r="C82" s="12"/>
      <c r="D82" s="3"/>
      <c r="E82" s="3"/>
      <c r="F82" s="20">
        <f t="shared" si="4"/>
        <v>0</v>
      </c>
      <c r="G82" s="3"/>
      <c r="H82" s="3"/>
      <c r="I82" s="3"/>
      <c r="J82" s="20">
        <f t="shared" si="5"/>
        <v>0</v>
      </c>
      <c r="K82" s="3"/>
      <c r="L82" s="3">
        <f t="shared" si="6"/>
        <v>0</v>
      </c>
      <c r="M82" s="3"/>
      <c r="N82" s="20">
        <f t="shared" si="7"/>
        <v>0</v>
      </c>
      <c r="O82" s="12"/>
      <c r="P82" s="3">
        <v>0</v>
      </c>
      <c r="Q82" s="3"/>
      <c r="R82" s="20">
        <f t="shared" si="8"/>
        <v>0</v>
      </c>
      <c r="S82" s="3"/>
      <c r="T82" s="3">
        <v>681.72</v>
      </c>
      <c r="U82" s="3"/>
      <c r="V82" s="20">
        <f t="shared" si="9"/>
        <v>2.9152921355611345E-4</v>
      </c>
      <c r="W82" s="3"/>
      <c r="X82" s="3">
        <f t="shared" si="10"/>
        <v>-681.72</v>
      </c>
      <c r="Y82" s="3"/>
      <c r="Z82" s="20">
        <f t="shared" si="11"/>
        <v>-1</v>
      </c>
    </row>
    <row r="83" spans="1:26" s="69" customFormat="1" ht="15" hidden="1" customHeight="1" outlineLevel="1" x14ac:dyDescent="0.25">
      <c r="A83" s="42"/>
      <c r="B83" s="12" t="str">
        <f>CONCATENATE("          ","5543"," - ","FREIGHT-IN-CARDS")</f>
        <v xml:space="preserve">          5543 - FREIGHT-IN-CARDS</v>
      </c>
      <c r="C83" s="12"/>
      <c r="D83" s="3"/>
      <c r="E83" s="3"/>
      <c r="F83" s="20">
        <f t="shared" si="4"/>
        <v>0</v>
      </c>
      <c r="G83" s="3"/>
      <c r="H83" s="3"/>
      <c r="I83" s="3"/>
      <c r="J83" s="20">
        <f t="shared" si="5"/>
        <v>0</v>
      </c>
      <c r="K83" s="3"/>
      <c r="L83" s="3">
        <f t="shared" si="6"/>
        <v>0</v>
      </c>
      <c r="M83" s="3"/>
      <c r="N83" s="20">
        <f t="shared" si="7"/>
        <v>0</v>
      </c>
      <c r="O83" s="12"/>
      <c r="P83" s="3"/>
      <c r="Q83" s="3"/>
      <c r="R83" s="20">
        <f t="shared" si="8"/>
        <v>0</v>
      </c>
      <c r="S83" s="3"/>
      <c r="T83" s="3">
        <v>9110.5300000000007</v>
      </c>
      <c r="U83" s="3"/>
      <c r="V83" s="20">
        <f t="shared" si="9"/>
        <v>3.8960066390591125E-3</v>
      </c>
      <c r="W83" s="3"/>
      <c r="X83" s="3">
        <f t="shared" si="10"/>
        <v>-9110.5300000000007</v>
      </c>
      <c r="Y83" s="3"/>
      <c r="Z83" s="20">
        <f t="shared" si="11"/>
        <v>-1</v>
      </c>
    </row>
    <row r="84" spans="1:26" s="69" customFormat="1" ht="15" hidden="1" customHeight="1" outlineLevel="1" x14ac:dyDescent="0.25">
      <c r="A84" s="42"/>
      <c r="B84" s="12" t="str">
        <f>CONCATENATE("          ","5544"," - ","FREIGHT-IN-ACCESSORIES")</f>
        <v xml:space="preserve">          5544 - FREIGHT-IN-ACCESSORIES</v>
      </c>
      <c r="C84" s="12"/>
      <c r="D84" s="3"/>
      <c r="E84" s="3"/>
      <c r="F84" s="20">
        <f t="shared" si="4"/>
        <v>0</v>
      </c>
      <c r="G84" s="3"/>
      <c r="H84" s="3"/>
      <c r="I84" s="3"/>
      <c r="J84" s="20">
        <f t="shared" si="5"/>
        <v>0</v>
      </c>
      <c r="K84" s="3"/>
      <c r="L84" s="3">
        <f t="shared" si="6"/>
        <v>0</v>
      </c>
      <c r="M84" s="3"/>
      <c r="N84" s="20">
        <f t="shared" si="7"/>
        <v>0</v>
      </c>
      <c r="O84" s="12"/>
      <c r="P84" s="3">
        <v>0</v>
      </c>
      <c r="Q84" s="3"/>
      <c r="R84" s="20">
        <f t="shared" si="8"/>
        <v>0</v>
      </c>
      <c r="S84" s="3"/>
      <c r="T84" s="3"/>
      <c r="U84" s="3"/>
      <c r="V84" s="20">
        <f t="shared" si="9"/>
        <v>0</v>
      </c>
      <c r="W84" s="3"/>
      <c r="X84" s="3">
        <f t="shared" si="10"/>
        <v>0</v>
      </c>
      <c r="Y84" s="3"/>
      <c r="Z84" s="20">
        <f t="shared" si="11"/>
        <v>0</v>
      </c>
    </row>
    <row r="85" spans="1:26" s="69" customFormat="1" ht="15" hidden="1" customHeight="1" outlineLevel="1" x14ac:dyDescent="0.25">
      <c r="A85" s="42"/>
      <c r="B85" s="12" t="str">
        <f>CONCATENATE("          ","5545"," - ","FREIGHT-IN-SPECIAL ORDERS")</f>
        <v xml:space="preserve">          5545 - FREIGHT-IN-SPECIAL ORDERS</v>
      </c>
      <c r="C85" s="12"/>
      <c r="D85" s="3"/>
      <c r="E85" s="3"/>
      <c r="F85" s="20">
        <f t="shared" si="4"/>
        <v>0</v>
      </c>
      <c r="G85" s="3"/>
      <c r="H85" s="3">
        <v>1033.9000000000001</v>
      </c>
      <c r="I85" s="3"/>
      <c r="J85" s="20">
        <f t="shared" si="5"/>
        <v>2.403734825944396E-3</v>
      </c>
      <c r="K85" s="3"/>
      <c r="L85" s="3">
        <f t="shared" si="6"/>
        <v>-1033.9000000000001</v>
      </c>
      <c r="M85" s="3"/>
      <c r="N85" s="20">
        <f t="shared" si="7"/>
        <v>-1</v>
      </c>
      <c r="O85" s="12"/>
      <c r="P85" s="3">
        <v>0</v>
      </c>
      <c r="Q85" s="3"/>
      <c r="R85" s="20">
        <f t="shared" si="8"/>
        <v>0</v>
      </c>
      <c r="S85" s="3"/>
      <c r="T85" s="3">
        <v>2468.66</v>
      </c>
      <c r="U85" s="3"/>
      <c r="V85" s="20">
        <f t="shared" si="9"/>
        <v>1.0556922319096328E-3</v>
      </c>
      <c r="W85" s="3"/>
      <c r="X85" s="3">
        <f t="shared" si="10"/>
        <v>-2468.66</v>
      </c>
      <c r="Y85" s="3"/>
      <c r="Z85" s="20">
        <f t="shared" si="11"/>
        <v>-1</v>
      </c>
    </row>
    <row r="86" spans="1:26" ht="15" customHeight="1" x14ac:dyDescent="0.25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25">
      <c r="A87" s="11"/>
      <c r="B87" s="27" t="s">
        <v>288</v>
      </c>
      <c r="C87" s="27"/>
      <c r="D87" s="22">
        <f>D12-D59</f>
        <v>446230.3299999999</v>
      </c>
      <c r="E87" s="15"/>
      <c r="F87" s="23">
        <f>IF(D$12=0,0,D87/D$12)</f>
        <v>0.56056249363961208</v>
      </c>
      <c r="G87" s="15"/>
      <c r="H87" s="22">
        <f>H12-H59</f>
        <v>234443.79000000012</v>
      </c>
      <c r="I87" s="15"/>
      <c r="J87" s="23">
        <f>IF(H$12=0,0,H87/H$12)</f>
        <v>0.54506306485094769</v>
      </c>
      <c r="K87" s="16"/>
      <c r="L87" s="22">
        <f>+D87-H87</f>
        <v>211786.53999999978</v>
      </c>
      <c r="M87" s="16"/>
      <c r="N87" s="23">
        <f>IF(H87=0,0,L87/H87)</f>
        <v>0.90335743164704707</v>
      </c>
      <c r="O87" s="28"/>
      <c r="P87" s="22">
        <f>P12-P59</f>
        <v>2692142.8699999992</v>
      </c>
      <c r="Q87" s="15"/>
      <c r="R87" s="23">
        <f>IF(P$12=0,0,P87/P$12)</f>
        <v>0.53199345245666863</v>
      </c>
      <c r="S87" s="15"/>
      <c r="T87" s="22">
        <f>T12-T59</f>
        <v>1103110.6800000016</v>
      </c>
      <c r="U87" s="15"/>
      <c r="V87" s="23">
        <f>IF(T$12=0,0,T87/T$12)</f>
        <v>0.4717317799180748</v>
      </c>
      <c r="W87" s="16"/>
      <c r="X87" s="22">
        <f>+P87-T87</f>
        <v>1589032.1899999976</v>
      </c>
      <c r="Y87" s="16"/>
      <c r="Z87" s="23">
        <f>IF(T87=0,0,X87/T87)</f>
        <v>1.4405011381088209</v>
      </c>
    </row>
    <row r="88" spans="1:26" ht="15" customHeight="1" x14ac:dyDescent="0.25">
      <c r="A88" s="10"/>
      <c r="B88" s="11"/>
      <c r="C88" s="10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36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62" customFormat="1" ht="15" customHeight="1" x14ac:dyDescent="0.25">
      <c r="A89" s="11"/>
      <c r="B89" s="28" t="s">
        <v>289</v>
      </c>
      <c r="C89" s="11"/>
      <c r="D89" s="21" cm="1">
        <f t="array" ref="D89">SUM(OSRRefD22x_0)</f>
        <v>116897.43</v>
      </c>
      <c r="E89" s="21"/>
      <c r="F89" s="31">
        <f t="shared" ref="F89:F120" si="12">IF(D$12=0,0,D89/D$12)</f>
        <v>0.14684863501067263</v>
      </c>
      <c r="G89" s="21"/>
      <c r="H89" s="21" cm="1">
        <f t="array" ref="H89">SUM(OSRRefH22x_0)</f>
        <v>64939.429999999993</v>
      </c>
      <c r="I89" s="21"/>
      <c r="J89" s="31">
        <f t="shared" ref="J89:J120" si="13">IF(H$12=0,0,H89/H$12)</f>
        <v>0.15097898197889376</v>
      </c>
      <c r="K89" s="5"/>
      <c r="L89" s="21">
        <f t="shared" ref="L89:L120" si="14">+D89-H89</f>
        <v>51958</v>
      </c>
      <c r="M89" s="5"/>
      <c r="N89" s="31">
        <f t="shared" ref="N89:N120" si="15">IF(H89=0,0,L89/H89)</f>
        <v>0.80009941571707677</v>
      </c>
      <c r="O89" s="11"/>
      <c r="P89" s="21" cm="1">
        <f t="array" ref="P89">SUM(OSRRefP22x_0)</f>
        <v>1216744.6500000004</v>
      </c>
      <c r="Q89" s="21"/>
      <c r="R89" s="31">
        <f t="shared" ref="R89:R120" si="16">IF(P$12=0,0,P89/P$12)</f>
        <v>0.24044050348326471</v>
      </c>
      <c r="S89" s="21"/>
      <c r="T89" s="21" cm="1">
        <f t="array" ref="T89">SUM(OSRRefT22x_0)</f>
        <v>767227.75000000012</v>
      </c>
      <c r="U89" s="21"/>
      <c r="V89" s="31">
        <f t="shared" ref="V89:V120" si="17">IF(T$12=0,0,T89/T$12)</f>
        <v>0.32809555620478559</v>
      </c>
      <c r="W89" s="5"/>
      <c r="X89" s="21">
        <f t="shared" ref="X89:X120" si="18">+P89-T89</f>
        <v>449516.90000000026</v>
      </c>
      <c r="Y89" s="5"/>
      <c r="Z89" s="31">
        <f t="shared" ref="Z89:Z120" si="19">IF(T89=0,0,X89/T89)</f>
        <v>0.58589760341697783</v>
      </c>
    </row>
    <row r="90" spans="1:26" s="68" customFormat="1" ht="15" customHeight="1" outlineLevel="1" collapsed="1" x14ac:dyDescent="0.25">
      <c r="A90" s="26"/>
      <c r="B90" s="14" t="str">
        <f>CONCATENATE("     ","*Benefits                                         ")</f>
        <v xml:space="preserve">     *Benefits                                         </v>
      </c>
      <c r="C90" s="14"/>
      <c r="D90" s="2">
        <f>SUM(OSRRefD22_0x_0)</f>
        <v>14583.099999999999</v>
      </c>
      <c r="E90" s="2"/>
      <c r="F90" s="6">
        <f t="shared" si="12"/>
        <v>1.8319550132318053E-2</v>
      </c>
      <c r="G90" s="2"/>
      <c r="H90" s="2">
        <f>SUM(OSRRefH22_0x_0)</f>
        <v>13954.170000000002</v>
      </c>
      <c r="I90" s="2"/>
      <c r="J90" s="6">
        <f t="shared" si="13"/>
        <v>3.2442329428521634E-2</v>
      </c>
      <c r="K90" s="2"/>
      <c r="L90" s="2">
        <f t="shared" si="14"/>
        <v>628.92999999999665</v>
      </c>
      <c r="M90" s="2"/>
      <c r="N90" s="6">
        <f t="shared" si="15"/>
        <v>4.5071114942701468E-2</v>
      </c>
      <c r="O90" s="14"/>
      <c r="P90" s="2">
        <f>SUM(OSRRefP22_0x_0)</f>
        <v>162223.07999999999</v>
      </c>
      <c r="Q90" s="2"/>
      <c r="R90" s="6">
        <f t="shared" si="16"/>
        <v>3.2056848601558191E-2</v>
      </c>
      <c r="S90" s="2"/>
      <c r="T90" s="2">
        <f>SUM(OSRRefT22_0x_0)</f>
        <v>164421.11000000002</v>
      </c>
      <c r="U90" s="2"/>
      <c r="V90" s="6">
        <f t="shared" si="17"/>
        <v>7.031267513102625E-2</v>
      </c>
      <c r="W90" s="2"/>
      <c r="X90" s="2">
        <f t="shared" si="18"/>
        <v>-2198.0300000000279</v>
      </c>
      <c r="Y90" s="2"/>
      <c r="Z90" s="6">
        <f t="shared" si="19"/>
        <v>-1.336829559172802E-2</v>
      </c>
    </row>
    <row r="91" spans="1:26" s="69" customFormat="1" ht="15" hidden="1" customHeight="1" outlineLevel="2" x14ac:dyDescent="0.25">
      <c r="A91" s="25"/>
      <c r="B91" s="12" t="str">
        <f>CONCATENATE("          ","6111"," - ","F.I.C.A.")</f>
        <v xml:space="preserve">          6111 - F.I.C.A.</v>
      </c>
      <c r="C91" s="12"/>
      <c r="D91" s="7">
        <v>3763.33</v>
      </c>
      <c r="E91" s="3"/>
      <c r="F91" s="8">
        <f t="shared" si="12"/>
        <v>4.7275622192439531E-3</v>
      </c>
      <c r="G91" s="3"/>
      <c r="H91" s="7">
        <v>2716.71</v>
      </c>
      <c r="I91" s="3"/>
      <c r="J91" s="8">
        <f t="shared" si="13"/>
        <v>6.3161335129039552E-3</v>
      </c>
      <c r="K91" s="3"/>
      <c r="L91" s="7">
        <f t="shared" si="14"/>
        <v>1046.6199999999999</v>
      </c>
      <c r="M91" s="3"/>
      <c r="N91" s="8">
        <f t="shared" si="15"/>
        <v>0.38525275056962277</v>
      </c>
      <c r="O91" s="12"/>
      <c r="P91" s="7">
        <v>31233.61</v>
      </c>
      <c r="Q91" s="3"/>
      <c r="R91" s="8">
        <f t="shared" si="16"/>
        <v>6.1720632295362296E-3</v>
      </c>
      <c r="S91" s="3"/>
      <c r="T91" s="7">
        <v>33069.97</v>
      </c>
      <c r="U91" s="3"/>
      <c r="V91" s="8">
        <f t="shared" si="17"/>
        <v>1.4141967884797666E-2</v>
      </c>
      <c r="W91" s="3"/>
      <c r="X91" s="7">
        <f t="shared" si="18"/>
        <v>-1836.3600000000006</v>
      </c>
      <c r="Y91" s="3"/>
      <c r="Z91" s="8">
        <f t="shared" si="19"/>
        <v>-5.5529533289567556E-2</v>
      </c>
    </row>
    <row r="92" spans="1:26" s="69" customFormat="1" ht="15" hidden="1" customHeight="1" outlineLevel="2" x14ac:dyDescent="0.25">
      <c r="A92" s="25"/>
      <c r="B92" s="12" t="str">
        <f>CONCATENATE("          ","6112"," - ","COMPENSATION INSURANCE")</f>
        <v xml:space="preserve">          6112 - COMPENSATION INSURANCE</v>
      </c>
      <c r="C92" s="12"/>
      <c r="D92" s="7">
        <v>1805.43</v>
      </c>
      <c r="E92" s="3"/>
      <c r="F92" s="8">
        <f t="shared" si="12"/>
        <v>2.2680133438974554E-3</v>
      </c>
      <c r="G92" s="3"/>
      <c r="H92" s="7">
        <v>1119.1099999999999</v>
      </c>
      <c r="I92" s="3"/>
      <c r="J92" s="8">
        <f t="shared" si="13"/>
        <v>2.6018412622716243E-3</v>
      </c>
      <c r="K92" s="3"/>
      <c r="L92" s="7">
        <f t="shared" si="14"/>
        <v>686.32000000000016</v>
      </c>
      <c r="M92" s="3"/>
      <c r="N92" s="8">
        <f t="shared" si="15"/>
        <v>0.61327304733225529</v>
      </c>
      <c r="O92" s="12"/>
      <c r="P92" s="7">
        <v>12006.8</v>
      </c>
      <c r="Q92" s="3"/>
      <c r="R92" s="8">
        <f t="shared" si="16"/>
        <v>2.3726597336777783E-3</v>
      </c>
      <c r="S92" s="3"/>
      <c r="T92" s="7">
        <v>11300.8</v>
      </c>
      <c r="U92" s="3"/>
      <c r="V92" s="8">
        <f t="shared" si="17"/>
        <v>4.8326487950403774E-3</v>
      </c>
      <c r="W92" s="3"/>
      <c r="X92" s="7">
        <f t="shared" si="18"/>
        <v>706</v>
      </c>
      <c r="Y92" s="3"/>
      <c r="Z92" s="8">
        <f t="shared" si="19"/>
        <v>6.2473453206852617E-2</v>
      </c>
    </row>
    <row r="93" spans="1:26" s="69" customFormat="1" ht="15" hidden="1" customHeight="1" outlineLevel="2" x14ac:dyDescent="0.25">
      <c r="A93" s="25"/>
      <c r="B93" s="12" t="str">
        <f>CONCATENATE("          ","6113"," - ","GROUP INSURANCE")</f>
        <v xml:space="preserve">          6113 - GROUP INSURANCE</v>
      </c>
      <c r="C93" s="12"/>
      <c r="D93" s="7">
        <v>3865.43</v>
      </c>
      <c r="E93" s="3"/>
      <c r="F93" s="8">
        <f t="shared" si="12"/>
        <v>4.8558220589563382E-3</v>
      </c>
      <c r="G93" s="3"/>
      <c r="H93" s="7">
        <v>4822.38</v>
      </c>
      <c r="I93" s="3"/>
      <c r="J93" s="8">
        <f t="shared" si="13"/>
        <v>1.1211647886582585E-2</v>
      </c>
      <c r="K93" s="3"/>
      <c r="L93" s="7">
        <f t="shared" si="14"/>
        <v>-956.95000000000027</v>
      </c>
      <c r="M93" s="3"/>
      <c r="N93" s="8">
        <f t="shared" si="15"/>
        <v>-0.19843935981818112</v>
      </c>
      <c r="O93" s="12"/>
      <c r="P93" s="7">
        <v>49857.04</v>
      </c>
      <c r="Q93" s="3"/>
      <c r="R93" s="8">
        <f t="shared" si="16"/>
        <v>9.8522330053271781E-3</v>
      </c>
      <c r="S93" s="3"/>
      <c r="T93" s="7">
        <v>58234.559999999998</v>
      </c>
      <c r="U93" s="3"/>
      <c r="V93" s="8">
        <f t="shared" si="17"/>
        <v>2.4903296776662413E-2</v>
      </c>
      <c r="W93" s="3"/>
      <c r="X93" s="7">
        <f t="shared" si="18"/>
        <v>-8377.5199999999968</v>
      </c>
      <c r="Y93" s="3"/>
      <c r="Z93" s="8">
        <f t="shared" si="19"/>
        <v>-0.14385821752581279</v>
      </c>
    </row>
    <row r="94" spans="1:26" s="69" customFormat="1" ht="15" hidden="1" customHeight="1" outlineLevel="2" x14ac:dyDescent="0.25">
      <c r="A94" s="25"/>
      <c r="B94" s="12" t="str">
        <f>CONCATENATE("          ","6114"," - ","STATE UNEMPLOYMENT INSURANCE")</f>
        <v xml:space="preserve">          6114 - STATE UNEMPLOYMENT INSURANCE</v>
      </c>
      <c r="C94" s="12"/>
      <c r="D94" s="7">
        <v>317.17</v>
      </c>
      <c r="E94" s="3"/>
      <c r="F94" s="8">
        <f t="shared" si="12"/>
        <v>3.9843460687146885E-4</v>
      </c>
      <c r="G94" s="3"/>
      <c r="H94" s="7">
        <v>157.28</v>
      </c>
      <c r="I94" s="3"/>
      <c r="J94" s="8">
        <f t="shared" si="13"/>
        <v>3.6566342337221642E-4</v>
      </c>
      <c r="K94" s="3"/>
      <c r="L94" s="7">
        <f t="shared" si="14"/>
        <v>159.89000000000001</v>
      </c>
      <c r="M94" s="3"/>
      <c r="N94" s="8">
        <f t="shared" si="15"/>
        <v>1.0165946083418109</v>
      </c>
      <c r="O94" s="12"/>
      <c r="P94" s="7">
        <v>2110.4499999999998</v>
      </c>
      <c r="Q94" s="3"/>
      <c r="R94" s="8">
        <f t="shared" si="16"/>
        <v>4.1704531889764695E-4</v>
      </c>
      <c r="S94" s="3"/>
      <c r="T94" s="7">
        <v>1390.21</v>
      </c>
      <c r="U94" s="3"/>
      <c r="V94" s="8">
        <f t="shared" si="17"/>
        <v>5.9450628993992316E-4</v>
      </c>
      <c r="W94" s="3"/>
      <c r="X94" s="7">
        <f t="shared" si="18"/>
        <v>720.23999999999978</v>
      </c>
      <c r="Y94" s="3"/>
      <c r="Z94" s="8">
        <f t="shared" si="19"/>
        <v>0.51808000230181039</v>
      </c>
    </row>
    <row r="95" spans="1:26" s="69" customFormat="1" ht="15" hidden="1" customHeight="1" outlineLevel="2" x14ac:dyDescent="0.25">
      <c r="A95" s="25"/>
      <c r="B95" s="12" t="str">
        <f>CONCATENATE("          ","6115"," - ","P.E.R.S.")</f>
        <v xml:space="preserve">          6115 - P.E.R.S.</v>
      </c>
      <c r="C95" s="12"/>
      <c r="D95" s="7">
        <v>1088.73</v>
      </c>
      <c r="E95" s="3"/>
      <c r="F95" s="8">
        <f t="shared" si="12"/>
        <v>1.3676820302650763E-3</v>
      </c>
      <c r="G95" s="3"/>
      <c r="H95" s="7">
        <v>1916.82</v>
      </c>
      <c r="I95" s="3"/>
      <c r="J95" s="8">
        <f t="shared" si="13"/>
        <v>4.4564532247477863E-3</v>
      </c>
      <c r="K95" s="3"/>
      <c r="L95" s="7">
        <f t="shared" si="14"/>
        <v>-828.08999999999992</v>
      </c>
      <c r="M95" s="3"/>
      <c r="N95" s="8">
        <f t="shared" si="15"/>
        <v>-0.43201239553009668</v>
      </c>
      <c r="O95" s="12"/>
      <c r="P95" s="7">
        <v>17223.62</v>
      </c>
      <c r="Q95" s="3"/>
      <c r="R95" s="8">
        <f t="shared" si="16"/>
        <v>3.4035537896997749E-3</v>
      </c>
      <c r="S95" s="3"/>
      <c r="T95" s="7">
        <v>21923.18</v>
      </c>
      <c r="U95" s="3"/>
      <c r="V95" s="8">
        <f t="shared" si="17"/>
        <v>9.3751795811317182E-3</v>
      </c>
      <c r="W95" s="3"/>
      <c r="X95" s="7">
        <f t="shared" si="18"/>
        <v>-4699.5600000000013</v>
      </c>
      <c r="Y95" s="3"/>
      <c r="Z95" s="8">
        <f t="shared" si="19"/>
        <v>-0.21436488684579524</v>
      </c>
    </row>
    <row r="96" spans="1:26" s="69" customFormat="1" ht="15" hidden="1" customHeight="1" outlineLevel="2" x14ac:dyDescent="0.25">
      <c r="A96" s="25"/>
      <c r="B96" s="12" t="str">
        <f>CONCATENATE("          ","6118"," - ","VACATION")</f>
        <v xml:space="preserve">          6118 - VACATION</v>
      </c>
      <c r="C96" s="12"/>
      <c r="D96" s="7">
        <v>1416.42</v>
      </c>
      <c r="E96" s="3"/>
      <c r="F96" s="8">
        <f t="shared" si="12"/>
        <v>1.7793320486328653E-3</v>
      </c>
      <c r="G96" s="3"/>
      <c r="H96" s="7">
        <v>1633.18</v>
      </c>
      <c r="I96" s="3"/>
      <c r="J96" s="8">
        <f t="shared" si="13"/>
        <v>3.797012905538126E-3</v>
      </c>
      <c r="K96" s="3"/>
      <c r="L96" s="7">
        <f t="shared" si="14"/>
        <v>-216.76</v>
      </c>
      <c r="M96" s="3"/>
      <c r="N96" s="8">
        <f t="shared" si="15"/>
        <v>-0.13272266376027136</v>
      </c>
      <c r="O96" s="12"/>
      <c r="P96" s="7">
        <v>21605.919999999998</v>
      </c>
      <c r="Q96" s="3"/>
      <c r="R96" s="8">
        <f t="shared" si="16"/>
        <v>4.2695386275330132E-3</v>
      </c>
      <c r="S96" s="3"/>
      <c r="T96" s="7">
        <v>19345.54</v>
      </c>
      <c r="U96" s="3"/>
      <c r="V96" s="8">
        <f t="shared" si="17"/>
        <v>8.2728833861678321E-3</v>
      </c>
      <c r="W96" s="3"/>
      <c r="X96" s="7">
        <f t="shared" si="18"/>
        <v>2260.3799999999974</v>
      </c>
      <c r="Y96" s="3"/>
      <c r="Z96" s="8">
        <f t="shared" si="19"/>
        <v>0.11684243500052194</v>
      </c>
    </row>
    <row r="97" spans="1:26" s="69" customFormat="1" ht="15" hidden="1" customHeight="1" outlineLevel="2" x14ac:dyDescent="0.25">
      <c r="A97" s="25"/>
      <c r="B97" s="12" t="str">
        <f>CONCATENATE("          ","6119"," - ","SICK LEAVE")</f>
        <v xml:space="preserve">          6119 - SICK LEAVE</v>
      </c>
      <c r="C97" s="12"/>
      <c r="D97" s="7">
        <v>1322.54</v>
      </c>
      <c r="E97" s="3"/>
      <c r="F97" s="8">
        <f t="shared" si="12"/>
        <v>1.6613983194242593E-3</v>
      </c>
      <c r="G97" s="3"/>
      <c r="H97" s="7">
        <v>1105.6199999999999</v>
      </c>
      <c r="I97" s="3"/>
      <c r="J97" s="8">
        <f t="shared" si="13"/>
        <v>2.5704780909765381E-3</v>
      </c>
      <c r="K97" s="3"/>
      <c r="L97" s="7">
        <f t="shared" si="14"/>
        <v>216.92000000000007</v>
      </c>
      <c r="M97" s="3"/>
      <c r="N97" s="8">
        <f t="shared" si="15"/>
        <v>0.19619760858161039</v>
      </c>
      <c r="O97" s="12"/>
      <c r="P97" s="7">
        <v>18967.11</v>
      </c>
      <c r="Q97" s="3"/>
      <c r="R97" s="8">
        <f t="shared" si="16"/>
        <v>3.7480842656858722E-3</v>
      </c>
      <c r="S97" s="3"/>
      <c r="T97" s="7">
        <v>14000.69</v>
      </c>
      <c r="U97" s="3"/>
      <c r="V97" s="8">
        <f t="shared" si="17"/>
        <v>5.9872237061299972E-3</v>
      </c>
      <c r="W97" s="3"/>
      <c r="X97" s="7">
        <f t="shared" si="18"/>
        <v>4966.42</v>
      </c>
      <c r="Y97" s="3"/>
      <c r="Z97" s="8">
        <f t="shared" si="19"/>
        <v>0.35472680275043589</v>
      </c>
    </row>
    <row r="98" spans="1:26" s="69" customFormat="1" ht="15" hidden="1" customHeight="1" outlineLevel="2" x14ac:dyDescent="0.25">
      <c r="A98" s="25"/>
      <c r="B98" s="12" t="str">
        <f>CONCATENATE("          ","6156"," - ","EMPLOYEE MEALS")</f>
        <v xml:space="preserve">          6156 - EMPLOYEE MEALS</v>
      </c>
      <c r="C98" s="12"/>
      <c r="D98" s="7">
        <v>1004.05</v>
      </c>
      <c r="E98" s="3"/>
      <c r="F98" s="8">
        <f t="shared" si="12"/>
        <v>1.2613055050266363E-3</v>
      </c>
      <c r="G98" s="3"/>
      <c r="H98" s="7">
        <v>483.07</v>
      </c>
      <c r="I98" s="3"/>
      <c r="J98" s="8">
        <f t="shared" si="13"/>
        <v>1.1230991221287932E-3</v>
      </c>
      <c r="K98" s="3"/>
      <c r="L98" s="7">
        <f t="shared" si="14"/>
        <v>520.98</v>
      </c>
      <c r="M98" s="3"/>
      <c r="N98" s="8">
        <f t="shared" si="15"/>
        <v>1.0784772393234936</v>
      </c>
      <c r="O98" s="12"/>
      <c r="P98" s="7">
        <v>9218.5300000000007</v>
      </c>
      <c r="Q98" s="3"/>
      <c r="R98" s="8">
        <f t="shared" si="16"/>
        <v>1.821670631200704E-3</v>
      </c>
      <c r="S98" s="3"/>
      <c r="T98" s="7">
        <v>5156.16</v>
      </c>
      <c r="U98" s="3"/>
      <c r="V98" s="8">
        <f t="shared" si="17"/>
        <v>2.2049687111563247E-3</v>
      </c>
      <c r="W98" s="3"/>
      <c r="X98" s="7">
        <f t="shared" si="18"/>
        <v>4062.3700000000008</v>
      </c>
      <c r="Y98" s="3"/>
      <c r="Z98" s="8">
        <f t="shared" si="19"/>
        <v>0.78786732762365808</v>
      </c>
    </row>
    <row r="99" spans="1:26" s="68" customFormat="1" ht="15" customHeight="1" outlineLevel="1" collapsed="1" x14ac:dyDescent="0.25">
      <c r="A99" s="26"/>
      <c r="B99" s="14" t="str">
        <f>CONCATENATE("     ","*Payroll                                          ")</f>
        <v xml:space="preserve">     *Payroll                                          </v>
      </c>
      <c r="C99" s="14"/>
      <c r="D99" s="2">
        <f>SUM(OSRRefD22_1x_0)</f>
        <v>81907.7</v>
      </c>
      <c r="E99" s="2"/>
      <c r="F99" s="6">
        <f t="shared" si="12"/>
        <v>0.10289391256816914</v>
      </c>
      <c r="G99" s="2"/>
      <c r="H99" s="2">
        <f>SUM(OSRRefH22_1x_0)</f>
        <v>41678.82</v>
      </c>
      <c r="I99" s="2"/>
      <c r="J99" s="6">
        <f t="shared" si="13"/>
        <v>9.689992372402341E-2</v>
      </c>
      <c r="K99" s="2"/>
      <c r="L99" s="2">
        <f t="shared" si="14"/>
        <v>40228.879999999997</v>
      </c>
      <c r="M99" s="2"/>
      <c r="N99" s="6">
        <f t="shared" si="15"/>
        <v>0.96521158708427923</v>
      </c>
      <c r="O99" s="14"/>
      <c r="P99" s="2">
        <f>SUM(OSRRefP22_1x_0)</f>
        <v>796675.76</v>
      </c>
      <c r="Q99" s="2"/>
      <c r="R99" s="6">
        <f t="shared" si="16"/>
        <v>0.1574308305751026</v>
      </c>
      <c r="S99" s="2"/>
      <c r="T99" s="2">
        <f>SUM(OSRRefT22_1x_0)</f>
        <v>438770.95</v>
      </c>
      <c r="U99" s="2"/>
      <c r="V99" s="6">
        <f t="shared" si="17"/>
        <v>0.18763502608808422</v>
      </c>
      <c r="W99" s="2"/>
      <c r="X99" s="2">
        <f t="shared" si="18"/>
        <v>357904.81</v>
      </c>
      <c r="Y99" s="2"/>
      <c r="Z99" s="6">
        <f t="shared" si="19"/>
        <v>0.81569850966660395</v>
      </c>
    </row>
    <row r="100" spans="1:26" s="69" customFormat="1" ht="15" hidden="1" customHeight="1" outlineLevel="2" x14ac:dyDescent="0.25">
      <c r="A100" s="25"/>
      <c r="B100" s="12" t="str">
        <f>CONCATENATE("          ","6002"," - ","STAFF SALARIES")</f>
        <v xml:space="preserve">          6002 - STAFF SALARIES</v>
      </c>
      <c r="C100" s="12"/>
      <c r="D100" s="7">
        <v>10399.040000000001</v>
      </c>
      <c r="E100" s="3"/>
      <c r="F100" s="8">
        <f t="shared" si="12"/>
        <v>1.3063459388468895E-2</v>
      </c>
      <c r="G100" s="3"/>
      <c r="H100" s="7">
        <v>20908.71</v>
      </c>
      <c r="I100" s="3"/>
      <c r="J100" s="8">
        <f t="shared" si="13"/>
        <v>4.8611078820555029E-2</v>
      </c>
      <c r="K100" s="3"/>
      <c r="L100" s="7">
        <f t="shared" si="14"/>
        <v>-10509.669999999998</v>
      </c>
      <c r="M100" s="3"/>
      <c r="N100" s="8">
        <f t="shared" si="15"/>
        <v>-0.50264554819498664</v>
      </c>
      <c r="O100" s="12"/>
      <c r="P100" s="7">
        <v>168288.56</v>
      </c>
      <c r="Q100" s="3"/>
      <c r="R100" s="8">
        <f t="shared" si="16"/>
        <v>3.3255446076441417E-2</v>
      </c>
      <c r="S100" s="3"/>
      <c r="T100" s="7">
        <v>208039.32</v>
      </c>
      <c r="U100" s="3"/>
      <c r="V100" s="8">
        <f t="shared" si="17"/>
        <v>8.8965468738409645E-2</v>
      </c>
      <c r="W100" s="3"/>
      <c r="X100" s="7">
        <f t="shared" si="18"/>
        <v>-39750.760000000009</v>
      </c>
      <c r="Y100" s="3"/>
      <c r="Z100" s="8">
        <f t="shared" si="19"/>
        <v>-0.1910733028737068</v>
      </c>
    </row>
    <row r="101" spans="1:26" s="69" customFormat="1" ht="15" hidden="1" customHeight="1" outlineLevel="2" x14ac:dyDescent="0.25">
      <c r="A101" s="25"/>
      <c r="B101" s="12" t="str">
        <f>CONCATENATE("          ","6004"," - ","STAFF HOURLY")</f>
        <v xml:space="preserve">          6004 - STAFF HOURLY</v>
      </c>
      <c r="C101" s="12"/>
      <c r="D101" s="7">
        <v>16731.25</v>
      </c>
      <c r="E101" s="3"/>
      <c r="F101" s="8">
        <f t="shared" si="12"/>
        <v>2.1018094448460645E-2</v>
      </c>
      <c r="G101" s="3"/>
      <c r="H101" s="7">
        <v>3964.52</v>
      </c>
      <c r="I101" s="3"/>
      <c r="J101" s="8">
        <f t="shared" si="13"/>
        <v>9.2171919838989029E-3</v>
      </c>
      <c r="K101" s="3"/>
      <c r="L101" s="7">
        <f t="shared" si="14"/>
        <v>12766.73</v>
      </c>
      <c r="M101" s="3"/>
      <c r="N101" s="8">
        <f t="shared" si="15"/>
        <v>3.220246082754028</v>
      </c>
      <c r="O101" s="12"/>
      <c r="P101" s="7">
        <v>121897.63</v>
      </c>
      <c r="Q101" s="3"/>
      <c r="R101" s="8">
        <f t="shared" si="16"/>
        <v>2.4088149909364059E-2</v>
      </c>
      <c r="S101" s="3"/>
      <c r="T101" s="7">
        <v>62012.27</v>
      </c>
      <c r="U101" s="3"/>
      <c r="V101" s="8">
        <f t="shared" si="17"/>
        <v>2.6518788217933117E-2</v>
      </c>
      <c r="W101" s="3"/>
      <c r="X101" s="7">
        <f t="shared" si="18"/>
        <v>59885.360000000008</v>
      </c>
      <c r="Y101" s="3"/>
      <c r="Z101" s="8">
        <f t="shared" si="19"/>
        <v>0.96570178772684845</v>
      </c>
    </row>
    <row r="102" spans="1:26" s="69" customFormat="1" ht="15" hidden="1" customHeight="1" outlineLevel="2" x14ac:dyDescent="0.25">
      <c r="A102" s="25"/>
      <c r="B102" s="12" t="str">
        <f>CONCATENATE("          ","6005"," - ","TEMPORARY WAGES-HOURLY")</f>
        <v xml:space="preserve">          6005 - TEMPORARY WAGES-HOURLY</v>
      </c>
      <c r="C102" s="12"/>
      <c r="D102" s="7"/>
      <c r="E102" s="3"/>
      <c r="F102" s="8">
        <f t="shared" si="12"/>
        <v>0</v>
      </c>
      <c r="G102" s="3"/>
      <c r="H102" s="7">
        <v>2557.67</v>
      </c>
      <c r="I102" s="3"/>
      <c r="J102" s="8">
        <f t="shared" si="13"/>
        <v>5.9463782302671469E-3</v>
      </c>
      <c r="K102" s="3"/>
      <c r="L102" s="7">
        <f t="shared" si="14"/>
        <v>-2557.67</v>
      </c>
      <c r="M102" s="3"/>
      <c r="N102" s="8">
        <f t="shared" si="15"/>
        <v>-1</v>
      </c>
      <c r="O102" s="12"/>
      <c r="P102" s="7">
        <v>36130.53</v>
      </c>
      <c r="Q102" s="3"/>
      <c r="R102" s="8">
        <f t="shared" si="16"/>
        <v>7.1397419535127581E-3</v>
      </c>
      <c r="S102" s="3"/>
      <c r="T102" s="7">
        <v>67318.929999999993</v>
      </c>
      <c r="U102" s="3"/>
      <c r="V102" s="8">
        <f t="shared" si="17"/>
        <v>2.8788116411927255E-2</v>
      </c>
      <c r="W102" s="3"/>
      <c r="X102" s="7">
        <f t="shared" si="18"/>
        <v>-31188.399999999994</v>
      </c>
      <c r="Y102" s="3"/>
      <c r="Z102" s="8">
        <f t="shared" si="19"/>
        <v>-0.46329316285924327</v>
      </c>
    </row>
    <row r="103" spans="1:26" s="69" customFormat="1" ht="15" hidden="1" customHeight="1" outlineLevel="2" x14ac:dyDescent="0.25">
      <c r="A103" s="25"/>
      <c r="B103" s="12" t="str">
        <f>CONCATENATE("          ","6006"," - ","TEMPORARY PART TIME")</f>
        <v xml:space="preserve">          6006 - TEMPORARY PART TIME</v>
      </c>
      <c r="C103" s="12"/>
      <c r="D103" s="7"/>
      <c r="E103" s="3"/>
      <c r="F103" s="8">
        <f t="shared" si="12"/>
        <v>0</v>
      </c>
      <c r="G103" s="3"/>
      <c r="H103" s="7">
        <v>1314.52</v>
      </c>
      <c r="I103" s="3"/>
      <c r="J103" s="8">
        <f t="shared" si="13"/>
        <v>3.0561538866432218E-3</v>
      </c>
      <c r="K103" s="3"/>
      <c r="L103" s="7">
        <f t="shared" si="14"/>
        <v>-1314.52</v>
      </c>
      <c r="M103" s="3"/>
      <c r="N103" s="8">
        <f t="shared" si="15"/>
        <v>-1</v>
      </c>
      <c r="O103" s="12"/>
      <c r="P103" s="7"/>
      <c r="Q103" s="3"/>
      <c r="R103" s="8">
        <f t="shared" si="16"/>
        <v>0</v>
      </c>
      <c r="S103" s="3"/>
      <c r="T103" s="7">
        <v>6292.6</v>
      </c>
      <c r="U103" s="3"/>
      <c r="V103" s="8">
        <f t="shared" si="17"/>
        <v>2.6909533668121803E-3</v>
      </c>
      <c r="W103" s="3"/>
      <c r="X103" s="7">
        <f t="shared" si="18"/>
        <v>-6292.6</v>
      </c>
      <c r="Y103" s="3"/>
      <c r="Z103" s="8">
        <f t="shared" si="19"/>
        <v>-1</v>
      </c>
    </row>
    <row r="104" spans="1:26" s="69" customFormat="1" ht="15" hidden="1" customHeight="1" outlineLevel="2" x14ac:dyDescent="0.25">
      <c r="A104" s="25"/>
      <c r="B104" s="12" t="str">
        <f>CONCATENATE("          ","6007"," - ","STUDENT HOURLY")</f>
        <v xml:space="preserve">          6007 - STUDENT HOURLY</v>
      </c>
      <c r="C104" s="12"/>
      <c r="D104" s="7">
        <v>45858.17</v>
      </c>
      <c r="E104" s="3"/>
      <c r="F104" s="8">
        <f t="shared" si="12"/>
        <v>5.7607850477015429E-2</v>
      </c>
      <c r="G104" s="3"/>
      <c r="H104" s="7">
        <v>10393.94</v>
      </c>
      <c r="I104" s="3"/>
      <c r="J104" s="8">
        <f t="shared" si="13"/>
        <v>2.4165079366260271E-2</v>
      </c>
      <c r="K104" s="3"/>
      <c r="L104" s="7">
        <f t="shared" si="14"/>
        <v>35464.229999999996</v>
      </c>
      <c r="M104" s="3"/>
      <c r="N104" s="8">
        <f t="shared" si="15"/>
        <v>3.4120102675212665</v>
      </c>
      <c r="O104" s="12"/>
      <c r="P104" s="7">
        <v>375582.55</v>
      </c>
      <c r="Q104" s="3"/>
      <c r="R104" s="8">
        <f t="shared" si="16"/>
        <v>7.4218742134209023E-2</v>
      </c>
      <c r="S104" s="3"/>
      <c r="T104" s="7">
        <v>83533.679999999993</v>
      </c>
      <c r="U104" s="3"/>
      <c r="V104" s="8">
        <f t="shared" si="17"/>
        <v>3.5722155776342253E-2</v>
      </c>
      <c r="W104" s="3"/>
      <c r="X104" s="7">
        <f t="shared" si="18"/>
        <v>292048.87</v>
      </c>
      <c r="Y104" s="3"/>
      <c r="Z104" s="8">
        <f t="shared" si="19"/>
        <v>3.4961810613395703</v>
      </c>
    </row>
    <row r="105" spans="1:26" s="69" customFormat="1" ht="15" hidden="1" customHeight="1" outlineLevel="2" x14ac:dyDescent="0.25">
      <c r="A105" s="25"/>
      <c r="B105" s="12" t="str">
        <f>CONCATENATE("          ","6008"," - ","STUDENT HOURLY-FICA EXEMPT")</f>
        <v xml:space="preserve">          6008 - STUDENT HOURLY-FICA EXEMPT</v>
      </c>
      <c r="C105" s="12"/>
      <c r="D105" s="7">
        <v>8919.24</v>
      </c>
      <c r="E105" s="3"/>
      <c r="F105" s="8">
        <f t="shared" si="12"/>
        <v>1.1204508254224168E-2</v>
      </c>
      <c r="G105" s="3"/>
      <c r="H105" s="7">
        <v>2539.46</v>
      </c>
      <c r="I105" s="3"/>
      <c r="J105" s="8">
        <f t="shared" si="13"/>
        <v>5.9040414363988351E-3</v>
      </c>
      <c r="K105" s="3"/>
      <c r="L105" s="7">
        <f t="shared" si="14"/>
        <v>6379.78</v>
      </c>
      <c r="M105" s="3"/>
      <c r="N105" s="8">
        <f t="shared" si="15"/>
        <v>2.5122585116520835</v>
      </c>
      <c r="O105" s="12"/>
      <c r="P105" s="7">
        <v>94776.49</v>
      </c>
      <c r="Q105" s="3"/>
      <c r="R105" s="8">
        <f t="shared" si="16"/>
        <v>1.8728750501575329E-2</v>
      </c>
      <c r="S105" s="3"/>
      <c r="T105" s="7">
        <v>11574.15</v>
      </c>
      <c r="U105" s="3"/>
      <c r="V105" s="8">
        <f t="shared" si="17"/>
        <v>4.949543576659758E-3</v>
      </c>
      <c r="W105" s="3"/>
      <c r="X105" s="7">
        <f t="shared" si="18"/>
        <v>83202.340000000011</v>
      </c>
      <c r="Y105" s="3"/>
      <c r="Z105" s="8">
        <f t="shared" si="19"/>
        <v>7.1886350185542796</v>
      </c>
    </row>
    <row r="106" spans="1:26" s="68" customFormat="1" ht="15" customHeight="1" outlineLevel="1" collapsed="1" x14ac:dyDescent="0.25">
      <c r="A106" s="26"/>
      <c r="B106" s="14" t="str">
        <f>CONCATENATE("     ","Advertising/Promo                                 ")</f>
        <v xml:space="preserve">     Advertising/Promo                                 </v>
      </c>
      <c r="C106" s="14"/>
      <c r="D106" s="2">
        <f>SUM(OSRRefD22_2x_0)</f>
        <v>1245.48</v>
      </c>
      <c r="E106" s="2"/>
      <c r="F106" s="6">
        <f t="shared" si="12"/>
        <v>1.5645941739958918E-3</v>
      </c>
      <c r="G106" s="2"/>
      <c r="H106" s="2">
        <f>SUM(OSRRefH22_2x_0)</f>
        <v>-340.93</v>
      </c>
      <c r="I106" s="2"/>
      <c r="J106" s="6">
        <f t="shared" si="13"/>
        <v>-7.9263498811221863E-4</v>
      </c>
      <c r="K106" s="2"/>
      <c r="L106" s="2">
        <f t="shared" si="14"/>
        <v>1586.41</v>
      </c>
      <c r="M106" s="2"/>
      <c r="N106" s="6">
        <f t="shared" si="15"/>
        <v>-4.6531839380517992</v>
      </c>
      <c r="O106" s="14"/>
      <c r="P106" s="2">
        <f>SUM(OSRRefP22_2x_0)</f>
        <v>12134.69</v>
      </c>
      <c r="Q106" s="2"/>
      <c r="R106" s="6">
        <f t="shared" si="16"/>
        <v>2.3979320338193694E-3</v>
      </c>
      <c r="S106" s="2"/>
      <c r="T106" s="2">
        <f>SUM(OSRRefT22_2x_0)</f>
        <v>14637.53</v>
      </c>
      <c r="U106" s="2"/>
      <c r="V106" s="6">
        <f t="shared" si="17"/>
        <v>6.259560537029891E-3</v>
      </c>
      <c r="W106" s="2"/>
      <c r="X106" s="2">
        <f t="shared" si="18"/>
        <v>-2502.84</v>
      </c>
      <c r="Y106" s="2"/>
      <c r="Z106" s="6">
        <f t="shared" si="19"/>
        <v>-0.17098786475587069</v>
      </c>
    </row>
    <row r="107" spans="1:26" s="69" customFormat="1" ht="15" hidden="1" customHeight="1" outlineLevel="2" x14ac:dyDescent="0.25">
      <c r="A107" s="25"/>
      <c r="B107" s="12" t="str">
        <f>CONCATENATE("          ","6362"," - ","ADVERTISING EXPENSE")</f>
        <v xml:space="preserve">          6362 - ADVERTISING EXPENSE</v>
      </c>
      <c r="C107" s="12"/>
      <c r="D107" s="7">
        <v>1245.48</v>
      </c>
      <c r="E107" s="3"/>
      <c r="F107" s="8">
        <f t="shared" si="12"/>
        <v>1.5645941739958918E-3</v>
      </c>
      <c r="G107" s="3"/>
      <c r="H107" s="7">
        <v>-340.93</v>
      </c>
      <c r="I107" s="3"/>
      <c r="J107" s="8">
        <f t="shared" si="13"/>
        <v>-7.9263498811221863E-4</v>
      </c>
      <c r="K107" s="3"/>
      <c r="L107" s="7">
        <f t="shared" si="14"/>
        <v>1586.41</v>
      </c>
      <c r="M107" s="3"/>
      <c r="N107" s="8">
        <f t="shared" si="15"/>
        <v>-4.6531839380517992</v>
      </c>
      <c r="O107" s="12"/>
      <c r="P107" s="7">
        <v>12134.69</v>
      </c>
      <c r="Q107" s="3"/>
      <c r="R107" s="8">
        <f t="shared" si="16"/>
        <v>2.3979320338193694E-3</v>
      </c>
      <c r="S107" s="3"/>
      <c r="T107" s="7">
        <v>14637.53</v>
      </c>
      <c r="U107" s="3"/>
      <c r="V107" s="8">
        <f t="shared" si="17"/>
        <v>6.259560537029891E-3</v>
      </c>
      <c r="W107" s="3"/>
      <c r="X107" s="7">
        <f t="shared" si="18"/>
        <v>-2502.84</v>
      </c>
      <c r="Y107" s="3"/>
      <c r="Z107" s="8">
        <f t="shared" si="19"/>
        <v>-0.17098786475587069</v>
      </c>
    </row>
    <row r="108" spans="1:26" s="68" customFormat="1" ht="15" customHeight="1" outlineLevel="1" collapsed="1" x14ac:dyDescent="0.25">
      <c r="A108" s="26"/>
      <c r="B108" s="14" t="str">
        <f>CONCATENATE("     ","Bad Debts/Over/Short                              ")</f>
        <v xml:space="preserve">     Bad Debts/Over/Short                              </v>
      </c>
      <c r="C108" s="14"/>
      <c r="D108" s="2">
        <f>SUM(OSRRefD22_3x_0)</f>
        <v>-4.79</v>
      </c>
      <c r="E108" s="2"/>
      <c r="F108" s="6">
        <f t="shared" si="12"/>
        <v>-6.0172833714233241E-6</v>
      </c>
      <c r="G108" s="2"/>
      <c r="H108" s="2">
        <f>SUM(OSRRefH22_3x_0)</f>
        <v>-1.4</v>
      </c>
      <c r="I108" s="2"/>
      <c r="J108" s="6">
        <f t="shared" si="13"/>
        <v>-3.2548880513803596E-6</v>
      </c>
      <c r="K108" s="2"/>
      <c r="L108" s="2">
        <f t="shared" si="14"/>
        <v>-3.39</v>
      </c>
      <c r="M108" s="2"/>
      <c r="N108" s="6">
        <f t="shared" si="15"/>
        <v>2.4214285714285717</v>
      </c>
      <c r="O108" s="14"/>
      <c r="P108" s="2">
        <f>SUM(OSRRefP22_3x_0)</f>
        <v>-61.71</v>
      </c>
      <c r="Q108" s="2"/>
      <c r="R108" s="6">
        <f t="shared" si="16"/>
        <v>-1.219449246803942E-5</v>
      </c>
      <c r="S108" s="2"/>
      <c r="T108" s="2">
        <f>SUM(OSRRefT22_3x_0)</f>
        <v>-23.4</v>
      </c>
      <c r="U108" s="2"/>
      <c r="V108" s="6">
        <f t="shared" si="17"/>
        <v>-1.0006723577440964E-5</v>
      </c>
      <c r="W108" s="2"/>
      <c r="X108" s="2">
        <f t="shared" si="18"/>
        <v>-38.31</v>
      </c>
      <c r="Y108" s="2"/>
      <c r="Z108" s="6">
        <f t="shared" si="19"/>
        <v>1.6371794871794874</v>
      </c>
    </row>
    <row r="109" spans="1:26" s="69" customFormat="1" ht="15" hidden="1" customHeight="1" outlineLevel="2" x14ac:dyDescent="0.25">
      <c r="A109" s="25"/>
      <c r="B109" s="12" t="str">
        <f>CONCATENATE("          ","6272"," - ","CASH (OVER/SHORT)")</f>
        <v xml:space="preserve">          6272 - CASH (OVER/SHORT)</v>
      </c>
      <c r="C109" s="12"/>
      <c r="D109" s="7">
        <v>-4.79</v>
      </c>
      <c r="E109" s="3"/>
      <c r="F109" s="8">
        <f t="shared" si="12"/>
        <v>-6.0172833714233241E-6</v>
      </c>
      <c r="G109" s="3"/>
      <c r="H109" s="7">
        <v>-1.4</v>
      </c>
      <c r="I109" s="3"/>
      <c r="J109" s="8">
        <f t="shared" si="13"/>
        <v>-3.2548880513803596E-6</v>
      </c>
      <c r="K109" s="3"/>
      <c r="L109" s="7">
        <f t="shared" si="14"/>
        <v>-3.39</v>
      </c>
      <c r="M109" s="3"/>
      <c r="N109" s="8">
        <f t="shared" si="15"/>
        <v>2.4214285714285717</v>
      </c>
      <c r="O109" s="12"/>
      <c r="P109" s="7">
        <v>-61.71</v>
      </c>
      <c r="Q109" s="3"/>
      <c r="R109" s="8">
        <f t="shared" si="16"/>
        <v>-1.219449246803942E-5</v>
      </c>
      <c r="S109" s="3"/>
      <c r="T109" s="7">
        <v>-23.4</v>
      </c>
      <c r="U109" s="3"/>
      <c r="V109" s="8">
        <f t="shared" si="17"/>
        <v>-1.0006723577440964E-5</v>
      </c>
      <c r="W109" s="3"/>
      <c r="X109" s="7">
        <f t="shared" si="18"/>
        <v>-38.31</v>
      </c>
      <c r="Y109" s="3"/>
      <c r="Z109" s="8">
        <f t="shared" si="19"/>
        <v>1.6371794871794874</v>
      </c>
    </row>
    <row r="110" spans="1:26" s="68" customFormat="1" ht="15" customHeight="1" outlineLevel="1" collapsed="1" x14ac:dyDescent="0.25">
      <c r="A110" s="26"/>
      <c r="B110" s="14" t="str">
        <f>CONCATENATE("     ","Bank/card Fees                                    ")</f>
        <v xml:space="preserve">     Bank/card Fees                                    </v>
      </c>
      <c r="C110" s="14"/>
      <c r="D110" s="2">
        <f>SUM(OSRRefD22_4x_0)</f>
        <v>855.75</v>
      </c>
      <c r="E110" s="2"/>
      <c r="F110" s="6">
        <f t="shared" si="12"/>
        <v>1.0750084018988537E-3</v>
      </c>
      <c r="G110" s="2"/>
      <c r="H110" s="2">
        <f>SUM(OSRRefH22_4x_0)</f>
        <v>646.5</v>
      </c>
      <c r="I110" s="2"/>
      <c r="J110" s="6">
        <f t="shared" si="13"/>
        <v>1.5030608037267161E-3</v>
      </c>
      <c r="K110" s="2"/>
      <c r="L110" s="2">
        <f t="shared" si="14"/>
        <v>209.25</v>
      </c>
      <c r="M110" s="2"/>
      <c r="N110" s="6">
        <f t="shared" si="15"/>
        <v>0.32366589327146172</v>
      </c>
      <c r="O110" s="14"/>
      <c r="P110" s="2">
        <f>SUM(OSRRefP22_4x_0)</f>
        <v>6201.47</v>
      </c>
      <c r="Q110" s="2"/>
      <c r="R110" s="6">
        <f t="shared" si="16"/>
        <v>1.2254704133166816E-3</v>
      </c>
      <c r="S110" s="2"/>
      <c r="T110" s="2">
        <f>SUM(OSRRefT22_4x_0)</f>
        <v>4478.8500000000004</v>
      </c>
      <c r="U110" s="2"/>
      <c r="V110" s="6">
        <f t="shared" si="17"/>
        <v>1.9153253801205755E-3</v>
      </c>
      <c r="W110" s="2"/>
      <c r="X110" s="2">
        <f t="shared" si="18"/>
        <v>1722.62</v>
      </c>
      <c r="Y110" s="2"/>
      <c r="Z110" s="6">
        <f t="shared" si="19"/>
        <v>0.38461212141509532</v>
      </c>
    </row>
    <row r="111" spans="1:26" s="69" customFormat="1" ht="15" hidden="1" customHeight="1" outlineLevel="2" x14ac:dyDescent="0.25">
      <c r="A111" s="25"/>
      <c r="B111" s="12" t="str">
        <f>CONCATENATE("          ","6381"," - ","BANK/CREDIT CARD FEES")</f>
        <v xml:space="preserve">          6381 - BANK/CREDIT CARD FEES</v>
      </c>
      <c r="C111" s="12"/>
      <c r="D111" s="7">
        <v>855.75</v>
      </c>
      <c r="E111" s="3"/>
      <c r="F111" s="8">
        <f t="shared" si="12"/>
        <v>1.0750084018988537E-3</v>
      </c>
      <c r="G111" s="3"/>
      <c r="H111" s="7">
        <v>646.5</v>
      </c>
      <c r="I111" s="3"/>
      <c r="J111" s="8">
        <f t="shared" si="13"/>
        <v>1.5030608037267161E-3</v>
      </c>
      <c r="K111" s="3"/>
      <c r="L111" s="7">
        <f t="shared" si="14"/>
        <v>209.25</v>
      </c>
      <c r="M111" s="3"/>
      <c r="N111" s="8">
        <f t="shared" si="15"/>
        <v>0.32366589327146172</v>
      </c>
      <c r="O111" s="12"/>
      <c r="P111" s="7">
        <v>6201.47</v>
      </c>
      <c r="Q111" s="3"/>
      <c r="R111" s="8">
        <f t="shared" si="16"/>
        <v>1.2254704133166816E-3</v>
      </c>
      <c r="S111" s="3"/>
      <c r="T111" s="7">
        <v>4478.8500000000004</v>
      </c>
      <c r="U111" s="3"/>
      <c r="V111" s="8">
        <f t="shared" si="17"/>
        <v>1.9153253801205755E-3</v>
      </c>
      <c r="W111" s="3"/>
      <c r="X111" s="7">
        <f t="shared" si="18"/>
        <v>1722.62</v>
      </c>
      <c r="Y111" s="3"/>
      <c r="Z111" s="8">
        <f t="shared" si="19"/>
        <v>0.38461212141509532</v>
      </c>
    </row>
    <row r="112" spans="1:26" s="68" customFormat="1" ht="15" customHeight="1" outlineLevel="1" collapsed="1" x14ac:dyDescent="0.25">
      <c r="A112" s="26"/>
      <c r="B112" s="14" t="str">
        <f>CONCATENATE("     ","Discounts and Markdowns                           ")</f>
        <v xml:space="preserve">     Discounts and Markdowns                           </v>
      </c>
      <c r="C112" s="14"/>
      <c r="D112" s="2">
        <f>SUM(OSRRefD22_5x_0)</f>
        <v>-17.57</v>
      </c>
      <c r="E112" s="2"/>
      <c r="F112" s="6">
        <f t="shared" si="12"/>
        <v>-2.2071747147371149E-5</v>
      </c>
      <c r="G112" s="2"/>
      <c r="H112" s="2">
        <f>SUM(OSRRefH22_5x_0)</f>
        <v>0</v>
      </c>
      <c r="I112" s="2"/>
      <c r="J112" s="6">
        <f t="shared" si="13"/>
        <v>0</v>
      </c>
      <c r="K112" s="2"/>
      <c r="L112" s="2">
        <f t="shared" si="14"/>
        <v>-17.57</v>
      </c>
      <c r="M112" s="2"/>
      <c r="N112" s="6">
        <f t="shared" si="15"/>
        <v>0</v>
      </c>
      <c r="O112" s="14"/>
      <c r="P112" s="2">
        <f>SUM(OSRRefP22_5x_0)</f>
        <v>-39.1</v>
      </c>
      <c r="Q112" s="2"/>
      <c r="R112" s="6">
        <f t="shared" si="16"/>
        <v>-7.7265379274078977E-6</v>
      </c>
      <c r="S112" s="2"/>
      <c r="T112" s="2">
        <f>SUM(OSRRefT22_5x_0)</f>
        <v>0</v>
      </c>
      <c r="U112" s="2"/>
      <c r="V112" s="6">
        <f t="shared" si="17"/>
        <v>0</v>
      </c>
      <c r="W112" s="2"/>
      <c r="X112" s="2">
        <f t="shared" si="18"/>
        <v>-39.1</v>
      </c>
      <c r="Y112" s="2"/>
      <c r="Z112" s="6">
        <f t="shared" si="19"/>
        <v>0</v>
      </c>
    </row>
    <row r="113" spans="1:26" s="69" customFormat="1" ht="15" hidden="1" customHeight="1" outlineLevel="2" x14ac:dyDescent="0.25">
      <c r="A113" s="25"/>
      <c r="B113" s="12" t="str">
        <f>CONCATENATE("          ","6382"," - ","DISCOUNTS/MARK DOWNS")</f>
        <v xml:space="preserve">          6382 - DISCOUNTS/MARK DOWNS</v>
      </c>
      <c r="C113" s="12"/>
      <c r="D113" s="7"/>
      <c r="E113" s="3"/>
      <c r="F113" s="8">
        <f t="shared" si="12"/>
        <v>0</v>
      </c>
      <c r="G113" s="3"/>
      <c r="H113" s="7">
        <v>0</v>
      </c>
      <c r="I113" s="3"/>
      <c r="J113" s="8">
        <f t="shared" si="13"/>
        <v>0</v>
      </c>
      <c r="K113" s="3"/>
      <c r="L113" s="7">
        <f t="shared" si="14"/>
        <v>0</v>
      </c>
      <c r="M113" s="3"/>
      <c r="N113" s="8">
        <f t="shared" si="15"/>
        <v>0</v>
      </c>
      <c r="O113" s="12"/>
      <c r="P113" s="7"/>
      <c r="Q113" s="3"/>
      <c r="R113" s="8">
        <f t="shared" si="16"/>
        <v>0</v>
      </c>
      <c r="S113" s="3"/>
      <c r="T113" s="7">
        <v>0</v>
      </c>
      <c r="U113" s="3"/>
      <c r="V113" s="8">
        <f t="shared" si="17"/>
        <v>0</v>
      </c>
      <c r="W113" s="3"/>
      <c r="X113" s="7">
        <f t="shared" si="18"/>
        <v>0</v>
      </c>
      <c r="Y113" s="3"/>
      <c r="Z113" s="8">
        <f t="shared" si="19"/>
        <v>0</v>
      </c>
    </row>
    <row r="114" spans="1:26" s="69" customFormat="1" ht="15" hidden="1" customHeight="1" outlineLevel="2" x14ac:dyDescent="0.25">
      <c r="A114" s="25"/>
      <c r="B114" s="12" t="str">
        <f>CONCATENATE("          ","9175"," - ","EARNED DISCOUNTS")</f>
        <v xml:space="preserve">          9175 - EARNED DISCOUNTS</v>
      </c>
      <c r="C114" s="12"/>
      <c r="D114" s="7">
        <v>-17.57</v>
      </c>
      <c r="E114" s="3"/>
      <c r="F114" s="8">
        <f t="shared" si="12"/>
        <v>-2.2071747147371149E-5</v>
      </c>
      <c r="G114" s="3"/>
      <c r="H114" s="7"/>
      <c r="I114" s="3"/>
      <c r="J114" s="8">
        <f t="shared" si="13"/>
        <v>0</v>
      </c>
      <c r="K114" s="3"/>
      <c r="L114" s="7">
        <f t="shared" si="14"/>
        <v>-17.57</v>
      </c>
      <c r="M114" s="3"/>
      <c r="N114" s="8">
        <f t="shared" si="15"/>
        <v>0</v>
      </c>
      <c r="O114" s="12"/>
      <c r="P114" s="7">
        <v>-39.1</v>
      </c>
      <c r="Q114" s="3"/>
      <c r="R114" s="8">
        <f t="shared" si="16"/>
        <v>-7.7265379274078977E-6</v>
      </c>
      <c r="S114" s="3"/>
      <c r="T114" s="7">
        <v>0</v>
      </c>
      <c r="U114" s="3"/>
      <c r="V114" s="8">
        <f t="shared" si="17"/>
        <v>0</v>
      </c>
      <c r="W114" s="3"/>
      <c r="X114" s="7">
        <f t="shared" si="18"/>
        <v>-39.1</v>
      </c>
      <c r="Y114" s="3"/>
      <c r="Z114" s="8">
        <f t="shared" si="19"/>
        <v>0</v>
      </c>
    </row>
    <row r="115" spans="1:26" s="68" customFormat="1" ht="15" customHeight="1" outlineLevel="1" collapsed="1" x14ac:dyDescent="0.25">
      <c r="A115" s="26"/>
      <c r="B115" s="14" t="str">
        <f>CONCATENATE("     ","Employees' Appreciation                           ")</f>
        <v xml:space="preserve">     Employees' Appreciation                           </v>
      </c>
      <c r="C115" s="14"/>
      <c r="D115" s="2">
        <f>SUM(OSRRefD22_6x_0)</f>
        <v>0</v>
      </c>
      <c r="E115" s="2"/>
      <c r="F115" s="6">
        <f t="shared" si="12"/>
        <v>0</v>
      </c>
      <c r="G115" s="2"/>
      <c r="H115" s="2">
        <f>SUM(OSRRefH22_6x_0)</f>
        <v>0</v>
      </c>
      <c r="I115" s="2"/>
      <c r="J115" s="6">
        <f t="shared" si="13"/>
        <v>0</v>
      </c>
      <c r="K115" s="2"/>
      <c r="L115" s="2">
        <f t="shared" si="14"/>
        <v>0</v>
      </c>
      <c r="M115" s="2"/>
      <c r="N115" s="6">
        <f t="shared" si="15"/>
        <v>0</v>
      </c>
      <c r="O115" s="14"/>
      <c r="P115" s="2">
        <f>SUM(OSRRefP22_6x_0)</f>
        <v>291.13</v>
      </c>
      <c r="Q115" s="2"/>
      <c r="R115" s="6">
        <f t="shared" si="16"/>
        <v>5.7530101964354501E-5</v>
      </c>
      <c r="S115" s="2"/>
      <c r="T115" s="2">
        <f>SUM(OSRRefT22_6x_0)</f>
        <v>0</v>
      </c>
      <c r="U115" s="2"/>
      <c r="V115" s="6">
        <f t="shared" si="17"/>
        <v>0</v>
      </c>
      <c r="W115" s="2"/>
      <c r="X115" s="2">
        <f t="shared" si="18"/>
        <v>291.13</v>
      </c>
      <c r="Y115" s="2"/>
      <c r="Z115" s="6">
        <f t="shared" si="19"/>
        <v>0</v>
      </c>
    </row>
    <row r="116" spans="1:26" s="69" customFormat="1" ht="15" hidden="1" customHeight="1" outlineLevel="2" x14ac:dyDescent="0.25">
      <c r="A116" s="25"/>
      <c r="B116" s="12" t="str">
        <f>CONCATENATE("          ","6277"," - ","EMPLOYEE APPRECIATION")</f>
        <v xml:space="preserve">          6277 - EMPLOYEE APPRECIATION</v>
      </c>
      <c r="C116" s="12"/>
      <c r="D116" s="7"/>
      <c r="E116" s="3"/>
      <c r="F116" s="8">
        <f t="shared" si="12"/>
        <v>0</v>
      </c>
      <c r="G116" s="3"/>
      <c r="H116" s="7"/>
      <c r="I116" s="3"/>
      <c r="J116" s="8">
        <f t="shared" si="13"/>
        <v>0</v>
      </c>
      <c r="K116" s="3"/>
      <c r="L116" s="7">
        <f t="shared" si="14"/>
        <v>0</v>
      </c>
      <c r="M116" s="3"/>
      <c r="N116" s="8">
        <f t="shared" si="15"/>
        <v>0</v>
      </c>
      <c r="O116" s="12"/>
      <c r="P116" s="7">
        <v>291.13</v>
      </c>
      <c r="Q116" s="3"/>
      <c r="R116" s="8">
        <f t="shared" si="16"/>
        <v>5.7530101964354501E-5</v>
      </c>
      <c r="S116" s="3"/>
      <c r="T116" s="7"/>
      <c r="U116" s="3"/>
      <c r="V116" s="8">
        <f t="shared" si="17"/>
        <v>0</v>
      </c>
      <c r="W116" s="3"/>
      <c r="X116" s="7">
        <f t="shared" si="18"/>
        <v>291.13</v>
      </c>
      <c r="Y116" s="3"/>
      <c r="Z116" s="8">
        <f t="shared" si="19"/>
        <v>0</v>
      </c>
    </row>
    <row r="117" spans="1:26" s="68" customFormat="1" ht="15" customHeight="1" outlineLevel="1" collapsed="1" x14ac:dyDescent="0.25">
      <c r="A117" s="26"/>
      <c r="B117" s="14" t="str">
        <f>CONCATENATE("     ","Equipment Rental                                  ")</f>
        <v xml:space="preserve">     Equipment Rental                                  </v>
      </c>
      <c r="C117" s="14"/>
      <c r="D117" s="2">
        <f>SUM(OSRRefD22_7x_0)</f>
        <v>0</v>
      </c>
      <c r="E117" s="2"/>
      <c r="F117" s="6">
        <f t="shared" si="12"/>
        <v>0</v>
      </c>
      <c r="G117" s="2"/>
      <c r="H117" s="2">
        <f>SUM(OSRRefH22_7x_0)</f>
        <v>0</v>
      </c>
      <c r="I117" s="2"/>
      <c r="J117" s="6">
        <f t="shared" si="13"/>
        <v>0</v>
      </c>
      <c r="K117" s="2"/>
      <c r="L117" s="2">
        <f t="shared" si="14"/>
        <v>0</v>
      </c>
      <c r="M117" s="2"/>
      <c r="N117" s="6">
        <f t="shared" si="15"/>
        <v>0</v>
      </c>
      <c r="O117" s="14"/>
      <c r="P117" s="2">
        <f>SUM(OSRRefP22_7x_0)</f>
        <v>118.91</v>
      </c>
      <c r="Q117" s="2"/>
      <c r="R117" s="6">
        <f t="shared" si="16"/>
        <v>2.3497765343940488E-5</v>
      </c>
      <c r="S117" s="2"/>
      <c r="T117" s="2">
        <f>SUM(OSRRefT22_7x_0)</f>
        <v>0</v>
      </c>
      <c r="U117" s="2"/>
      <c r="V117" s="6">
        <f t="shared" si="17"/>
        <v>0</v>
      </c>
      <c r="W117" s="2"/>
      <c r="X117" s="2">
        <f t="shared" si="18"/>
        <v>118.91</v>
      </c>
      <c r="Y117" s="2"/>
      <c r="Z117" s="6">
        <f t="shared" si="19"/>
        <v>0</v>
      </c>
    </row>
    <row r="118" spans="1:26" s="69" customFormat="1" ht="15" hidden="1" customHeight="1" outlineLevel="2" x14ac:dyDescent="0.25">
      <c r="A118" s="25"/>
      <c r="B118" s="12" t="str">
        <f>CONCATENATE("          ","6351"," - ","EQUIPMENT RENTAL")</f>
        <v xml:space="preserve">          6351 - EQUIPMENT RENTAL</v>
      </c>
      <c r="C118" s="12"/>
      <c r="D118" s="7"/>
      <c r="E118" s="3"/>
      <c r="F118" s="8">
        <f t="shared" si="12"/>
        <v>0</v>
      </c>
      <c r="G118" s="3"/>
      <c r="H118" s="7"/>
      <c r="I118" s="3"/>
      <c r="J118" s="8">
        <f t="shared" si="13"/>
        <v>0</v>
      </c>
      <c r="K118" s="3"/>
      <c r="L118" s="7">
        <f t="shared" si="14"/>
        <v>0</v>
      </c>
      <c r="M118" s="3"/>
      <c r="N118" s="8">
        <f t="shared" si="15"/>
        <v>0</v>
      </c>
      <c r="O118" s="12"/>
      <c r="P118" s="7">
        <v>118.91</v>
      </c>
      <c r="Q118" s="3"/>
      <c r="R118" s="8">
        <f t="shared" si="16"/>
        <v>2.3497765343940488E-5</v>
      </c>
      <c r="S118" s="3"/>
      <c r="T118" s="7"/>
      <c r="U118" s="3"/>
      <c r="V118" s="8">
        <f t="shared" si="17"/>
        <v>0</v>
      </c>
      <c r="W118" s="3"/>
      <c r="X118" s="7">
        <f t="shared" si="18"/>
        <v>118.91</v>
      </c>
      <c r="Y118" s="3"/>
      <c r="Z118" s="8">
        <f t="shared" si="19"/>
        <v>0</v>
      </c>
    </row>
    <row r="119" spans="1:26" s="68" customFormat="1" ht="15" customHeight="1" outlineLevel="1" collapsed="1" x14ac:dyDescent="0.25">
      <c r="A119" s="26"/>
      <c r="B119" s="14" t="str">
        <f>CONCATENATE("     ","Freight out/Postage                               ")</f>
        <v xml:space="preserve">     Freight out/Postage                               </v>
      </c>
      <c r="C119" s="14"/>
      <c r="D119" s="2">
        <f>SUM(OSRRefD22_8x_0)</f>
        <v>0</v>
      </c>
      <c r="E119" s="2"/>
      <c r="F119" s="6">
        <f t="shared" si="12"/>
        <v>0</v>
      </c>
      <c r="G119" s="2"/>
      <c r="H119" s="2">
        <f>SUM(OSRRefH22_8x_0)</f>
        <v>29.05</v>
      </c>
      <c r="I119" s="2"/>
      <c r="J119" s="6">
        <f t="shared" si="13"/>
        <v>6.753892706614247E-5</v>
      </c>
      <c r="K119" s="2"/>
      <c r="L119" s="2">
        <f t="shared" si="14"/>
        <v>-29.05</v>
      </c>
      <c r="M119" s="2"/>
      <c r="N119" s="6">
        <f t="shared" si="15"/>
        <v>-1</v>
      </c>
      <c r="O119" s="14"/>
      <c r="P119" s="2">
        <f>SUM(OSRRefP22_8x_0)</f>
        <v>983.79</v>
      </c>
      <c r="Q119" s="2"/>
      <c r="R119" s="6">
        <f t="shared" si="16"/>
        <v>1.9440641298221521E-4</v>
      </c>
      <c r="S119" s="2"/>
      <c r="T119" s="2">
        <f>SUM(OSRRefT22_8x_0)</f>
        <v>-146.84999999999997</v>
      </c>
      <c r="U119" s="2"/>
      <c r="V119" s="6">
        <f t="shared" si="17"/>
        <v>-6.2798605014837834E-5</v>
      </c>
      <c r="W119" s="2"/>
      <c r="X119" s="2">
        <f t="shared" si="18"/>
        <v>1130.6399999999999</v>
      </c>
      <c r="Y119" s="2"/>
      <c r="Z119" s="6">
        <f t="shared" si="19"/>
        <v>-7.6992849846782443</v>
      </c>
    </row>
    <row r="120" spans="1:26" s="69" customFormat="1" ht="15" hidden="1" customHeight="1" outlineLevel="2" x14ac:dyDescent="0.25">
      <c r="A120" s="25"/>
      <c r="B120" s="12" t="str">
        <f>CONCATENATE("          ","6305"," - ","FREIGHT OUT")</f>
        <v xml:space="preserve">          6305 - FREIGHT OUT</v>
      </c>
      <c r="C120" s="12"/>
      <c r="D120" s="7"/>
      <c r="E120" s="3"/>
      <c r="F120" s="8">
        <f t="shared" si="12"/>
        <v>0</v>
      </c>
      <c r="G120" s="3"/>
      <c r="H120" s="7">
        <v>29.05</v>
      </c>
      <c r="I120" s="3"/>
      <c r="J120" s="8">
        <f t="shared" si="13"/>
        <v>6.753892706614247E-5</v>
      </c>
      <c r="K120" s="3"/>
      <c r="L120" s="7">
        <f t="shared" si="14"/>
        <v>-29.05</v>
      </c>
      <c r="M120" s="3"/>
      <c r="N120" s="8">
        <f t="shared" si="15"/>
        <v>-1</v>
      </c>
      <c r="O120" s="12"/>
      <c r="P120" s="7">
        <v>893.87</v>
      </c>
      <c r="Q120" s="3"/>
      <c r="R120" s="8">
        <f t="shared" si="16"/>
        <v>1.7663735184583369E-4</v>
      </c>
      <c r="S120" s="3"/>
      <c r="T120" s="7">
        <v>142.49</v>
      </c>
      <c r="U120" s="3"/>
      <c r="V120" s="8">
        <f t="shared" si="17"/>
        <v>6.0934104382459961E-5</v>
      </c>
      <c r="W120" s="3"/>
      <c r="X120" s="7">
        <f t="shared" si="18"/>
        <v>751.38</v>
      </c>
      <c r="Y120" s="3"/>
      <c r="Z120" s="8">
        <f t="shared" si="19"/>
        <v>5.2732121552389639</v>
      </c>
    </row>
    <row r="121" spans="1:26" s="69" customFormat="1" ht="15" hidden="1" customHeight="1" outlineLevel="2" x14ac:dyDescent="0.25">
      <c r="A121" s="25"/>
      <c r="B121" s="12" t="str">
        <f>CONCATENATE("          ","6307"," - ","POSTAGE")</f>
        <v xml:space="preserve">          6307 - POSTAGE</v>
      </c>
      <c r="C121" s="12"/>
      <c r="D121" s="7"/>
      <c r="E121" s="3"/>
      <c r="F121" s="8">
        <f t="shared" ref="F121:F152" si="20">IF(D$12=0,0,D121/D$12)</f>
        <v>0</v>
      </c>
      <c r="G121" s="3"/>
      <c r="H121" s="7"/>
      <c r="I121" s="3"/>
      <c r="J121" s="8">
        <f t="shared" ref="J121:J152" si="21">IF(H$12=0,0,H121/H$12)</f>
        <v>0</v>
      </c>
      <c r="K121" s="3"/>
      <c r="L121" s="7">
        <f t="shared" ref="L121:L152" si="22">+D121-H121</f>
        <v>0</v>
      </c>
      <c r="M121" s="3"/>
      <c r="N121" s="8">
        <f t="shared" ref="N121:N152" si="23">IF(H121=0,0,L121/H121)</f>
        <v>0</v>
      </c>
      <c r="O121" s="12"/>
      <c r="P121" s="7">
        <v>89.92</v>
      </c>
      <c r="Q121" s="3"/>
      <c r="R121" s="8">
        <f t="shared" ref="R121:R152" si="24">IF(P$12=0,0,P121/P$12)</f>
        <v>1.7769061136381536E-5</v>
      </c>
      <c r="S121" s="3"/>
      <c r="T121" s="7">
        <v>-289.33999999999997</v>
      </c>
      <c r="U121" s="3"/>
      <c r="V121" s="8">
        <f t="shared" ref="V121:V152" si="25">IF(T$12=0,0,T121/T$12)</f>
        <v>-1.2373270939729778E-4</v>
      </c>
      <c r="W121" s="3"/>
      <c r="X121" s="7">
        <f t="shared" ref="X121:X152" si="26">+P121-T121</f>
        <v>379.26</v>
      </c>
      <c r="Y121" s="3"/>
      <c r="Z121" s="8">
        <f t="shared" ref="Z121:Z152" si="27">IF(T121=0,0,X121/T121)</f>
        <v>-1.3107762493951753</v>
      </c>
    </row>
    <row r="122" spans="1:26" s="68" customFormat="1" ht="15" customHeight="1" outlineLevel="1" collapsed="1" x14ac:dyDescent="0.25">
      <c r="A122" s="26"/>
      <c r="B122" s="14" t="str">
        <f>CONCATENATE("     ","General                                           ")</f>
        <v xml:space="preserve">     General                                           </v>
      </c>
      <c r="C122" s="14"/>
      <c r="D122" s="2">
        <f>SUM(OSRRefD22_9x_0)</f>
        <v>0</v>
      </c>
      <c r="E122" s="2"/>
      <c r="F122" s="6">
        <f t="shared" si="20"/>
        <v>0</v>
      </c>
      <c r="G122" s="2"/>
      <c r="H122" s="2">
        <f>SUM(OSRRefH22_9x_0)</f>
        <v>0</v>
      </c>
      <c r="I122" s="2"/>
      <c r="J122" s="6">
        <f t="shared" si="21"/>
        <v>0</v>
      </c>
      <c r="K122" s="2"/>
      <c r="L122" s="2">
        <f t="shared" si="22"/>
        <v>0</v>
      </c>
      <c r="M122" s="2"/>
      <c r="N122" s="6">
        <f t="shared" si="23"/>
        <v>0</v>
      </c>
      <c r="O122" s="14"/>
      <c r="P122" s="2">
        <f>SUM(OSRRefP22_9x_0)</f>
        <v>3524.95</v>
      </c>
      <c r="Q122" s="2"/>
      <c r="R122" s="6">
        <f t="shared" si="24"/>
        <v>6.9656419097740326E-4</v>
      </c>
      <c r="S122" s="2"/>
      <c r="T122" s="2">
        <f>SUM(OSRRefT22_9x_0)</f>
        <v>2259.84</v>
      </c>
      <c r="U122" s="2"/>
      <c r="V122" s="6">
        <f t="shared" si="25"/>
        <v>9.6639291492496538E-4</v>
      </c>
      <c r="W122" s="2"/>
      <c r="X122" s="2">
        <f t="shared" si="26"/>
        <v>1265.1099999999997</v>
      </c>
      <c r="Y122" s="2"/>
      <c r="Z122" s="6">
        <f t="shared" si="27"/>
        <v>0.55982281931464162</v>
      </c>
    </row>
    <row r="123" spans="1:26" s="69" customFormat="1" ht="15" hidden="1" customHeight="1" outlineLevel="2" x14ac:dyDescent="0.25">
      <c r="A123" s="25"/>
      <c r="B123" s="12" t="str">
        <f>CONCATENATE("          ","6279"," - ","GENERAL EXPENSE")</f>
        <v xml:space="preserve">          6279 - GENERAL EXPENSE</v>
      </c>
      <c r="C123" s="12"/>
      <c r="D123" s="7"/>
      <c r="E123" s="3"/>
      <c r="F123" s="8">
        <f t="shared" si="20"/>
        <v>0</v>
      </c>
      <c r="G123" s="3"/>
      <c r="H123" s="7"/>
      <c r="I123" s="3"/>
      <c r="J123" s="8">
        <f t="shared" si="21"/>
        <v>0</v>
      </c>
      <c r="K123" s="3"/>
      <c r="L123" s="7">
        <f t="shared" si="22"/>
        <v>0</v>
      </c>
      <c r="M123" s="3"/>
      <c r="N123" s="8">
        <f t="shared" si="23"/>
        <v>0</v>
      </c>
      <c r="O123" s="12"/>
      <c r="P123" s="7">
        <v>3524.95</v>
      </c>
      <c r="Q123" s="3"/>
      <c r="R123" s="8">
        <f t="shared" si="24"/>
        <v>6.9656419097740326E-4</v>
      </c>
      <c r="S123" s="3"/>
      <c r="T123" s="7">
        <v>2259.84</v>
      </c>
      <c r="U123" s="3"/>
      <c r="V123" s="8">
        <f t="shared" si="25"/>
        <v>9.6639291492496538E-4</v>
      </c>
      <c r="W123" s="3"/>
      <c r="X123" s="7">
        <f t="shared" si="26"/>
        <v>1265.1099999999997</v>
      </c>
      <c r="Y123" s="3"/>
      <c r="Z123" s="8">
        <f t="shared" si="27"/>
        <v>0.55982281931464162</v>
      </c>
    </row>
    <row r="124" spans="1:26" s="68" customFormat="1" ht="15" customHeight="1" outlineLevel="1" collapsed="1" x14ac:dyDescent="0.25">
      <c r="A124" s="26"/>
      <c r="B124" s="14" t="str">
        <f>CONCATENATE("     ","Insurance                                         ")</f>
        <v xml:space="preserve">     Insurance                                         </v>
      </c>
      <c r="C124" s="14"/>
      <c r="D124" s="2">
        <f>SUM(OSRRefD22_10x_0)</f>
        <v>219.08</v>
      </c>
      <c r="E124" s="2"/>
      <c r="F124" s="6">
        <f t="shared" si="20"/>
        <v>2.7521220062868933E-4</v>
      </c>
      <c r="G124" s="2"/>
      <c r="H124" s="2">
        <f>SUM(OSRRefH22_10x_0)</f>
        <v>161.18</v>
      </c>
      <c r="I124" s="2"/>
      <c r="J124" s="6">
        <f t="shared" si="21"/>
        <v>3.7473061151534746E-4</v>
      </c>
      <c r="K124" s="2"/>
      <c r="L124" s="2">
        <f t="shared" si="22"/>
        <v>57.900000000000006</v>
      </c>
      <c r="M124" s="2"/>
      <c r="N124" s="6">
        <f t="shared" si="23"/>
        <v>0.35922571038590395</v>
      </c>
      <c r="O124" s="14"/>
      <c r="P124" s="2">
        <f>SUM(OSRRefP22_10x_0)</f>
        <v>2409.88</v>
      </c>
      <c r="Q124" s="2"/>
      <c r="R124" s="6">
        <f t="shared" si="24"/>
        <v>4.762155810870011E-4</v>
      </c>
      <c r="S124" s="2"/>
      <c r="T124" s="2">
        <f>SUM(OSRRefT22_10x_0)</f>
        <v>1772.98</v>
      </c>
      <c r="U124" s="2"/>
      <c r="V124" s="6">
        <f t="shared" si="25"/>
        <v>7.5819319522783249E-4</v>
      </c>
      <c r="W124" s="2"/>
      <c r="X124" s="2">
        <f t="shared" si="26"/>
        <v>636.90000000000009</v>
      </c>
      <c r="Y124" s="2"/>
      <c r="Z124" s="6">
        <f t="shared" si="27"/>
        <v>0.35922571038590401</v>
      </c>
    </row>
    <row r="125" spans="1:26" s="69" customFormat="1" ht="15" hidden="1" customHeight="1" outlineLevel="2" x14ac:dyDescent="0.25">
      <c r="A125" s="25"/>
      <c r="B125" s="12" t="str">
        <f>CONCATENATE("          ","6314"," - ","LIABILITY INSURANCE")</f>
        <v xml:space="preserve">          6314 - LIABILITY INSURANCE</v>
      </c>
      <c r="C125" s="12"/>
      <c r="D125" s="7">
        <v>219.08</v>
      </c>
      <c r="E125" s="3"/>
      <c r="F125" s="8">
        <f t="shared" si="20"/>
        <v>2.7521220062868933E-4</v>
      </c>
      <c r="G125" s="3"/>
      <c r="H125" s="7">
        <v>161.18</v>
      </c>
      <c r="I125" s="3"/>
      <c r="J125" s="8">
        <f t="shared" si="21"/>
        <v>3.7473061151534746E-4</v>
      </c>
      <c r="K125" s="3"/>
      <c r="L125" s="7">
        <f t="shared" si="22"/>
        <v>57.900000000000006</v>
      </c>
      <c r="M125" s="3"/>
      <c r="N125" s="8">
        <f t="shared" si="23"/>
        <v>0.35922571038590395</v>
      </c>
      <c r="O125" s="12"/>
      <c r="P125" s="7">
        <v>2409.88</v>
      </c>
      <c r="Q125" s="3"/>
      <c r="R125" s="8">
        <f t="shared" si="24"/>
        <v>4.762155810870011E-4</v>
      </c>
      <c r="S125" s="3"/>
      <c r="T125" s="7">
        <v>1772.98</v>
      </c>
      <c r="U125" s="3"/>
      <c r="V125" s="8">
        <f t="shared" si="25"/>
        <v>7.5819319522783249E-4</v>
      </c>
      <c r="W125" s="3"/>
      <c r="X125" s="7">
        <f t="shared" si="26"/>
        <v>636.90000000000009</v>
      </c>
      <c r="Y125" s="3"/>
      <c r="Z125" s="8">
        <f t="shared" si="27"/>
        <v>0.35922571038590401</v>
      </c>
    </row>
    <row r="126" spans="1:26" s="68" customFormat="1" ht="15" customHeight="1" outlineLevel="1" collapsed="1" x14ac:dyDescent="0.25">
      <c r="A126" s="26"/>
      <c r="B126" s="14" t="str">
        <f>CONCATENATE("     ","Inventory Adjustment                              ")</f>
        <v xml:space="preserve">     Inventory Adjustment                              </v>
      </c>
      <c r="C126" s="14"/>
      <c r="D126" s="2">
        <f>SUM(OSRRefD22_11x_0)</f>
        <v>4100</v>
      </c>
      <c r="E126" s="2"/>
      <c r="F126" s="6">
        <f t="shared" si="20"/>
        <v>5.1504930736608829E-3</v>
      </c>
      <c r="G126" s="2"/>
      <c r="H126" s="2">
        <f>SUM(OSRRefH22_11x_0)</f>
        <v>1100</v>
      </c>
      <c r="I126" s="2"/>
      <c r="J126" s="6">
        <f t="shared" si="21"/>
        <v>2.5574120403702829E-3</v>
      </c>
      <c r="K126" s="2"/>
      <c r="L126" s="2">
        <f t="shared" si="22"/>
        <v>3000</v>
      </c>
      <c r="M126" s="2"/>
      <c r="N126" s="6">
        <f t="shared" si="23"/>
        <v>2.7272727272727271</v>
      </c>
      <c r="O126" s="14"/>
      <c r="P126" s="2">
        <f>SUM(OSRRefP22_11x_0)</f>
        <v>45100</v>
      </c>
      <c r="Q126" s="2"/>
      <c r="R126" s="6">
        <f t="shared" si="24"/>
        <v>8.9121959213835332E-3</v>
      </c>
      <c r="S126" s="2"/>
      <c r="T126" s="2">
        <f>SUM(OSRRefT22_11x_0)</f>
        <v>12100</v>
      </c>
      <c r="U126" s="2"/>
      <c r="V126" s="6">
        <f t="shared" si="25"/>
        <v>5.1744168926083616E-3</v>
      </c>
      <c r="W126" s="2"/>
      <c r="X126" s="2">
        <f t="shared" si="26"/>
        <v>33000</v>
      </c>
      <c r="Y126" s="2"/>
      <c r="Z126" s="6">
        <f t="shared" si="27"/>
        <v>2.7272727272727271</v>
      </c>
    </row>
    <row r="127" spans="1:26" s="69" customFormat="1" ht="15" hidden="1" customHeight="1" outlineLevel="2" x14ac:dyDescent="0.25">
      <c r="A127" s="25"/>
      <c r="B127" s="12" t="str">
        <f>CONCATENATE("          ","6408"," - ","INVENTORY ADJUSTMENT")</f>
        <v xml:space="preserve">          6408 - INVENTORY ADJUSTMENT</v>
      </c>
      <c r="C127" s="12"/>
      <c r="D127" s="7">
        <v>4100</v>
      </c>
      <c r="E127" s="3"/>
      <c r="F127" s="8">
        <f t="shared" si="20"/>
        <v>5.1504930736608829E-3</v>
      </c>
      <c r="G127" s="3"/>
      <c r="H127" s="7">
        <v>1100</v>
      </c>
      <c r="I127" s="3"/>
      <c r="J127" s="8">
        <f t="shared" si="21"/>
        <v>2.5574120403702829E-3</v>
      </c>
      <c r="K127" s="3"/>
      <c r="L127" s="7">
        <f t="shared" si="22"/>
        <v>3000</v>
      </c>
      <c r="M127" s="3"/>
      <c r="N127" s="8">
        <f t="shared" si="23"/>
        <v>2.7272727272727271</v>
      </c>
      <c r="O127" s="12"/>
      <c r="P127" s="7">
        <v>45100</v>
      </c>
      <c r="Q127" s="3"/>
      <c r="R127" s="8">
        <f t="shared" si="24"/>
        <v>8.9121959213835332E-3</v>
      </c>
      <c r="S127" s="3"/>
      <c r="T127" s="7">
        <v>12100</v>
      </c>
      <c r="U127" s="3"/>
      <c r="V127" s="8">
        <f t="shared" si="25"/>
        <v>5.1744168926083616E-3</v>
      </c>
      <c r="W127" s="3"/>
      <c r="X127" s="7">
        <f t="shared" si="26"/>
        <v>33000</v>
      </c>
      <c r="Y127" s="3"/>
      <c r="Z127" s="8">
        <f t="shared" si="27"/>
        <v>2.7272727272727271</v>
      </c>
    </row>
    <row r="128" spans="1:26" s="69" customFormat="1" ht="15" hidden="1" customHeight="1" outlineLevel="2" x14ac:dyDescent="0.25">
      <c r="A128" s="25"/>
      <c r="B128" s="12" t="str">
        <f>CONCATENATE("          ","7741"," - ","INV. SHRINKAGE-LOGO GIFTS")</f>
        <v xml:space="preserve">          7741 - INV. SHRINKAGE-LOGO GIFTS</v>
      </c>
      <c r="C128" s="12"/>
      <c r="D128" s="7"/>
      <c r="E128" s="3"/>
      <c r="F128" s="8">
        <f t="shared" si="20"/>
        <v>0</v>
      </c>
      <c r="G128" s="3"/>
      <c r="H128" s="7"/>
      <c r="I128" s="3"/>
      <c r="J128" s="8">
        <f t="shared" si="21"/>
        <v>0</v>
      </c>
      <c r="K128" s="3"/>
      <c r="L128" s="7">
        <f t="shared" si="22"/>
        <v>0</v>
      </c>
      <c r="M128" s="3"/>
      <c r="N128" s="8">
        <f t="shared" si="23"/>
        <v>0</v>
      </c>
      <c r="O128" s="12"/>
      <c r="P128" s="7"/>
      <c r="Q128" s="3"/>
      <c r="R128" s="8">
        <f t="shared" si="24"/>
        <v>0</v>
      </c>
      <c r="S128" s="3"/>
      <c r="T128" s="7">
        <v>0</v>
      </c>
      <c r="U128" s="3"/>
      <c r="V128" s="8">
        <f t="shared" si="25"/>
        <v>0</v>
      </c>
      <c r="W128" s="3"/>
      <c r="X128" s="7">
        <f t="shared" si="26"/>
        <v>0</v>
      </c>
      <c r="Y128" s="3"/>
      <c r="Z128" s="8">
        <f t="shared" si="27"/>
        <v>0</v>
      </c>
    </row>
    <row r="129" spans="1:26" s="68" customFormat="1" ht="15" customHeight="1" outlineLevel="1" collapsed="1" x14ac:dyDescent="0.25">
      <c r="A129" s="26"/>
      <c r="B129" s="14" t="str">
        <f>CONCATENATE("     ","Professional Services                             ")</f>
        <v xml:space="preserve">     Professional Services                             </v>
      </c>
      <c r="C129" s="14"/>
      <c r="D129" s="2">
        <f>SUM(OSRRefD22_12x_0)</f>
        <v>0</v>
      </c>
      <c r="E129" s="2"/>
      <c r="F129" s="6">
        <f t="shared" si="20"/>
        <v>0</v>
      </c>
      <c r="G129" s="2"/>
      <c r="H129" s="2">
        <f>SUM(OSRRefH22_12x_0)</f>
        <v>0</v>
      </c>
      <c r="I129" s="2"/>
      <c r="J129" s="6">
        <f t="shared" si="21"/>
        <v>0</v>
      </c>
      <c r="K129" s="2"/>
      <c r="L129" s="2">
        <f t="shared" si="22"/>
        <v>0</v>
      </c>
      <c r="M129" s="2"/>
      <c r="N129" s="6">
        <f t="shared" si="23"/>
        <v>0</v>
      </c>
      <c r="O129" s="14"/>
      <c r="P129" s="2">
        <f>SUM(OSRRefP22_12x_0)</f>
        <v>2109.1</v>
      </c>
      <c r="Q129" s="2"/>
      <c r="R129" s="6">
        <f t="shared" si="24"/>
        <v>4.1677854584900242E-4</v>
      </c>
      <c r="S129" s="2"/>
      <c r="T129" s="2">
        <f>SUM(OSRRefT22_12x_0)</f>
        <v>0</v>
      </c>
      <c r="U129" s="2"/>
      <c r="V129" s="6">
        <f t="shared" si="25"/>
        <v>0</v>
      </c>
      <c r="W129" s="2"/>
      <c r="X129" s="2">
        <f t="shared" si="26"/>
        <v>2109.1</v>
      </c>
      <c r="Y129" s="2"/>
      <c r="Z129" s="6">
        <f t="shared" si="27"/>
        <v>0</v>
      </c>
    </row>
    <row r="130" spans="1:26" s="69" customFormat="1" ht="15" hidden="1" customHeight="1" outlineLevel="2" x14ac:dyDescent="0.25">
      <c r="A130" s="25"/>
      <c r="B130" s="12" t="str">
        <f>CONCATENATE("          ","6336"," - ","PROFESSIONAL SERVICES")</f>
        <v xml:space="preserve">          6336 - PROFESSIONAL SERVICES</v>
      </c>
      <c r="C130" s="12"/>
      <c r="D130" s="7"/>
      <c r="E130" s="3"/>
      <c r="F130" s="8">
        <f t="shared" si="20"/>
        <v>0</v>
      </c>
      <c r="G130" s="3"/>
      <c r="H130" s="7"/>
      <c r="I130" s="3"/>
      <c r="J130" s="8">
        <f t="shared" si="21"/>
        <v>0</v>
      </c>
      <c r="K130" s="3"/>
      <c r="L130" s="7">
        <f t="shared" si="22"/>
        <v>0</v>
      </c>
      <c r="M130" s="3"/>
      <c r="N130" s="8">
        <f t="shared" si="23"/>
        <v>0</v>
      </c>
      <c r="O130" s="12"/>
      <c r="P130" s="7">
        <v>2109.1</v>
      </c>
      <c r="Q130" s="3"/>
      <c r="R130" s="8">
        <f t="shared" si="24"/>
        <v>4.1677854584900242E-4</v>
      </c>
      <c r="S130" s="3"/>
      <c r="T130" s="7"/>
      <c r="U130" s="3"/>
      <c r="V130" s="8">
        <f t="shared" si="25"/>
        <v>0</v>
      </c>
      <c r="W130" s="3"/>
      <c r="X130" s="7">
        <f t="shared" si="26"/>
        <v>2109.1</v>
      </c>
      <c r="Y130" s="3"/>
      <c r="Z130" s="8">
        <f t="shared" si="27"/>
        <v>0</v>
      </c>
    </row>
    <row r="131" spans="1:26" s="68" customFormat="1" ht="15" customHeight="1" outlineLevel="1" collapsed="1" x14ac:dyDescent="0.25">
      <c r="A131" s="26"/>
      <c r="B131" s="14" t="str">
        <f>CONCATENATE("     ","Rent                                              ")</f>
        <v xml:space="preserve">     Rent                                              </v>
      </c>
      <c r="C131" s="14"/>
      <c r="D131" s="2">
        <f>SUM(OSRRefD22_13x_0)</f>
        <v>6900</v>
      </c>
      <c r="E131" s="2"/>
      <c r="F131" s="6">
        <f t="shared" si="20"/>
        <v>8.6679029776244119E-3</v>
      </c>
      <c r="G131" s="2"/>
      <c r="H131" s="2">
        <f>SUM(OSRRefH22_13x_0)</f>
        <v>6900</v>
      </c>
      <c r="I131" s="2"/>
      <c r="J131" s="6">
        <f t="shared" si="21"/>
        <v>1.6041948253231773E-2</v>
      </c>
      <c r="K131" s="2"/>
      <c r="L131" s="2">
        <f t="shared" si="22"/>
        <v>0</v>
      </c>
      <c r="M131" s="2"/>
      <c r="N131" s="6">
        <f t="shared" si="23"/>
        <v>0</v>
      </c>
      <c r="O131" s="14"/>
      <c r="P131" s="2">
        <f>SUM(OSRRefP22_13x_0)</f>
        <v>75900</v>
      </c>
      <c r="Q131" s="2"/>
      <c r="R131" s="6">
        <f t="shared" si="24"/>
        <v>1.4998573623791801E-2</v>
      </c>
      <c r="S131" s="2"/>
      <c r="T131" s="2">
        <f>SUM(OSRRefT22_13x_0)</f>
        <v>75900</v>
      </c>
      <c r="U131" s="2"/>
      <c r="V131" s="6">
        <f t="shared" si="25"/>
        <v>3.2457705962725181E-2</v>
      </c>
      <c r="W131" s="2"/>
      <c r="X131" s="2">
        <f t="shared" si="26"/>
        <v>0</v>
      </c>
      <c r="Y131" s="2"/>
      <c r="Z131" s="6">
        <f t="shared" si="27"/>
        <v>0</v>
      </c>
    </row>
    <row r="132" spans="1:26" s="69" customFormat="1" ht="15" hidden="1" customHeight="1" outlineLevel="2" x14ac:dyDescent="0.25">
      <c r="A132" s="25"/>
      <c r="B132" s="12" t="str">
        <f>CONCATENATE("          ","6273"," - ","RENT")</f>
        <v xml:space="preserve">          6273 - RENT</v>
      </c>
      <c r="C132" s="12"/>
      <c r="D132" s="7">
        <v>6900</v>
      </c>
      <c r="E132" s="3"/>
      <c r="F132" s="8">
        <f t="shared" si="20"/>
        <v>8.6679029776244119E-3</v>
      </c>
      <c r="G132" s="3"/>
      <c r="H132" s="7">
        <v>6900</v>
      </c>
      <c r="I132" s="3"/>
      <c r="J132" s="8">
        <f t="shared" si="21"/>
        <v>1.6041948253231773E-2</v>
      </c>
      <c r="K132" s="3"/>
      <c r="L132" s="7">
        <f t="shared" si="22"/>
        <v>0</v>
      </c>
      <c r="M132" s="3"/>
      <c r="N132" s="8">
        <f t="shared" si="23"/>
        <v>0</v>
      </c>
      <c r="O132" s="12"/>
      <c r="P132" s="7">
        <v>75900</v>
      </c>
      <c r="Q132" s="3"/>
      <c r="R132" s="8">
        <f t="shared" si="24"/>
        <v>1.4998573623791801E-2</v>
      </c>
      <c r="S132" s="3"/>
      <c r="T132" s="7">
        <v>75900</v>
      </c>
      <c r="U132" s="3"/>
      <c r="V132" s="8">
        <f t="shared" si="25"/>
        <v>3.2457705962725181E-2</v>
      </c>
      <c r="W132" s="3"/>
      <c r="X132" s="7">
        <f t="shared" si="26"/>
        <v>0</v>
      </c>
      <c r="Y132" s="3"/>
      <c r="Z132" s="8">
        <f t="shared" si="27"/>
        <v>0</v>
      </c>
    </row>
    <row r="133" spans="1:26" s="68" customFormat="1" ht="15" customHeight="1" outlineLevel="1" collapsed="1" x14ac:dyDescent="0.25">
      <c r="A133" s="26"/>
      <c r="B133" s="14" t="str">
        <f>CONCATENATE("     ","Repair and Maintenance                            ")</f>
        <v xml:space="preserve">     Repair and Maintenance                            </v>
      </c>
      <c r="C133" s="14"/>
      <c r="D133" s="2">
        <f>SUM(OSRRefD22_14x_0)</f>
        <v>0</v>
      </c>
      <c r="E133" s="2"/>
      <c r="F133" s="6">
        <f t="shared" si="20"/>
        <v>0</v>
      </c>
      <c r="G133" s="2"/>
      <c r="H133" s="2">
        <f>SUM(OSRRefH22_14x_0)</f>
        <v>0</v>
      </c>
      <c r="I133" s="2"/>
      <c r="J133" s="6">
        <f t="shared" si="21"/>
        <v>0</v>
      </c>
      <c r="K133" s="2"/>
      <c r="L133" s="2">
        <f t="shared" si="22"/>
        <v>0</v>
      </c>
      <c r="M133" s="2"/>
      <c r="N133" s="6">
        <f t="shared" si="23"/>
        <v>0</v>
      </c>
      <c r="O133" s="14"/>
      <c r="P133" s="2">
        <f>SUM(OSRRefP22_14x_0)</f>
        <v>6435.8700000000008</v>
      </c>
      <c r="Q133" s="2"/>
      <c r="R133" s="6">
        <f t="shared" si="24"/>
        <v>1.2717901189479967E-3</v>
      </c>
      <c r="S133" s="2"/>
      <c r="T133" s="2">
        <f>SUM(OSRRefT22_14x_0)</f>
        <v>571.6400000000001</v>
      </c>
      <c r="U133" s="2"/>
      <c r="V133" s="6">
        <f t="shared" si="25"/>
        <v>2.4445484896616897E-4</v>
      </c>
      <c r="W133" s="2"/>
      <c r="X133" s="2">
        <f t="shared" si="26"/>
        <v>5864.2300000000005</v>
      </c>
      <c r="Y133" s="2"/>
      <c r="Z133" s="6">
        <f t="shared" si="27"/>
        <v>10.258606815478272</v>
      </c>
    </row>
    <row r="134" spans="1:26" s="69" customFormat="1" ht="15" hidden="1" customHeight="1" outlineLevel="2" x14ac:dyDescent="0.25">
      <c r="A134" s="25"/>
      <c r="B134" s="12" t="str">
        <f>CONCATENATE("          ","6372"," - ","COMPUTER HARDWARE MAINTENANCE")</f>
        <v xml:space="preserve">          6372 - COMPUTER HARDWARE MAINTENANCE</v>
      </c>
      <c r="C134" s="12"/>
      <c r="D134" s="7"/>
      <c r="E134" s="3"/>
      <c r="F134" s="8">
        <f t="shared" si="20"/>
        <v>0</v>
      </c>
      <c r="G134" s="3"/>
      <c r="H134" s="7"/>
      <c r="I134" s="3"/>
      <c r="J134" s="8">
        <f t="shared" si="21"/>
        <v>0</v>
      </c>
      <c r="K134" s="3"/>
      <c r="L134" s="7">
        <f t="shared" si="22"/>
        <v>0</v>
      </c>
      <c r="M134" s="3"/>
      <c r="N134" s="8">
        <f t="shared" si="23"/>
        <v>0</v>
      </c>
      <c r="O134" s="12"/>
      <c r="P134" s="7"/>
      <c r="Q134" s="3"/>
      <c r="R134" s="8">
        <f t="shared" si="24"/>
        <v>0</v>
      </c>
      <c r="S134" s="3"/>
      <c r="T134" s="7">
        <v>-0.52</v>
      </c>
      <c r="U134" s="3"/>
      <c r="V134" s="8">
        <f t="shared" si="25"/>
        <v>-2.2237163505424365E-7</v>
      </c>
      <c r="W134" s="3"/>
      <c r="X134" s="7">
        <f t="shared" si="26"/>
        <v>0.52</v>
      </c>
      <c r="Y134" s="3"/>
      <c r="Z134" s="8">
        <f t="shared" si="27"/>
        <v>-1</v>
      </c>
    </row>
    <row r="135" spans="1:26" s="69" customFormat="1" ht="15" hidden="1" customHeight="1" outlineLevel="2" x14ac:dyDescent="0.25">
      <c r="A135" s="25"/>
      <c r="B135" s="12" t="str">
        <f>CONCATENATE("          ","6373"," - ","MAINTENANCE CONTRACTS")</f>
        <v xml:space="preserve">          6373 - MAINTENANCE CONTRACTS</v>
      </c>
      <c r="C135" s="12"/>
      <c r="D135" s="7"/>
      <c r="E135" s="3"/>
      <c r="F135" s="8">
        <f t="shared" si="20"/>
        <v>0</v>
      </c>
      <c r="G135" s="3"/>
      <c r="H135" s="7"/>
      <c r="I135" s="3"/>
      <c r="J135" s="8">
        <f t="shared" si="21"/>
        <v>0</v>
      </c>
      <c r="K135" s="3"/>
      <c r="L135" s="7">
        <f t="shared" si="22"/>
        <v>0</v>
      </c>
      <c r="M135" s="3"/>
      <c r="N135" s="8">
        <f t="shared" si="23"/>
        <v>0</v>
      </c>
      <c r="O135" s="12"/>
      <c r="P135" s="7">
        <v>1053.73</v>
      </c>
      <c r="Q135" s="3"/>
      <c r="R135" s="8">
        <f t="shared" si="24"/>
        <v>2.0822723299865789E-4</v>
      </c>
      <c r="S135" s="3"/>
      <c r="T135" s="7">
        <v>406.6</v>
      </c>
      <c r="U135" s="3"/>
      <c r="V135" s="8">
        <f t="shared" si="25"/>
        <v>1.7387751310202974E-4</v>
      </c>
      <c r="W135" s="3"/>
      <c r="X135" s="7">
        <f t="shared" si="26"/>
        <v>647.13</v>
      </c>
      <c r="Y135" s="3"/>
      <c r="Z135" s="8">
        <f t="shared" si="27"/>
        <v>1.591564190850959</v>
      </c>
    </row>
    <row r="136" spans="1:26" s="69" customFormat="1" ht="15" hidden="1" customHeight="1" outlineLevel="2" x14ac:dyDescent="0.25">
      <c r="A136" s="25"/>
      <c r="B136" s="12" t="str">
        <f>CONCATENATE("          ","6375"," - ","OUTSIDE REPAIRS &amp; MAINTENANCE")</f>
        <v xml:space="preserve">          6375 - OUTSIDE REPAIRS &amp; MAINTENANCE</v>
      </c>
      <c r="C136" s="12"/>
      <c r="D136" s="7"/>
      <c r="E136" s="3"/>
      <c r="F136" s="8">
        <f t="shared" si="20"/>
        <v>0</v>
      </c>
      <c r="G136" s="3"/>
      <c r="H136" s="7"/>
      <c r="I136" s="3"/>
      <c r="J136" s="8">
        <f t="shared" si="21"/>
        <v>0</v>
      </c>
      <c r="K136" s="3"/>
      <c r="L136" s="7">
        <f t="shared" si="22"/>
        <v>0</v>
      </c>
      <c r="M136" s="3"/>
      <c r="N136" s="8">
        <f t="shared" si="23"/>
        <v>0</v>
      </c>
      <c r="O136" s="12"/>
      <c r="P136" s="7">
        <v>5382.14</v>
      </c>
      <c r="Q136" s="3"/>
      <c r="R136" s="8">
        <f t="shared" si="24"/>
        <v>1.0635628859493387E-3</v>
      </c>
      <c r="S136" s="3"/>
      <c r="T136" s="7">
        <v>165.56</v>
      </c>
      <c r="U136" s="3"/>
      <c r="V136" s="8">
        <f t="shared" si="25"/>
        <v>7.0799707499193424E-5</v>
      </c>
      <c r="W136" s="3"/>
      <c r="X136" s="7">
        <f t="shared" si="26"/>
        <v>5216.58</v>
      </c>
      <c r="Y136" s="3"/>
      <c r="Z136" s="8">
        <f t="shared" si="27"/>
        <v>31.508697753080455</v>
      </c>
    </row>
    <row r="137" spans="1:26" s="68" customFormat="1" ht="15" customHeight="1" outlineLevel="1" collapsed="1" x14ac:dyDescent="0.25">
      <c r="A137" s="26"/>
      <c r="B137" s="14" t="str">
        <f>CONCATENATE("     ","Royalty &amp; Commissions                             ")</f>
        <v xml:space="preserve">     Royalty &amp; Commissions                             </v>
      </c>
      <c r="C137" s="14"/>
      <c r="D137" s="2">
        <f>SUM(OSRRefD22_15x_0)</f>
        <v>2584.1300000000006</v>
      </c>
      <c r="E137" s="2"/>
      <c r="F137" s="6">
        <f t="shared" si="20"/>
        <v>3.2462301625461707E-3</v>
      </c>
      <c r="G137" s="2"/>
      <c r="H137" s="2">
        <f>SUM(OSRRefH22_15x_0)</f>
        <v>0</v>
      </c>
      <c r="I137" s="2"/>
      <c r="J137" s="6">
        <f t="shared" si="21"/>
        <v>0</v>
      </c>
      <c r="K137" s="2"/>
      <c r="L137" s="2">
        <f t="shared" si="22"/>
        <v>2584.1300000000006</v>
      </c>
      <c r="M137" s="2"/>
      <c r="N137" s="6">
        <f t="shared" si="23"/>
        <v>0</v>
      </c>
      <c r="O137" s="14"/>
      <c r="P137" s="2">
        <f>SUM(OSRRefP22_15x_0)</f>
        <v>72156.009999999995</v>
      </c>
      <c r="Q137" s="2"/>
      <c r="R137" s="6">
        <f t="shared" si="24"/>
        <v>1.4258725011647658E-2</v>
      </c>
      <c r="S137" s="2"/>
      <c r="T137" s="2">
        <f>SUM(OSRRefT22_15x_0)</f>
        <v>35159.06</v>
      </c>
      <c r="U137" s="2"/>
      <c r="V137" s="6">
        <f t="shared" si="25"/>
        <v>1.503534165225049E-2</v>
      </c>
      <c r="W137" s="2"/>
      <c r="X137" s="2">
        <f t="shared" si="26"/>
        <v>36996.949999999997</v>
      </c>
      <c r="Y137" s="2"/>
      <c r="Z137" s="6">
        <f t="shared" si="27"/>
        <v>1.0522735818306861</v>
      </c>
    </row>
    <row r="138" spans="1:26" s="69" customFormat="1" ht="15" hidden="1" customHeight="1" outlineLevel="2" x14ac:dyDescent="0.25">
      <c r="A138" s="25"/>
      <c r="B138" s="12" t="str">
        <f>CONCATENATE("          ","6253"," - ","ROYALTY DUE ATHLETICS-LRG")</f>
        <v xml:space="preserve">          6253 - ROYALTY DUE ATHLETICS-LRG</v>
      </c>
      <c r="C138" s="12"/>
      <c r="D138" s="7">
        <v>-3708.97</v>
      </c>
      <c r="E138" s="3"/>
      <c r="F138" s="8">
        <f t="shared" si="20"/>
        <v>-4.6592742183941471E-3</v>
      </c>
      <c r="G138" s="3"/>
      <c r="H138" s="7"/>
      <c r="I138" s="3"/>
      <c r="J138" s="8">
        <f t="shared" si="21"/>
        <v>0</v>
      </c>
      <c r="K138" s="3"/>
      <c r="L138" s="7">
        <f t="shared" si="22"/>
        <v>-3708.97</v>
      </c>
      <c r="M138" s="3"/>
      <c r="N138" s="8">
        <f t="shared" si="23"/>
        <v>0</v>
      </c>
      <c r="O138" s="12"/>
      <c r="P138" s="7">
        <v>51456.52</v>
      </c>
      <c r="Q138" s="3"/>
      <c r="R138" s="8">
        <f t="shared" si="24"/>
        <v>1.0168305713361202E-2</v>
      </c>
      <c r="S138" s="3"/>
      <c r="T138" s="7">
        <v>35159.06</v>
      </c>
      <c r="U138" s="3"/>
      <c r="V138" s="8">
        <f t="shared" si="25"/>
        <v>1.503534165225049E-2</v>
      </c>
      <c r="W138" s="3"/>
      <c r="X138" s="7">
        <f t="shared" si="26"/>
        <v>16297.46</v>
      </c>
      <c r="Y138" s="3"/>
      <c r="Z138" s="8">
        <f t="shared" si="27"/>
        <v>0.46353514570639831</v>
      </c>
    </row>
    <row r="139" spans="1:26" s="69" customFormat="1" ht="15" hidden="1" customHeight="1" outlineLevel="2" x14ac:dyDescent="0.25">
      <c r="A139" s="25"/>
      <c r="B139" s="12" t="str">
        <f>CONCATENATE("          ","6254"," - ","ROYALTY &amp; COMMISSIONS")</f>
        <v xml:space="preserve">          6254 - ROYALTY &amp; COMMISSIONS</v>
      </c>
      <c r="C139" s="12"/>
      <c r="D139" s="7">
        <v>6293.1</v>
      </c>
      <c r="E139" s="3"/>
      <c r="F139" s="8">
        <f t="shared" si="20"/>
        <v>7.9055043809403182E-3</v>
      </c>
      <c r="G139" s="3"/>
      <c r="H139" s="7"/>
      <c r="I139" s="3"/>
      <c r="J139" s="8">
        <f t="shared" si="21"/>
        <v>0</v>
      </c>
      <c r="K139" s="3"/>
      <c r="L139" s="7">
        <f t="shared" si="22"/>
        <v>6293.1</v>
      </c>
      <c r="M139" s="3"/>
      <c r="N139" s="8">
        <f t="shared" si="23"/>
        <v>0</v>
      </c>
      <c r="O139" s="12"/>
      <c r="P139" s="7">
        <v>20699.490000000002</v>
      </c>
      <c r="Q139" s="3"/>
      <c r="R139" s="8">
        <f t="shared" si="24"/>
        <v>4.0904192982864577E-3</v>
      </c>
      <c r="S139" s="3"/>
      <c r="T139" s="7"/>
      <c r="U139" s="3"/>
      <c r="V139" s="8">
        <f t="shared" si="25"/>
        <v>0</v>
      </c>
      <c r="W139" s="3"/>
      <c r="X139" s="7">
        <f t="shared" si="26"/>
        <v>20699.490000000002</v>
      </c>
      <c r="Y139" s="3"/>
      <c r="Z139" s="8">
        <f t="shared" si="27"/>
        <v>0</v>
      </c>
    </row>
    <row r="140" spans="1:26" s="68" customFormat="1" ht="15" customHeight="1" outlineLevel="1" collapsed="1" x14ac:dyDescent="0.25">
      <c r="A140" s="26"/>
      <c r="B140" s="14" t="str">
        <f>CONCATENATE("     ","Services                                          ")</f>
        <v xml:space="preserve">     Services                                          </v>
      </c>
      <c r="C140" s="14"/>
      <c r="D140" s="2">
        <f>SUM(OSRRefD22_16x_0)</f>
        <v>473.53</v>
      </c>
      <c r="E140" s="2"/>
      <c r="F140" s="6">
        <f t="shared" si="20"/>
        <v>5.9485682565137501E-4</v>
      </c>
      <c r="G140" s="2"/>
      <c r="H140" s="2">
        <f>SUM(OSRRefH22_16x_0)</f>
        <v>155.59</v>
      </c>
      <c r="I140" s="2"/>
      <c r="J140" s="6">
        <f t="shared" si="21"/>
        <v>3.6173430851019298E-4</v>
      </c>
      <c r="K140" s="2"/>
      <c r="L140" s="2">
        <f t="shared" si="22"/>
        <v>317.93999999999994</v>
      </c>
      <c r="M140" s="2"/>
      <c r="N140" s="6">
        <f t="shared" si="23"/>
        <v>2.0434475223343398</v>
      </c>
      <c r="O140" s="14"/>
      <c r="P140" s="2">
        <f>SUM(OSRRefP22_16x_0)</f>
        <v>6511.01</v>
      </c>
      <c r="Q140" s="2"/>
      <c r="R140" s="6">
        <f t="shared" si="24"/>
        <v>1.2866385092258847E-3</v>
      </c>
      <c r="S140" s="2"/>
      <c r="T140" s="2">
        <f>SUM(OSRRefT22_16x_0)</f>
        <v>937.01999999999987</v>
      </c>
      <c r="U140" s="2"/>
      <c r="V140" s="6">
        <f t="shared" si="25"/>
        <v>4.0070513361255261E-4</v>
      </c>
      <c r="W140" s="2"/>
      <c r="X140" s="2">
        <f t="shared" si="26"/>
        <v>5573.9900000000007</v>
      </c>
      <c r="Y140" s="2"/>
      <c r="Z140" s="6">
        <f t="shared" si="27"/>
        <v>5.9486350344709837</v>
      </c>
    </row>
    <row r="141" spans="1:26" s="69" customFormat="1" ht="15" hidden="1" customHeight="1" outlineLevel="2" x14ac:dyDescent="0.25">
      <c r="A141" s="25"/>
      <c r="B141" s="12" t="str">
        <f>CONCATENATE("          ","6282"," - ","JANITORIAL/EXTERMINATOR EXPENS")</f>
        <v xml:space="preserve">          6282 - JANITORIAL/EXTERMINATOR EXPENS</v>
      </c>
      <c r="C141" s="12"/>
      <c r="D141" s="7">
        <v>69</v>
      </c>
      <c r="E141" s="3"/>
      <c r="F141" s="8">
        <f t="shared" si="20"/>
        <v>8.6679029776244121E-5</v>
      </c>
      <c r="G141" s="3"/>
      <c r="H141" s="7"/>
      <c r="I141" s="3"/>
      <c r="J141" s="8">
        <f t="shared" si="21"/>
        <v>0</v>
      </c>
      <c r="K141" s="3"/>
      <c r="L141" s="7">
        <f t="shared" si="22"/>
        <v>69</v>
      </c>
      <c r="M141" s="3"/>
      <c r="N141" s="8">
        <f t="shared" si="23"/>
        <v>0</v>
      </c>
      <c r="O141" s="12"/>
      <c r="P141" s="7">
        <v>974.6</v>
      </c>
      <c r="Q141" s="3"/>
      <c r="R141" s="8">
        <f t="shared" si="24"/>
        <v>1.9259038015477587E-4</v>
      </c>
      <c r="S141" s="3"/>
      <c r="T141" s="7">
        <v>176</v>
      </c>
      <c r="U141" s="3"/>
      <c r="V141" s="8">
        <f t="shared" si="25"/>
        <v>7.526424571066708E-5</v>
      </c>
      <c r="W141" s="3"/>
      <c r="X141" s="7">
        <f t="shared" si="26"/>
        <v>798.6</v>
      </c>
      <c r="Y141" s="3"/>
      <c r="Z141" s="8">
        <f t="shared" si="27"/>
        <v>4.5375000000000005</v>
      </c>
    </row>
    <row r="142" spans="1:26" s="69" customFormat="1" ht="15" hidden="1" customHeight="1" outlineLevel="2" x14ac:dyDescent="0.25">
      <c r="A142" s="25"/>
      <c r="B142" s="12" t="str">
        <f>CONCATENATE("          ","6283"," - ","PLANT SERVICE")</f>
        <v xml:space="preserve">          6283 - PLANT SERVICE</v>
      </c>
      <c r="C142" s="12"/>
      <c r="D142" s="7"/>
      <c r="E142" s="3"/>
      <c r="F142" s="8">
        <f t="shared" si="20"/>
        <v>0</v>
      </c>
      <c r="G142" s="3"/>
      <c r="H142" s="7"/>
      <c r="I142" s="3"/>
      <c r="J142" s="8">
        <f t="shared" si="21"/>
        <v>0</v>
      </c>
      <c r="K142" s="3"/>
      <c r="L142" s="7">
        <f t="shared" si="22"/>
        <v>0</v>
      </c>
      <c r="M142" s="3"/>
      <c r="N142" s="8">
        <f t="shared" si="23"/>
        <v>0</v>
      </c>
      <c r="O142" s="12"/>
      <c r="P142" s="7"/>
      <c r="Q142" s="3"/>
      <c r="R142" s="8">
        <f t="shared" si="24"/>
        <v>0</v>
      </c>
      <c r="S142" s="3"/>
      <c r="T142" s="7">
        <v>41.31</v>
      </c>
      <c r="U142" s="3"/>
      <c r="V142" s="8">
        <f t="shared" si="25"/>
        <v>1.766571585402078E-5</v>
      </c>
      <c r="W142" s="3"/>
      <c r="X142" s="7">
        <f t="shared" si="26"/>
        <v>-41.31</v>
      </c>
      <c r="Y142" s="3"/>
      <c r="Z142" s="8">
        <f t="shared" si="27"/>
        <v>-1</v>
      </c>
    </row>
    <row r="143" spans="1:26" s="69" customFormat="1" ht="15" hidden="1" customHeight="1" outlineLevel="2" x14ac:dyDescent="0.25">
      <c r="A143" s="25"/>
      <c r="B143" s="12" t="str">
        <f>CONCATENATE("          ","6284"," - ","TRASH REMOVAL EXPENSE")</f>
        <v xml:space="preserve">          6284 - TRASH REMOVAL EXPENSE</v>
      </c>
      <c r="C143" s="12"/>
      <c r="D143" s="7">
        <v>149.69999999999999</v>
      </c>
      <c r="E143" s="3"/>
      <c r="F143" s="8">
        <f t="shared" si="20"/>
        <v>1.8805580807976441E-4</v>
      </c>
      <c r="G143" s="3"/>
      <c r="H143" s="7">
        <v>142.57</v>
      </c>
      <c r="I143" s="3"/>
      <c r="J143" s="8">
        <f t="shared" si="21"/>
        <v>3.3146384963235562E-4</v>
      </c>
      <c r="K143" s="3"/>
      <c r="L143" s="7">
        <f t="shared" si="22"/>
        <v>7.1299999999999955</v>
      </c>
      <c r="M143" s="3"/>
      <c r="N143" s="8">
        <f t="shared" si="23"/>
        <v>5.0010521147506461E-2</v>
      </c>
      <c r="O143" s="12"/>
      <c r="P143" s="7">
        <v>1489.87</v>
      </c>
      <c r="Q143" s="3"/>
      <c r="R143" s="8">
        <f t="shared" si="24"/>
        <v>2.9441271258074688E-4</v>
      </c>
      <c r="S143" s="3"/>
      <c r="T143" s="7">
        <v>1583.29</v>
      </c>
      <c r="U143" s="3"/>
      <c r="V143" s="8">
        <f t="shared" si="25"/>
        <v>6.7707458858660269E-4</v>
      </c>
      <c r="W143" s="3"/>
      <c r="X143" s="7">
        <f t="shared" si="26"/>
        <v>-93.420000000000073</v>
      </c>
      <c r="Y143" s="3"/>
      <c r="Z143" s="8">
        <f t="shared" si="27"/>
        <v>-5.9003720101813359E-2</v>
      </c>
    </row>
    <row r="144" spans="1:26" s="69" customFormat="1" ht="15" hidden="1" customHeight="1" outlineLevel="2" x14ac:dyDescent="0.25">
      <c r="A144" s="25"/>
      <c r="B144" s="12" t="str">
        <f>CONCATENATE("          ","6285"," - ","JANITORIAL SERVICES")</f>
        <v xml:space="preserve">          6285 - JANITORIAL SERVICES</v>
      </c>
      <c r="C144" s="12"/>
      <c r="D144" s="7">
        <v>254.83</v>
      </c>
      <c r="E144" s="3"/>
      <c r="F144" s="8">
        <f t="shared" si="20"/>
        <v>3.2012198779536653E-4</v>
      </c>
      <c r="G144" s="3"/>
      <c r="H144" s="7">
        <v>13.02</v>
      </c>
      <c r="I144" s="3"/>
      <c r="J144" s="8">
        <f t="shared" si="21"/>
        <v>3.0270458877837346E-5</v>
      </c>
      <c r="K144" s="3"/>
      <c r="L144" s="7">
        <f t="shared" si="22"/>
        <v>241.81</v>
      </c>
      <c r="M144" s="3"/>
      <c r="N144" s="8">
        <f t="shared" si="23"/>
        <v>18.572196620583718</v>
      </c>
      <c r="O144" s="12"/>
      <c r="P144" s="7">
        <v>4046.54</v>
      </c>
      <c r="Q144" s="3"/>
      <c r="R144" s="8">
        <f t="shared" si="24"/>
        <v>7.9963541649036198E-4</v>
      </c>
      <c r="S144" s="3"/>
      <c r="T144" s="7">
        <v>-863.58</v>
      </c>
      <c r="U144" s="3"/>
      <c r="V144" s="8">
        <f t="shared" si="25"/>
        <v>-3.6929941653873798E-4</v>
      </c>
      <c r="W144" s="3"/>
      <c r="X144" s="7">
        <f t="shared" si="26"/>
        <v>4910.12</v>
      </c>
      <c r="Y144" s="3"/>
      <c r="Z144" s="8">
        <f t="shared" si="27"/>
        <v>-5.6857731767757471</v>
      </c>
    </row>
    <row r="145" spans="1:26" s="68" customFormat="1" ht="15" customHeight="1" outlineLevel="1" collapsed="1" x14ac:dyDescent="0.25">
      <c r="A145" s="26"/>
      <c r="B145" s="14" t="str">
        <f>CONCATENATE("     ","Subscriptions &amp; Dues                              ")</f>
        <v xml:space="preserve">     Subscriptions &amp; Dues                              </v>
      </c>
      <c r="C145" s="14"/>
      <c r="D145" s="2">
        <f>SUM(OSRRefD22_17x_0)</f>
        <v>0</v>
      </c>
      <c r="E145" s="2"/>
      <c r="F145" s="6">
        <f t="shared" si="20"/>
        <v>0</v>
      </c>
      <c r="G145" s="2"/>
      <c r="H145" s="2">
        <f>SUM(OSRRefH22_17x_0)</f>
        <v>25.15</v>
      </c>
      <c r="I145" s="2"/>
      <c r="J145" s="6">
        <f t="shared" si="21"/>
        <v>5.8471738923011459E-5</v>
      </c>
      <c r="K145" s="2"/>
      <c r="L145" s="2">
        <f t="shared" si="22"/>
        <v>-25.15</v>
      </c>
      <c r="M145" s="2"/>
      <c r="N145" s="6">
        <f t="shared" si="23"/>
        <v>-1</v>
      </c>
      <c r="O145" s="14"/>
      <c r="P145" s="2">
        <f>SUM(OSRRefP22_17x_0)</f>
        <v>170.27</v>
      </c>
      <c r="Q145" s="2"/>
      <c r="R145" s="6">
        <f t="shared" si="24"/>
        <v>3.3646997772371936E-5</v>
      </c>
      <c r="S145" s="2"/>
      <c r="T145" s="2">
        <f>SUM(OSRRefT22_17x_0)</f>
        <v>2047.7199999999998</v>
      </c>
      <c r="U145" s="2"/>
      <c r="V145" s="6">
        <f t="shared" si="25"/>
        <v>8.7568239333322257E-4</v>
      </c>
      <c r="W145" s="2"/>
      <c r="X145" s="2">
        <f t="shared" si="26"/>
        <v>-1877.4499999999998</v>
      </c>
      <c r="Y145" s="2"/>
      <c r="Z145" s="6">
        <f t="shared" si="27"/>
        <v>-0.91684898325942998</v>
      </c>
    </row>
    <row r="146" spans="1:26" s="69" customFormat="1" ht="15" hidden="1" customHeight="1" outlineLevel="2" x14ac:dyDescent="0.25">
      <c r="A146" s="25"/>
      <c r="B146" s="12" t="str">
        <f>CONCATENATE("          ","6258"," - ","MEMBERSHIP DUES")</f>
        <v xml:space="preserve">          6258 - MEMBERSHIP DUES</v>
      </c>
      <c r="C146" s="12"/>
      <c r="D146" s="7"/>
      <c r="E146" s="3"/>
      <c r="F146" s="8">
        <f t="shared" si="20"/>
        <v>0</v>
      </c>
      <c r="G146" s="3"/>
      <c r="H146" s="7">
        <v>25.15</v>
      </c>
      <c r="I146" s="3"/>
      <c r="J146" s="8">
        <f t="shared" si="21"/>
        <v>5.8471738923011459E-5</v>
      </c>
      <c r="K146" s="3"/>
      <c r="L146" s="7">
        <f t="shared" si="22"/>
        <v>-25.15</v>
      </c>
      <c r="M146" s="3"/>
      <c r="N146" s="8">
        <f t="shared" si="23"/>
        <v>-1</v>
      </c>
      <c r="O146" s="12"/>
      <c r="P146" s="7">
        <v>170.27</v>
      </c>
      <c r="Q146" s="3"/>
      <c r="R146" s="8">
        <f t="shared" si="24"/>
        <v>3.3646997772371936E-5</v>
      </c>
      <c r="S146" s="3"/>
      <c r="T146" s="7">
        <v>-342.88</v>
      </c>
      <c r="U146" s="3"/>
      <c r="V146" s="8">
        <f t="shared" si="25"/>
        <v>-1.4662843505269051E-4</v>
      </c>
      <c r="W146" s="3"/>
      <c r="X146" s="7">
        <f t="shared" si="26"/>
        <v>513.15</v>
      </c>
      <c r="Y146" s="3"/>
      <c r="Z146" s="8">
        <f t="shared" si="27"/>
        <v>-1.4965877274848343</v>
      </c>
    </row>
    <row r="147" spans="1:26" s="69" customFormat="1" ht="15" hidden="1" customHeight="1" outlineLevel="2" x14ac:dyDescent="0.25">
      <c r="A147" s="25"/>
      <c r="B147" s="12" t="str">
        <f>CONCATENATE("          ","6275"," - ","SUBSCRIPTIONS")</f>
        <v xml:space="preserve">          6275 - SUBSCRIPTIONS</v>
      </c>
      <c r="C147" s="12"/>
      <c r="D147" s="7"/>
      <c r="E147" s="3"/>
      <c r="F147" s="8">
        <f t="shared" si="20"/>
        <v>0</v>
      </c>
      <c r="G147" s="3"/>
      <c r="H147" s="7"/>
      <c r="I147" s="3"/>
      <c r="J147" s="8">
        <f t="shared" si="21"/>
        <v>0</v>
      </c>
      <c r="K147" s="3"/>
      <c r="L147" s="7">
        <f t="shared" si="22"/>
        <v>0</v>
      </c>
      <c r="M147" s="3"/>
      <c r="N147" s="8">
        <f t="shared" si="23"/>
        <v>0</v>
      </c>
      <c r="O147" s="12"/>
      <c r="P147" s="7"/>
      <c r="Q147" s="3"/>
      <c r="R147" s="8">
        <f t="shared" si="24"/>
        <v>0</v>
      </c>
      <c r="S147" s="3"/>
      <c r="T147" s="7">
        <v>2390.6</v>
      </c>
      <c r="U147" s="3"/>
      <c r="V147" s="8">
        <f t="shared" si="25"/>
        <v>1.022310828385913E-3</v>
      </c>
      <c r="W147" s="3"/>
      <c r="X147" s="7">
        <f t="shared" si="26"/>
        <v>-2390.6</v>
      </c>
      <c r="Y147" s="3"/>
      <c r="Z147" s="8">
        <f t="shared" si="27"/>
        <v>-1</v>
      </c>
    </row>
    <row r="148" spans="1:26" s="68" customFormat="1" ht="15" customHeight="1" outlineLevel="1" collapsed="1" x14ac:dyDescent="0.25">
      <c r="A148" s="26"/>
      <c r="B148" s="14" t="str">
        <f>CONCATENATE("     ","Supplies                                          ")</f>
        <v xml:space="preserve">     Supplies                                          </v>
      </c>
      <c r="C148" s="14"/>
      <c r="D148" s="2">
        <f>SUM(OSRRefD22_18x_0)</f>
        <v>3184.76</v>
      </c>
      <c r="E148" s="2"/>
      <c r="F148" s="6">
        <f t="shared" si="20"/>
        <v>4.0007522734810327E-3</v>
      </c>
      <c r="G148" s="2"/>
      <c r="H148" s="2">
        <f>SUM(OSRRefH22_18x_0)</f>
        <v>51.7</v>
      </c>
      <c r="I148" s="2"/>
      <c r="J148" s="6">
        <f t="shared" si="21"/>
        <v>1.2019836589740329E-4</v>
      </c>
      <c r="K148" s="2"/>
      <c r="L148" s="2">
        <f t="shared" si="22"/>
        <v>3133.0600000000004</v>
      </c>
      <c r="M148" s="2"/>
      <c r="N148" s="6">
        <f t="shared" si="23"/>
        <v>60.600773694390718</v>
      </c>
      <c r="O148" s="14"/>
      <c r="P148" s="2">
        <f>SUM(OSRRefP22_18x_0)</f>
        <v>15249.990000000002</v>
      </c>
      <c r="Q148" s="2"/>
      <c r="R148" s="6">
        <f t="shared" si="24"/>
        <v>3.013545425258086E-3</v>
      </c>
      <c r="S148" s="2"/>
      <c r="T148" s="2">
        <f>SUM(OSRRefT22_18x_0)</f>
        <v>6533.04</v>
      </c>
      <c r="U148" s="2"/>
      <c r="V148" s="6">
        <f t="shared" si="25"/>
        <v>2.7937745897591844E-3</v>
      </c>
      <c r="W148" s="2"/>
      <c r="X148" s="2">
        <f t="shared" si="26"/>
        <v>8716.9500000000007</v>
      </c>
      <c r="Y148" s="2"/>
      <c r="Z148" s="6">
        <f t="shared" si="27"/>
        <v>1.3342869475772383</v>
      </c>
    </row>
    <row r="149" spans="1:26" s="69" customFormat="1" ht="15" hidden="1" customHeight="1" outlineLevel="2" x14ac:dyDescent="0.25">
      <c r="A149" s="25"/>
      <c r="B149" s="12" t="str">
        <f>CONCATENATE("          ","6234"," - ","EXPENDABLE SUPPLIES &amp; EQUIPMEN")</f>
        <v xml:space="preserve">          6234 - EXPENDABLE SUPPLIES &amp; EQUIPMEN</v>
      </c>
      <c r="C149" s="12"/>
      <c r="D149" s="7"/>
      <c r="E149" s="3"/>
      <c r="F149" s="8">
        <f t="shared" si="20"/>
        <v>0</v>
      </c>
      <c r="G149" s="3"/>
      <c r="H149" s="7"/>
      <c r="I149" s="3"/>
      <c r="J149" s="8">
        <f t="shared" si="21"/>
        <v>0</v>
      </c>
      <c r="K149" s="3"/>
      <c r="L149" s="7">
        <f t="shared" si="22"/>
        <v>0</v>
      </c>
      <c r="M149" s="3"/>
      <c r="N149" s="8">
        <f t="shared" si="23"/>
        <v>0</v>
      </c>
      <c r="O149" s="12"/>
      <c r="P149" s="7">
        <v>1393.55</v>
      </c>
      <c r="Q149" s="3"/>
      <c r="R149" s="8">
        <f t="shared" si="24"/>
        <v>2.7537894958412466E-4</v>
      </c>
      <c r="S149" s="3"/>
      <c r="T149" s="7">
        <v>449.5</v>
      </c>
      <c r="U149" s="3"/>
      <c r="V149" s="8">
        <f t="shared" si="25"/>
        <v>1.9222317299400486E-4</v>
      </c>
      <c r="W149" s="3"/>
      <c r="X149" s="7">
        <f t="shared" si="26"/>
        <v>944.05</v>
      </c>
      <c r="Y149" s="3"/>
      <c r="Z149" s="8">
        <f t="shared" si="27"/>
        <v>2.1002224694104559</v>
      </c>
    </row>
    <row r="150" spans="1:26" s="69" customFormat="1" ht="15" hidden="1" customHeight="1" outlineLevel="2" x14ac:dyDescent="0.25">
      <c r="A150" s="25"/>
      <c r="B150" s="12" t="str">
        <f>CONCATENATE("          ","6235"," - ","COVID-19 EXPENSES")</f>
        <v xml:space="preserve">          6235 - COVID-19 EXPENSES</v>
      </c>
      <c r="C150" s="12"/>
      <c r="D150" s="7"/>
      <c r="E150" s="3"/>
      <c r="F150" s="8">
        <f t="shared" si="20"/>
        <v>0</v>
      </c>
      <c r="G150" s="3"/>
      <c r="H150" s="7"/>
      <c r="I150" s="3"/>
      <c r="J150" s="8">
        <f t="shared" si="21"/>
        <v>0</v>
      </c>
      <c r="K150" s="3"/>
      <c r="L150" s="7">
        <f t="shared" si="22"/>
        <v>0</v>
      </c>
      <c r="M150" s="3"/>
      <c r="N150" s="8">
        <f t="shared" si="23"/>
        <v>0</v>
      </c>
      <c r="O150" s="12"/>
      <c r="P150" s="7"/>
      <c r="Q150" s="3"/>
      <c r="R150" s="8">
        <f t="shared" si="24"/>
        <v>0</v>
      </c>
      <c r="S150" s="3"/>
      <c r="T150" s="7">
        <v>1736.43</v>
      </c>
      <c r="U150" s="3"/>
      <c r="V150" s="8">
        <f t="shared" si="25"/>
        <v>7.4256303511007751E-4</v>
      </c>
      <c r="W150" s="3"/>
      <c r="X150" s="7">
        <f t="shared" si="26"/>
        <v>-1736.43</v>
      </c>
      <c r="Y150" s="3"/>
      <c r="Z150" s="8">
        <f t="shared" si="27"/>
        <v>-1</v>
      </c>
    </row>
    <row r="151" spans="1:26" s="69" customFormat="1" ht="15" hidden="1" customHeight="1" outlineLevel="2" x14ac:dyDescent="0.25">
      <c r="A151" s="25"/>
      <c r="B151" s="12" t="str">
        <f>CONCATENATE("          ","6237"," - ","JANITORIAL SUPPLIES")</f>
        <v xml:space="preserve">          6237 - JANITORIAL SUPPLIES</v>
      </c>
      <c r="C151" s="12"/>
      <c r="D151" s="7">
        <v>82.78</v>
      </c>
      <c r="E151" s="3"/>
      <c r="F151" s="8">
        <f t="shared" si="20"/>
        <v>1.0398971137503606E-4</v>
      </c>
      <c r="G151" s="3"/>
      <c r="H151" s="7"/>
      <c r="I151" s="3"/>
      <c r="J151" s="8">
        <f t="shared" si="21"/>
        <v>0</v>
      </c>
      <c r="K151" s="3"/>
      <c r="L151" s="7">
        <f t="shared" si="22"/>
        <v>82.78</v>
      </c>
      <c r="M151" s="3"/>
      <c r="N151" s="8">
        <f t="shared" si="23"/>
        <v>0</v>
      </c>
      <c r="O151" s="12"/>
      <c r="P151" s="7">
        <v>852.79</v>
      </c>
      <c r="Q151" s="3"/>
      <c r="R151" s="8">
        <f t="shared" si="24"/>
        <v>1.6851954678041381E-4</v>
      </c>
      <c r="S151" s="3"/>
      <c r="T151" s="7">
        <v>191.74</v>
      </c>
      <c r="U151" s="3"/>
      <c r="V151" s="8">
        <f t="shared" si="25"/>
        <v>8.199526404865515E-5</v>
      </c>
      <c r="W151" s="3"/>
      <c r="X151" s="7">
        <f t="shared" si="26"/>
        <v>661.05</v>
      </c>
      <c r="Y151" s="3"/>
      <c r="Z151" s="8">
        <f t="shared" si="27"/>
        <v>3.4476374256806088</v>
      </c>
    </row>
    <row r="152" spans="1:26" s="69" customFormat="1" ht="15" hidden="1" customHeight="1" outlineLevel="2" x14ac:dyDescent="0.25">
      <c r="A152" s="25"/>
      <c r="B152" s="12" t="str">
        <f>CONCATENATE("          ","6241"," - ","OFFICE EXPENSE")</f>
        <v xml:space="preserve">          6241 - OFFICE EXPENSE</v>
      </c>
      <c r="C152" s="12"/>
      <c r="D152" s="7">
        <v>157.04</v>
      </c>
      <c r="E152" s="3"/>
      <c r="F152" s="8">
        <f t="shared" si="20"/>
        <v>1.9727644689944025E-4</v>
      </c>
      <c r="G152" s="3"/>
      <c r="H152" s="7">
        <v>51.7</v>
      </c>
      <c r="I152" s="3"/>
      <c r="J152" s="8">
        <f t="shared" si="21"/>
        <v>1.2019836589740329E-4</v>
      </c>
      <c r="K152" s="3"/>
      <c r="L152" s="7">
        <f t="shared" si="22"/>
        <v>105.33999999999999</v>
      </c>
      <c r="M152" s="3"/>
      <c r="N152" s="8">
        <f t="shared" si="23"/>
        <v>2.0375241779497095</v>
      </c>
      <c r="O152" s="12"/>
      <c r="P152" s="7">
        <v>2794.06</v>
      </c>
      <c r="Q152" s="3"/>
      <c r="R152" s="8">
        <f t="shared" si="24"/>
        <v>5.5213326244126111E-4</v>
      </c>
      <c r="S152" s="3"/>
      <c r="T152" s="7">
        <v>1822.41</v>
      </c>
      <c r="U152" s="3"/>
      <c r="V152" s="8">
        <f t="shared" si="25"/>
        <v>7.7933132969077725E-4</v>
      </c>
      <c r="W152" s="3"/>
      <c r="X152" s="7">
        <f t="shared" si="26"/>
        <v>971.64999999999986</v>
      </c>
      <c r="Y152" s="3"/>
      <c r="Z152" s="8">
        <f t="shared" si="27"/>
        <v>0.53316761870270679</v>
      </c>
    </row>
    <row r="153" spans="1:26" s="69" customFormat="1" ht="15" hidden="1" customHeight="1" outlineLevel="2" x14ac:dyDescent="0.25">
      <c r="A153" s="25"/>
      <c r="B153" s="12" t="str">
        <f>CONCATENATE("          ","6245"," - ","PRINTING")</f>
        <v xml:space="preserve">          6245 - PRINTING</v>
      </c>
      <c r="C153" s="12"/>
      <c r="D153" s="7"/>
      <c r="E153" s="3"/>
      <c r="F153" s="8">
        <f t="shared" ref="F153:F162" si="28">IF(D$12=0,0,D153/D$12)</f>
        <v>0</v>
      </c>
      <c r="G153" s="3"/>
      <c r="H153" s="7"/>
      <c r="I153" s="3"/>
      <c r="J153" s="8">
        <f t="shared" ref="J153:J162" si="29">IF(H$12=0,0,H153/H$12)</f>
        <v>0</v>
      </c>
      <c r="K153" s="3"/>
      <c r="L153" s="7">
        <f t="shared" ref="L153:L162" si="30">+D153-H153</f>
        <v>0</v>
      </c>
      <c r="M153" s="3"/>
      <c r="N153" s="8">
        <f t="shared" ref="N153:N162" si="31">IF(H153=0,0,L153/H153)</f>
        <v>0</v>
      </c>
      <c r="O153" s="12"/>
      <c r="P153" s="7">
        <v>35.549999999999997</v>
      </c>
      <c r="Q153" s="3"/>
      <c r="R153" s="8">
        <f t="shared" ref="R153:R162" si="32">IF(P$12=0,0,P153/P$12)</f>
        <v>7.025023614305645E-6</v>
      </c>
      <c r="S153" s="3"/>
      <c r="T153" s="7"/>
      <c r="U153" s="3"/>
      <c r="V153" s="8">
        <f t="shared" ref="V153:V162" si="33">IF(T$12=0,0,T153/T$12)</f>
        <v>0</v>
      </c>
      <c r="W153" s="3"/>
      <c r="X153" s="7">
        <f t="shared" ref="X153:X162" si="34">+P153-T153</f>
        <v>35.549999999999997</v>
      </c>
      <c r="Y153" s="3"/>
      <c r="Z153" s="8">
        <f t="shared" ref="Z153:Z162" si="35">IF(T153=0,0,X153/T153)</f>
        <v>0</v>
      </c>
    </row>
    <row r="154" spans="1:26" s="69" customFormat="1" ht="15" hidden="1" customHeight="1" outlineLevel="2" x14ac:dyDescent="0.25">
      <c r="A154" s="25"/>
      <c r="B154" s="12" t="str">
        <f>CONCATENATE("          ","6247"," - ","STORE SUPPLIES")</f>
        <v xml:space="preserve">          6247 - STORE SUPPLIES</v>
      </c>
      <c r="C154" s="12"/>
      <c r="D154" s="7">
        <v>2944.94</v>
      </c>
      <c r="E154" s="3"/>
      <c r="F154" s="8">
        <f t="shared" si="28"/>
        <v>3.6994861152065562E-3</v>
      </c>
      <c r="G154" s="3"/>
      <c r="H154" s="7"/>
      <c r="I154" s="3"/>
      <c r="J154" s="8">
        <f t="shared" si="29"/>
        <v>0</v>
      </c>
      <c r="K154" s="3"/>
      <c r="L154" s="7">
        <f t="shared" si="30"/>
        <v>2944.94</v>
      </c>
      <c r="M154" s="3"/>
      <c r="N154" s="8">
        <f t="shared" si="31"/>
        <v>0</v>
      </c>
      <c r="O154" s="12"/>
      <c r="P154" s="7">
        <v>10174.040000000001</v>
      </c>
      <c r="Q154" s="3"/>
      <c r="R154" s="8">
        <f t="shared" si="32"/>
        <v>2.0104886428379807E-3</v>
      </c>
      <c r="S154" s="3"/>
      <c r="T154" s="7">
        <v>2332.96</v>
      </c>
      <c r="U154" s="3"/>
      <c r="V154" s="8">
        <f t="shared" si="33"/>
        <v>9.9766178791566972E-4</v>
      </c>
      <c r="W154" s="3"/>
      <c r="X154" s="7">
        <f t="shared" si="34"/>
        <v>7841.0800000000008</v>
      </c>
      <c r="Y154" s="3"/>
      <c r="Z154" s="8">
        <f t="shared" si="35"/>
        <v>3.3610006172416163</v>
      </c>
    </row>
    <row r="155" spans="1:26" s="68" customFormat="1" ht="15" customHeight="1" outlineLevel="1" collapsed="1" x14ac:dyDescent="0.25">
      <c r="A155" s="26"/>
      <c r="B155" s="14" t="str">
        <f>CONCATENATE("     ","Telephone/Data Lines                              ")</f>
        <v xml:space="preserve">     Telephone/Data Lines                              </v>
      </c>
      <c r="C155" s="14"/>
      <c r="D155" s="2">
        <f>SUM(OSRRefD22_19x_0)</f>
        <v>662.44</v>
      </c>
      <c r="E155" s="2"/>
      <c r="F155" s="6">
        <f t="shared" si="28"/>
        <v>8.3216893456485746E-4</v>
      </c>
      <c r="G155" s="2"/>
      <c r="H155" s="2">
        <f>SUM(OSRRefH22_19x_0)</f>
        <v>549.70000000000005</v>
      </c>
      <c r="I155" s="2"/>
      <c r="J155" s="6">
        <f t="shared" si="29"/>
        <v>1.2780085441741315E-3</v>
      </c>
      <c r="K155" s="2"/>
      <c r="L155" s="2">
        <f t="shared" si="30"/>
        <v>112.74000000000001</v>
      </c>
      <c r="M155" s="2"/>
      <c r="N155" s="6">
        <f t="shared" si="31"/>
        <v>0.20509368746589049</v>
      </c>
      <c r="O155" s="14"/>
      <c r="P155" s="2">
        <f>SUM(OSRRefP22_19x_0)</f>
        <v>6455.03</v>
      </c>
      <c r="Q155" s="2"/>
      <c r="R155" s="6">
        <f t="shared" si="32"/>
        <v>1.2755763201420919E-3</v>
      </c>
      <c r="S155" s="2"/>
      <c r="T155" s="2">
        <f>SUM(OSRRefT22_19x_0)</f>
        <v>6886.48</v>
      </c>
      <c r="U155" s="2"/>
      <c r="V155" s="6">
        <f t="shared" si="33"/>
        <v>2.9449188795545147E-3</v>
      </c>
      <c r="W155" s="2"/>
      <c r="X155" s="2">
        <f t="shared" si="34"/>
        <v>-431.44999999999982</v>
      </c>
      <c r="Y155" s="2"/>
      <c r="Z155" s="6">
        <f t="shared" si="35"/>
        <v>-6.265174661075032E-2</v>
      </c>
    </row>
    <row r="156" spans="1:26" s="69" customFormat="1" ht="15" hidden="1" customHeight="1" outlineLevel="2" x14ac:dyDescent="0.25">
      <c r="A156" s="25"/>
      <c r="B156" s="12" t="str">
        <f>CONCATENATE("          ","6309"," - ","TELEPHONE")</f>
        <v xml:space="preserve">          6309 - TELEPHONE</v>
      </c>
      <c r="C156" s="12"/>
      <c r="D156" s="7">
        <v>662.44</v>
      </c>
      <c r="E156" s="3"/>
      <c r="F156" s="8">
        <f t="shared" si="28"/>
        <v>8.3216893456485746E-4</v>
      </c>
      <c r="G156" s="3"/>
      <c r="H156" s="7">
        <v>549.70000000000005</v>
      </c>
      <c r="I156" s="3"/>
      <c r="J156" s="8">
        <f t="shared" si="29"/>
        <v>1.2780085441741315E-3</v>
      </c>
      <c r="K156" s="3"/>
      <c r="L156" s="7">
        <f t="shared" si="30"/>
        <v>112.74000000000001</v>
      </c>
      <c r="M156" s="3"/>
      <c r="N156" s="8">
        <f t="shared" si="31"/>
        <v>0.20509368746589049</v>
      </c>
      <c r="O156" s="12"/>
      <c r="P156" s="7">
        <v>6455.03</v>
      </c>
      <c r="Q156" s="3"/>
      <c r="R156" s="8">
        <f t="shared" si="32"/>
        <v>1.2755763201420919E-3</v>
      </c>
      <c r="S156" s="3"/>
      <c r="T156" s="7">
        <v>6886.48</v>
      </c>
      <c r="U156" s="3"/>
      <c r="V156" s="8">
        <f t="shared" si="33"/>
        <v>2.9449188795545147E-3</v>
      </c>
      <c r="W156" s="3"/>
      <c r="X156" s="7">
        <f t="shared" si="34"/>
        <v>-431.44999999999982</v>
      </c>
      <c r="Y156" s="3"/>
      <c r="Z156" s="8">
        <f t="shared" si="35"/>
        <v>-6.265174661075032E-2</v>
      </c>
    </row>
    <row r="157" spans="1:26" s="68" customFormat="1" ht="15" customHeight="1" outlineLevel="1" collapsed="1" x14ac:dyDescent="0.25">
      <c r="A157" s="26"/>
      <c r="B157" s="14" t="str">
        <f>CONCATENATE("     ","Training                                          ")</f>
        <v xml:space="preserve">     Training                                          </v>
      </c>
      <c r="C157" s="14"/>
      <c r="D157" s="2">
        <f>SUM(OSRRefD22_20x_0)</f>
        <v>0</v>
      </c>
      <c r="E157" s="2"/>
      <c r="F157" s="6">
        <f t="shared" si="28"/>
        <v>0</v>
      </c>
      <c r="G157" s="2"/>
      <c r="H157" s="2">
        <f>SUM(OSRRefH22_20x_0)</f>
        <v>0</v>
      </c>
      <c r="I157" s="2"/>
      <c r="J157" s="6">
        <f t="shared" si="29"/>
        <v>0</v>
      </c>
      <c r="K157" s="2"/>
      <c r="L157" s="2">
        <f t="shared" si="30"/>
        <v>0</v>
      </c>
      <c r="M157" s="2"/>
      <c r="N157" s="6">
        <f t="shared" si="31"/>
        <v>0</v>
      </c>
      <c r="O157" s="14"/>
      <c r="P157" s="2">
        <f>SUM(OSRRefP22_20x_0)</f>
        <v>300</v>
      </c>
      <c r="Q157" s="2"/>
      <c r="R157" s="6">
        <f t="shared" si="32"/>
        <v>5.9282899698781817E-5</v>
      </c>
      <c r="S157" s="2"/>
      <c r="T157" s="2">
        <f>SUM(OSRRefT22_20x_0)</f>
        <v>14</v>
      </c>
      <c r="U157" s="2"/>
      <c r="V157" s="6">
        <f t="shared" si="33"/>
        <v>5.9869286360757903E-6</v>
      </c>
      <c r="W157" s="2"/>
      <c r="X157" s="2">
        <f t="shared" si="34"/>
        <v>286</v>
      </c>
      <c r="Y157" s="2"/>
      <c r="Z157" s="6">
        <f t="shared" si="35"/>
        <v>20.428571428571427</v>
      </c>
    </row>
    <row r="158" spans="1:26" s="69" customFormat="1" ht="15" hidden="1" customHeight="1" outlineLevel="2" x14ac:dyDescent="0.25">
      <c r="A158" s="25"/>
      <c r="B158" s="12" t="str">
        <f>CONCATENATE("          ","6376"," - ","TRAINING")</f>
        <v xml:space="preserve">          6376 - TRAINING</v>
      </c>
      <c r="C158" s="12"/>
      <c r="D158" s="7"/>
      <c r="E158" s="3"/>
      <c r="F158" s="8">
        <f t="shared" si="28"/>
        <v>0</v>
      </c>
      <c r="G158" s="3"/>
      <c r="H158" s="7"/>
      <c r="I158" s="3"/>
      <c r="J158" s="8">
        <f t="shared" si="29"/>
        <v>0</v>
      </c>
      <c r="K158" s="3"/>
      <c r="L158" s="7">
        <f t="shared" si="30"/>
        <v>0</v>
      </c>
      <c r="M158" s="3"/>
      <c r="N158" s="8">
        <f t="shared" si="31"/>
        <v>0</v>
      </c>
      <c r="O158" s="12"/>
      <c r="P158" s="7">
        <v>300</v>
      </c>
      <c r="Q158" s="3"/>
      <c r="R158" s="8">
        <f t="shared" si="32"/>
        <v>5.9282899698781817E-5</v>
      </c>
      <c r="S158" s="3"/>
      <c r="T158" s="7">
        <v>14</v>
      </c>
      <c r="U158" s="3"/>
      <c r="V158" s="8">
        <f t="shared" si="33"/>
        <v>5.9869286360757903E-6</v>
      </c>
      <c r="W158" s="3"/>
      <c r="X158" s="7">
        <f t="shared" si="34"/>
        <v>286</v>
      </c>
      <c r="Y158" s="3"/>
      <c r="Z158" s="8">
        <f t="shared" si="35"/>
        <v>20.428571428571427</v>
      </c>
    </row>
    <row r="159" spans="1:26" s="68" customFormat="1" ht="15" customHeight="1" outlineLevel="1" collapsed="1" x14ac:dyDescent="0.25">
      <c r="A159" s="26"/>
      <c r="B159" s="14" t="str">
        <f>CONCATENATE("     ","Travel                                            ")</f>
        <v xml:space="preserve">     Travel                                            </v>
      </c>
      <c r="C159" s="14"/>
      <c r="D159" s="2">
        <f>SUM(OSRRefD22_21x_0)</f>
        <v>187.15</v>
      </c>
      <c r="E159" s="2"/>
      <c r="F159" s="6">
        <f t="shared" si="28"/>
        <v>2.3510116554527664E-4</v>
      </c>
      <c r="G159" s="2"/>
      <c r="H159" s="2">
        <f>SUM(OSRRefH22_21x_0)</f>
        <v>0</v>
      </c>
      <c r="I159" s="2"/>
      <c r="J159" s="6">
        <f t="shared" si="29"/>
        <v>0</v>
      </c>
      <c r="K159" s="2"/>
      <c r="L159" s="2">
        <f t="shared" si="30"/>
        <v>187.15</v>
      </c>
      <c r="M159" s="2"/>
      <c r="N159" s="6">
        <f t="shared" si="31"/>
        <v>0</v>
      </c>
      <c r="O159" s="14"/>
      <c r="P159" s="2">
        <f>SUM(OSRRefP22_21x_0)</f>
        <v>590.63</v>
      </c>
      <c r="Q159" s="2"/>
      <c r="R159" s="6">
        <f t="shared" si="32"/>
        <v>1.1671419683030502E-4</v>
      </c>
      <c r="S159" s="2"/>
      <c r="T159" s="2">
        <f>SUM(OSRRefT22_21x_0)</f>
        <v>613.35</v>
      </c>
      <c r="U159" s="2"/>
      <c r="V159" s="6">
        <f t="shared" si="33"/>
        <v>2.6229161992407757E-4</v>
      </c>
      <c r="W159" s="2"/>
      <c r="X159" s="2">
        <f t="shared" si="34"/>
        <v>-22.720000000000027</v>
      </c>
      <c r="Y159" s="2"/>
      <c r="Z159" s="6">
        <f t="shared" si="35"/>
        <v>-3.7042471671965477E-2</v>
      </c>
    </row>
    <row r="160" spans="1:26" s="69" customFormat="1" ht="15" hidden="1" customHeight="1" outlineLevel="2" x14ac:dyDescent="0.25">
      <c r="A160" s="25"/>
      <c r="B160" s="12" t="str">
        <f>CONCATENATE("          ","6294"," - ","TRAVEL OPERATIONAL")</f>
        <v xml:space="preserve">          6294 - TRAVEL OPERATIONAL</v>
      </c>
      <c r="C160" s="12"/>
      <c r="D160" s="7">
        <v>187.15</v>
      </c>
      <c r="E160" s="3"/>
      <c r="F160" s="8">
        <f t="shared" si="28"/>
        <v>2.3510116554527664E-4</v>
      </c>
      <c r="G160" s="3"/>
      <c r="H160" s="7"/>
      <c r="I160" s="3"/>
      <c r="J160" s="8">
        <f t="shared" si="29"/>
        <v>0</v>
      </c>
      <c r="K160" s="3"/>
      <c r="L160" s="7">
        <f t="shared" si="30"/>
        <v>187.15</v>
      </c>
      <c r="M160" s="3"/>
      <c r="N160" s="8">
        <f t="shared" si="31"/>
        <v>0</v>
      </c>
      <c r="O160" s="12"/>
      <c r="P160" s="7">
        <v>590.63</v>
      </c>
      <c r="Q160" s="3"/>
      <c r="R160" s="8">
        <f t="shared" si="32"/>
        <v>1.1671419683030502E-4</v>
      </c>
      <c r="S160" s="3"/>
      <c r="T160" s="7">
        <v>613.35</v>
      </c>
      <c r="U160" s="3"/>
      <c r="V160" s="8">
        <f t="shared" si="33"/>
        <v>2.6229161992407757E-4</v>
      </c>
      <c r="W160" s="3"/>
      <c r="X160" s="7">
        <f t="shared" si="34"/>
        <v>-22.720000000000027</v>
      </c>
      <c r="Y160" s="3"/>
      <c r="Z160" s="8">
        <f t="shared" si="35"/>
        <v>-3.7042471671965477E-2</v>
      </c>
    </row>
    <row r="161" spans="1:26" s="68" customFormat="1" ht="15" customHeight="1" outlineLevel="1" collapsed="1" x14ac:dyDescent="0.25">
      <c r="A161" s="26"/>
      <c r="B161" s="14" t="str">
        <f>CONCATENATE("     ","Utilities                                         ")</f>
        <v xml:space="preserve">     Utilities                                         </v>
      </c>
      <c r="C161" s="14"/>
      <c r="D161" s="2">
        <f>SUM(OSRRefD22_22x_0)</f>
        <v>16.670000000000002</v>
      </c>
      <c r="E161" s="2"/>
      <c r="F161" s="6">
        <f t="shared" si="28"/>
        <v>2.0941151106811446E-5</v>
      </c>
      <c r="G161" s="2"/>
      <c r="H161" s="2">
        <f>SUM(OSRRefH22_22x_0)</f>
        <v>29.9</v>
      </c>
      <c r="I161" s="2"/>
      <c r="J161" s="6">
        <f t="shared" si="29"/>
        <v>6.9515109097337678E-5</v>
      </c>
      <c r="K161" s="2"/>
      <c r="L161" s="2">
        <f t="shared" si="30"/>
        <v>-13.229999999999997</v>
      </c>
      <c r="M161" s="2"/>
      <c r="N161" s="6">
        <f t="shared" si="31"/>
        <v>-0.44247491638795977</v>
      </c>
      <c r="O161" s="14"/>
      <c r="P161" s="2">
        <f>SUM(OSRRefP22_22x_0)</f>
        <v>1303.8900000000001</v>
      </c>
      <c r="Q161" s="2"/>
      <c r="R161" s="6">
        <f t="shared" si="32"/>
        <v>2.5766126696081544E-4</v>
      </c>
      <c r="S161" s="2"/>
      <c r="T161" s="2">
        <f>SUM(OSRRefT22_22x_0)</f>
        <v>294.43</v>
      </c>
      <c r="U161" s="2"/>
      <c r="V161" s="6">
        <f t="shared" si="33"/>
        <v>1.2590938559427106E-4</v>
      </c>
      <c r="W161" s="2"/>
      <c r="X161" s="2">
        <f t="shared" si="34"/>
        <v>1009.46</v>
      </c>
      <c r="Y161" s="2"/>
      <c r="Z161" s="6">
        <f t="shared" si="35"/>
        <v>3.4285229086709914</v>
      </c>
    </row>
    <row r="162" spans="1:26" s="69" customFormat="1" ht="15" hidden="1" customHeight="1" outlineLevel="2" x14ac:dyDescent="0.25">
      <c r="A162" s="25"/>
      <c r="B162" s="12" t="str">
        <f>CONCATENATE("          ","6274"," - ","UTILITIES")</f>
        <v xml:space="preserve">          6274 - UTILITIES</v>
      </c>
      <c r="C162" s="12"/>
      <c r="D162" s="7">
        <v>16.670000000000002</v>
      </c>
      <c r="E162" s="3"/>
      <c r="F162" s="8">
        <f t="shared" si="28"/>
        <v>2.0941151106811446E-5</v>
      </c>
      <c r="G162" s="3"/>
      <c r="H162" s="7">
        <v>29.9</v>
      </c>
      <c r="I162" s="3"/>
      <c r="J162" s="8">
        <f t="shared" si="29"/>
        <v>6.9515109097337678E-5</v>
      </c>
      <c r="K162" s="3"/>
      <c r="L162" s="7">
        <f t="shared" si="30"/>
        <v>-13.229999999999997</v>
      </c>
      <c r="M162" s="3"/>
      <c r="N162" s="8">
        <f t="shared" si="31"/>
        <v>-0.44247491638795977</v>
      </c>
      <c r="O162" s="12"/>
      <c r="P162" s="7">
        <v>1303.8900000000001</v>
      </c>
      <c r="Q162" s="3"/>
      <c r="R162" s="8">
        <f t="shared" si="32"/>
        <v>2.5766126696081544E-4</v>
      </c>
      <c r="S162" s="3"/>
      <c r="T162" s="7">
        <v>294.43</v>
      </c>
      <c r="U162" s="3"/>
      <c r="V162" s="8">
        <f t="shared" si="33"/>
        <v>1.2590938559427106E-4</v>
      </c>
      <c r="W162" s="3"/>
      <c r="X162" s="7">
        <f t="shared" si="34"/>
        <v>1009.46</v>
      </c>
      <c r="Y162" s="3"/>
      <c r="Z162" s="8">
        <f t="shared" si="35"/>
        <v>3.4285229086709914</v>
      </c>
    </row>
    <row r="163" spans="1:26" s="64" customFormat="1" ht="15" customHeight="1" x14ac:dyDescent="0.25">
      <c r="A163" s="36"/>
      <c r="B163" s="36"/>
      <c r="C163" s="36"/>
      <c r="D163" s="2"/>
      <c r="E163" s="2"/>
      <c r="F163" s="6"/>
      <c r="G163" s="2"/>
      <c r="H163" s="2"/>
      <c r="I163" s="2"/>
      <c r="J163" s="6"/>
      <c r="K163" s="2"/>
      <c r="L163" s="2"/>
      <c r="M163" s="2"/>
      <c r="N163" s="6"/>
      <c r="O163" s="36"/>
      <c r="P163" s="2"/>
      <c r="Q163" s="2"/>
      <c r="R163" s="6"/>
      <c r="S163" s="2"/>
      <c r="T163" s="2"/>
      <c r="U163" s="2"/>
      <c r="V163" s="6"/>
      <c r="W163" s="2"/>
      <c r="X163" s="2"/>
      <c r="Y163" s="2"/>
      <c r="Z163" s="6"/>
    </row>
    <row r="164" spans="1:26" s="62" customFormat="1" ht="15" customHeight="1" collapsed="1" x14ac:dyDescent="0.25">
      <c r="A164" s="11"/>
      <c r="B164" s="28" t="s">
        <v>290</v>
      </c>
      <c r="C164" s="11"/>
      <c r="D164" s="5">
        <f>SUM(OSRRefD25x_0)</f>
        <v>384795</v>
      </c>
      <c r="E164" s="5"/>
      <c r="F164" s="13">
        <f>IF(D$12=0,0,D164/D$12)</f>
        <v>0.4833863371413023</v>
      </c>
      <c r="G164" s="5"/>
      <c r="H164" s="5">
        <f>SUM(OSRRefH25x_0)</f>
        <v>1862</v>
      </c>
      <c r="I164" s="5"/>
      <c r="J164" s="13">
        <f>IF(H$12=0,0,H164/H$12)</f>
        <v>4.3290011083358783E-3</v>
      </c>
      <c r="K164" s="5"/>
      <c r="L164" s="5">
        <f>+D164-H164</f>
        <v>382933</v>
      </c>
      <c r="M164" s="5"/>
      <c r="N164" s="13">
        <f>IF(H164=0,0,L164/H164)</f>
        <v>205.65682062298603</v>
      </c>
      <c r="O164" s="11"/>
      <c r="P164" s="5">
        <f>SUM(OSRRefP25x_0)</f>
        <v>752375.02999999991</v>
      </c>
      <c r="Q164" s="5"/>
      <c r="R164" s="13">
        <f>IF(P$12=0,0,P164/P$12)</f>
        <v>0.1486765781311932</v>
      </c>
      <c r="S164" s="5"/>
      <c r="T164" s="5">
        <f>SUM(OSRRefT25x_0)</f>
        <v>412686.77999999997</v>
      </c>
      <c r="U164" s="5"/>
      <c r="V164" s="13">
        <f>IF(T$12=0,0,T164/T$12)</f>
        <v>0.17648045006513641</v>
      </c>
      <c r="W164" s="5"/>
      <c r="X164" s="5">
        <f>+P164-T164</f>
        <v>339688.24999999994</v>
      </c>
      <c r="Y164" s="5"/>
      <c r="Z164" s="13">
        <f>IF(T164=0,0,X164/T164)</f>
        <v>0.82311396066527731</v>
      </c>
    </row>
    <row r="165" spans="1:26" s="69" customFormat="1" ht="15" hidden="1" customHeight="1" outlineLevel="1" x14ac:dyDescent="0.25">
      <c r="A165" s="42"/>
      <c r="B165" s="12" t="str">
        <f>CONCATENATE("          ","4098"," - ","TAXABLE SALES-GRAD RENTALS")</f>
        <v xml:space="preserve">          4098 - TAXABLE SALES-GRAD RENTALS</v>
      </c>
      <c r="C165" s="12"/>
      <c r="D165" s="3">
        <f>0</f>
        <v>0</v>
      </c>
      <c r="E165" s="3"/>
      <c r="F165" s="20">
        <f>IF(D$12=0,0,D165/D$12)</f>
        <v>0</v>
      </c>
      <c r="G165" s="3"/>
      <c r="H165" s="3">
        <f>0</f>
        <v>0</v>
      </c>
      <c r="I165" s="3"/>
      <c r="J165" s="20">
        <f>IF(H$12=0,0,H165/H$12)</f>
        <v>0</v>
      </c>
      <c r="K165" s="3"/>
      <c r="L165" s="3">
        <f>+D165-H165</f>
        <v>0</v>
      </c>
      <c r="M165" s="3"/>
      <c r="N165" s="20">
        <f>IF(H165=0,0,L165/H165)</f>
        <v>0</v>
      </c>
      <c r="O165" s="12"/>
      <c r="P165" s="3">
        <f>0</f>
        <v>0</v>
      </c>
      <c r="Q165" s="3"/>
      <c r="R165" s="20">
        <f>IF(P$12=0,0,P165/P$12)</f>
        <v>0</v>
      </c>
      <c r="S165" s="3"/>
      <c r="T165" s="3">
        <f>--49.95</f>
        <v>49.95</v>
      </c>
      <c r="U165" s="3"/>
      <c r="V165" s="20">
        <f>IF(T$12=0,0,T165/T$12)</f>
        <v>2.1360506097998981E-5</v>
      </c>
      <c r="W165" s="3"/>
      <c r="X165" s="3">
        <f>+P165-T165</f>
        <v>-49.95</v>
      </c>
      <c r="Y165" s="3"/>
      <c r="Z165" s="20">
        <f>IF(T165=0,0,X165/T165)</f>
        <v>-1</v>
      </c>
    </row>
    <row r="166" spans="1:26" s="69" customFormat="1" ht="15" hidden="1" customHeight="1" outlineLevel="1" x14ac:dyDescent="0.25">
      <c r="A166" s="42"/>
      <c r="B166" s="12" t="str">
        <f>CONCATENATE("          ","9150"," - ","MISC. INCOME")</f>
        <v xml:space="preserve">          9150 - MISC. INCOME</v>
      </c>
      <c r="C166" s="12"/>
      <c r="D166" s="3">
        <f>--145</f>
        <v>145</v>
      </c>
      <c r="E166" s="3"/>
      <c r="F166" s="20">
        <f>IF(D$12=0,0,D166/D$12)</f>
        <v>1.8215158431239708E-4</v>
      </c>
      <c r="G166" s="3"/>
      <c r="H166" s="3">
        <f>0</f>
        <v>0</v>
      </c>
      <c r="I166" s="3"/>
      <c r="J166" s="20">
        <f>IF(H$12=0,0,H166/H$12)</f>
        <v>0</v>
      </c>
      <c r="K166" s="3"/>
      <c r="L166" s="3">
        <f>+D166-H166</f>
        <v>145</v>
      </c>
      <c r="M166" s="3"/>
      <c r="N166" s="20">
        <f>IF(H166=0,0,L166/H166)</f>
        <v>0</v>
      </c>
      <c r="O166" s="12"/>
      <c r="P166" s="3">
        <f>--110905.33</f>
        <v>110905.33</v>
      </c>
      <c r="Q166" s="3"/>
      <c r="R166" s="20">
        <f>IF(P$12=0,0,P166/P$12)</f>
        <v>2.1915965181500994E-2</v>
      </c>
      <c r="S166" s="3"/>
      <c r="T166" s="3">
        <f>--64296.27</f>
        <v>64296.27</v>
      </c>
      <c r="U166" s="3"/>
      <c r="V166" s="20">
        <f>IF(T$12=0,0,T166/T$12)</f>
        <v>2.7495512861132911E-2</v>
      </c>
      <c r="W166" s="3"/>
      <c r="X166" s="3">
        <f>+P166-T166</f>
        <v>46609.060000000005</v>
      </c>
      <c r="Y166" s="3"/>
      <c r="Z166" s="20">
        <f>IF(T166=0,0,X166/T166)</f>
        <v>0.72491079187019725</v>
      </c>
    </row>
    <row r="167" spans="1:26" s="69" customFormat="1" ht="15" hidden="1" customHeight="1" outlineLevel="1" x14ac:dyDescent="0.25">
      <c r="A167" s="42"/>
      <c r="B167" s="12" t="str">
        <f>CONCATENATE("          ","9163"," - ","MISC. INCOME")</f>
        <v xml:space="preserve">          9163 - MISC. INCOME</v>
      </c>
      <c r="C167" s="12"/>
      <c r="D167" s="3">
        <f>--384650</f>
        <v>384650</v>
      </c>
      <c r="E167" s="3"/>
      <c r="F167" s="20">
        <f>IF(D$12=0,0,D167/D$12)</f>
        <v>0.48320418555698991</v>
      </c>
      <c r="G167" s="3"/>
      <c r="H167" s="3">
        <f>--1862</f>
        <v>1862</v>
      </c>
      <c r="I167" s="3"/>
      <c r="J167" s="20">
        <f>IF(H$12=0,0,H167/H$12)</f>
        <v>4.3290011083358783E-3</v>
      </c>
      <c r="K167" s="3"/>
      <c r="L167" s="3">
        <f>+D167-H167</f>
        <v>382788</v>
      </c>
      <c r="M167" s="3"/>
      <c r="N167" s="20">
        <f>IF(H167=0,0,L167/H167)</f>
        <v>205.57894736842104</v>
      </c>
      <c r="O167" s="12"/>
      <c r="P167" s="3">
        <f>--641469.7</f>
        <v>641469.69999999995</v>
      </c>
      <c r="Q167" s="3"/>
      <c r="R167" s="20">
        <f>IF(P$12=0,0,P167/P$12)</f>
        <v>0.12676061294969221</v>
      </c>
      <c r="S167" s="3"/>
      <c r="T167" s="3">
        <f>--348340.56</f>
        <v>348340.56</v>
      </c>
      <c r="U167" s="3"/>
      <c r="V167" s="20">
        <f>IF(T$12=0,0,T167/T$12)</f>
        <v>0.1489635766979055</v>
      </c>
      <c r="W167" s="3"/>
      <c r="X167" s="3">
        <f>+P167-T167</f>
        <v>293129.13999999996</v>
      </c>
      <c r="Y167" s="3"/>
      <c r="Z167" s="20">
        <f>IF(T167=0,0,X167/T167)</f>
        <v>0.84150160406241514</v>
      </c>
    </row>
    <row r="168" spans="1:26" ht="15" customHeight="1" x14ac:dyDescent="0.25">
      <c r="A168" s="10"/>
      <c r="B168" s="11"/>
      <c r="C168" s="11"/>
      <c r="D168" s="4"/>
      <c r="E168" s="4"/>
      <c r="F168" s="9"/>
      <c r="G168" s="4"/>
      <c r="H168" s="4"/>
      <c r="I168" s="4"/>
      <c r="J168" s="9"/>
      <c r="K168" s="4"/>
      <c r="L168" s="4"/>
      <c r="M168" s="4"/>
      <c r="N168" s="9"/>
      <c r="O168" s="11"/>
      <c r="P168" s="4"/>
      <c r="Q168" s="4"/>
      <c r="R168" s="9"/>
      <c r="S168" s="4"/>
      <c r="T168" s="4"/>
      <c r="U168" s="4"/>
      <c r="V168" s="9"/>
      <c r="W168" s="4"/>
      <c r="X168" s="4"/>
      <c r="Y168" s="4"/>
      <c r="Z168" s="9"/>
    </row>
    <row r="169" spans="1:26" s="62" customFormat="1" ht="15" customHeight="1" x14ac:dyDescent="0.25">
      <c r="A169" s="11"/>
      <c r="B169" s="27" t="s">
        <v>291</v>
      </c>
      <c r="C169" s="27"/>
      <c r="D169" s="22">
        <f>+D87-D89+D164</f>
        <v>714127.89999999991</v>
      </c>
      <c r="E169" s="15"/>
      <c r="F169" s="23">
        <f>IF(D$12=0,0,D169/D$12)</f>
        <v>0.89710019577024169</v>
      </c>
      <c r="G169" s="15"/>
      <c r="H169" s="22">
        <f>+H87-H89+H164</f>
        <v>171366.36000000013</v>
      </c>
      <c r="I169" s="15"/>
      <c r="J169" s="23">
        <f>IF(H$12=0,0,H169/H$12)</f>
        <v>0.39841308398038977</v>
      </c>
      <c r="K169" s="16"/>
      <c r="L169" s="22">
        <f>+D169-H169</f>
        <v>542761.5399999998</v>
      </c>
      <c r="M169" s="16"/>
      <c r="N169" s="23">
        <f>IF(H169=0,0,L169/H169)</f>
        <v>3.16725838139994</v>
      </c>
      <c r="O169" s="28"/>
      <c r="P169" s="22">
        <f>+P87-P89+P164</f>
        <v>2227773.2499999986</v>
      </c>
      <c r="Q169" s="15"/>
      <c r="R169" s="23">
        <f>IF(P$12=0,0,P169/P$12)</f>
        <v>0.44022952710459706</v>
      </c>
      <c r="S169" s="15"/>
      <c r="T169" s="22">
        <f>+T87-T89+T164</f>
        <v>748569.71000000136</v>
      </c>
      <c r="U169" s="15"/>
      <c r="V169" s="23">
        <f>IF(T$12=0,0,T169/T$12)</f>
        <v>0.32011667377842556</v>
      </c>
      <c r="W169" s="16"/>
      <c r="X169" s="22">
        <f>+P169-T169</f>
        <v>1479203.5399999972</v>
      </c>
      <c r="Y169" s="16"/>
      <c r="Z169" s="23">
        <f>IF(T169=0,0,X169/T169)</f>
        <v>1.976039799953961</v>
      </c>
    </row>
    <row r="170" spans="1:26" ht="15" customHeight="1" x14ac:dyDescent="0.25">
      <c r="A170" s="10"/>
      <c r="B170" s="11"/>
      <c r="C170" s="10"/>
      <c r="D170" s="4"/>
      <c r="E170" s="4"/>
      <c r="F170" s="9"/>
      <c r="G170" s="4"/>
      <c r="H170" s="4"/>
      <c r="I170" s="4"/>
      <c r="J170" s="9"/>
      <c r="K170" s="4"/>
      <c r="L170" s="4"/>
      <c r="M170" s="4"/>
      <c r="N170" s="9"/>
      <c r="P170" s="4"/>
      <c r="Q170" s="4"/>
      <c r="R170" s="9"/>
      <c r="S170" s="4"/>
      <c r="T170" s="4"/>
      <c r="U170" s="4"/>
      <c r="V170" s="9"/>
      <c r="W170" s="4"/>
      <c r="X170" s="4"/>
      <c r="Y170" s="4"/>
      <c r="Z170" s="9"/>
    </row>
    <row r="171" spans="1:26" s="62" customFormat="1" ht="15" customHeight="1" x14ac:dyDescent="0.25">
      <c r="A171" s="48"/>
      <c r="B171" s="11" t="s">
        <v>292</v>
      </c>
      <c r="C171" s="11"/>
      <c r="D171" s="5">
        <v>85833.98</v>
      </c>
      <c r="E171" s="5"/>
      <c r="F171" s="13">
        <f>IF(D$12=0,0,D171/D$12)</f>
        <v>0.10782617548164554</v>
      </c>
      <c r="G171" s="5"/>
      <c r="H171" s="5">
        <v>100474.6</v>
      </c>
      <c r="I171" s="5"/>
      <c r="J171" s="13">
        <f>IF(H$12=0,0,H171/H$12)</f>
        <v>0.23359541071944367</v>
      </c>
      <c r="K171" s="5"/>
      <c r="L171" s="5">
        <f>+D171-H171</f>
        <v>-14640.62000000001</v>
      </c>
      <c r="M171" s="5"/>
      <c r="N171" s="13">
        <f>IF(H171=0,0,L171/H171)</f>
        <v>-0.1457146383265025</v>
      </c>
      <c r="O171" s="11"/>
      <c r="P171" s="5">
        <v>568926.39</v>
      </c>
      <c r="Q171" s="5"/>
      <c r="R171" s="13">
        <f>IF(P$12=0,0,P171/P$12)</f>
        <v>0.11242535371453342</v>
      </c>
      <c r="S171" s="5"/>
      <c r="T171" s="5">
        <v>499699.84</v>
      </c>
      <c r="U171" s="5"/>
      <c r="V171" s="13">
        <f>IF(T$12=0,0,T171/T$12)</f>
        <v>0.2136905201098922</v>
      </c>
      <c r="W171" s="5"/>
      <c r="X171" s="5">
        <f>+P171-T171</f>
        <v>69226.549999999988</v>
      </c>
      <c r="Y171" s="5"/>
      <c r="Z171" s="13">
        <f>IF(T171=0,0,X171/T171)</f>
        <v>0.13853626609125988</v>
      </c>
    </row>
    <row r="172" spans="1:26" ht="15" customHeight="1" x14ac:dyDescent="0.25">
      <c r="A172" s="10"/>
      <c r="B172" s="11"/>
      <c r="C172" s="11"/>
      <c r="D172" s="4"/>
      <c r="E172" s="4"/>
      <c r="F172" s="9"/>
      <c r="G172" s="4"/>
      <c r="H172" s="4"/>
      <c r="I172" s="4"/>
      <c r="J172" s="9"/>
      <c r="K172" s="4"/>
      <c r="L172" s="4"/>
      <c r="M172" s="4"/>
      <c r="N172" s="9"/>
      <c r="O172" s="11"/>
      <c r="P172" s="4"/>
      <c r="Q172" s="4"/>
      <c r="R172" s="9"/>
      <c r="S172" s="4"/>
      <c r="T172" s="4"/>
      <c r="U172" s="4"/>
      <c r="V172" s="9"/>
      <c r="W172" s="4"/>
      <c r="X172" s="4"/>
      <c r="Y172" s="4"/>
      <c r="Z172" s="9"/>
    </row>
    <row r="173" spans="1:26" s="62" customFormat="1" ht="15" customHeight="1" x14ac:dyDescent="0.25">
      <c r="A173" s="11"/>
      <c r="B173" s="27" t="s">
        <v>293</v>
      </c>
      <c r="C173" s="27"/>
      <c r="D173" s="35">
        <f>+D169-D171</f>
        <v>628293.91999999993</v>
      </c>
      <c r="E173" s="15"/>
      <c r="F173" s="30">
        <f>IF(D$12=0,0,D173/D$12)</f>
        <v>0.78927402028859617</v>
      </c>
      <c r="G173" s="15"/>
      <c r="H173" s="35">
        <f>+H169-H171</f>
        <v>70891.760000000126</v>
      </c>
      <c r="I173" s="15"/>
      <c r="J173" s="30">
        <f>IF(H$12=0,0,H173/H$12)</f>
        <v>0.1648176732609461</v>
      </c>
      <c r="K173" s="16"/>
      <c r="L173" s="35">
        <f>D173-H173</f>
        <v>557402.1599999998</v>
      </c>
      <c r="M173" s="16"/>
      <c r="N173" s="30">
        <f>IF(H173=0,0,L173/H173)</f>
        <v>7.8627214220665254</v>
      </c>
      <c r="O173" s="28"/>
      <c r="P173" s="35">
        <f>+P169-P171</f>
        <v>1658846.8599999985</v>
      </c>
      <c r="Q173" s="15"/>
      <c r="R173" s="30">
        <f>IF(P$12=0,0,P173/P$12)</f>
        <v>0.32780417339006357</v>
      </c>
      <c r="S173" s="15"/>
      <c r="T173" s="35">
        <f>+T169-T171</f>
        <v>248869.87000000133</v>
      </c>
      <c r="U173" s="15"/>
      <c r="V173" s="30">
        <f>IF(T$12=0,0,T173/T$12)</f>
        <v>0.10642615366853338</v>
      </c>
      <c r="W173" s="16"/>
      <c r="X173" s="35">
        <f>P173-T173</f>
        <v>1409976.9899999972</v>
      </c>
      <c r="Y173" s="16"/>
      <c r="Z173" s="30">
        <f>IF(T173=0,0,X173/T173)</f>
        <v>5.6655190521857453</v>
      </c>
    </row>
    <row r="174" spans="1:26" ht="15" customHeight="1" x14ac:dyDescent="0.25">
      <c r="A174" s="10"/>
      <c r="B174" s="10"/>
      <c r="C174" s="10"/>
      <c r="D174" s="4"/>
      <c r="E174" s="4"/>
      <c r="F174" s="9"/>
      <c r="G174" s="4"/>
      <c r="H174" s="4"/>
      <c r="I174" s="4"/>
      <c r="J174" s="9"/>
      <c r="K174" s="4"/>
      <c r="L174" s="4"/>
      <c r="M174" s="4"/>
      <c r="N174" s="9"/>
      <c r="P174" s="4"/>
      <c r="Q174" s="4"/>
      <c r="R174" s="9"/>
      <c r="S174" s="4"/>
      <c r="T174" s="4"/>
      <c r="U174" s="4"/>
      <c r="V174" s="9"/>
      <c r="W174" s="4"/>
      <c r="X174" s="4"/>
      <c r="Y174" s="4"/>
      <c r="Z174" s="9"/>
    </row>
    <row r="175" spans="1:26" ht="15" customHeight="1" x14ac:dyDescent="0.25">
      <c r="A175" s="10"/>
      <c r="B175" s="10"/>
      <c r="C175" s="10"/>
      <c r="D175" s="4"/>
      <c r="E175" s="4"/>
      <c r="F175" s="9"/>
      <c r="G175" s="4"/>
      <c r="H175" s="4"/>
      <c r="I175" s="4"/>
      <c r="J175" s="9"/>
      <c r="K175" s="4"/>
      <c r="L175" s="4"/>
      <c r="M175" s="4"/>
      <c r="N175" s="9"/>
      <c r="P175" s="4"/>
      <c r="Q175" s="4"/>
      <c r="R175" s="9"/>
      <c r="S175" s="4"/>
      <c r="T175" s="4"/>
      <c r="U175" s="4"/>
      <c r="V175" s="9"/>
      <c r="W175" s="4"/>
      <c r="X175" s="4"/>
      <c r="Y175" s="4"/>
      <c r="Z175" s="9"/>
    </row>
    <row r="176" spans="1:26" s="62" customFormat="1" ht="15" customHeight="1" x14ac:dyDescent="0.25">
      <c r="A176" s="11"/>
      <c r="B176" s="27" t="s">
        <v>296</v>
      </c>
      <c r="C176" s="27"/>
      <c r="D176" s="32">
        <f>SUM(D173:D175)</f>
        <v>628293.91999999993</v>
      </c>
      <c r="E176" s="15"/>
      <c r="F176" s="34">
        <f>IF(D$12=0,0,D176/D$12)</f>
        <v>0.78927402028859617</v>
      </c>
      <c r="G176" s="15"/>
      <c r="H176" s="32">
        <f>SUM(H173:H175)</f>
        <v>70891.760000000126</v>
      </c>
      <c r="I176" s="15"/>
      <c r="J176" s="34">
        <f>IF(H$12=0,0,H176/H$12)</f>
        <v>0.1648176732609461</v>
      </c>
      <c r="K176" s="16"/>
      <c r="L176" s="32">
        <f>+D176-H176</f>
        <v>557402.1599999998</v>
      </c>
      <c r="M176" s="16"/>
      <c r="N176" s="34">
        <f>IF(H176=0,0,L176/H176)</f>
        <v>7.8627214220665254</v>
      </c>
      <c r="O176" s="28"/>
      <c r="P176" s="32">
        <f>SUM(P173:P175)</f>
        <v>1658846.8599999985</v>
      </c>
      <c r="Q176" s="15"/>
      <c r="R176" s="34">
        <f>IF(P$12=0,0,P176/P$12)</f>
        <v>0.32780417339006357</v>
      </c>
      <c r="S176" s="15"/>
      <c r="T176" s="32">
        <f>SUM(T173:T175)</f>
        <v>248869.87000000133</v>
      </c>
      <c r="U176" s="15"/>
      <c r="V176" s="34">
        <f>IF(T$12=0,0,T176/T$12)</f>
        <v>0.10642615366853338</v>
      </c>
      <c r="W176" s="16"/>
      <c r="X176" s="32">
        <f>+P176-T176</f>
        <v>1409976.9899999972</v>
      </c>
      <c r="Y176" s="16"/>
      <c r="Z176" s="34">
        <f>IF(T176=0,0,X176/T176)</f>
        <v>5.6655190521857453</v>
      </c>
    </row>
    <row r="177" spans="1:24" ht="15" customHeight="1" x14ac:dyDescent="0.25">
      <c r="A177" s="10"/>
      <c r="C177" s="10"/>
      <c r="D177" s="18"/>
      <c r="E177" s="18"/>
      <c r="G177" s="18"/>
      <c r="H177" s="18"/>
      <c r="I177" s="18"/>
      <c r="J177" s="41"/>
      <c r="K177" s="18"/>
      <c r="L177" s="18"/>
      <c r="M177" s="18"/>
      <c r="P177" s="18"/>
      <c r="Q177" s="18"/>
      <c r="R177" s="41"/>
      <c r="S177" s="18"/>
      <c r="T177" s="18"/>
      <c r="U177" s="18"/>
      <c r="V177" s="41"/>
      <c r="W177" s="18"/>
      <c r="X177" s="18"/>
    </row>
    <row r="178" spans="1:24" ht="15" customHeight="1" x14ac:dyDescent="0.25">
      <c r="A178" s="10"/>
      <c r="B178" s="50">
        <v>44727.879624918984</v>
      </c>
      <c r="D178" s="18"/>
      <c r="E178" s="18"/>
      <c r="G178" s="18"/>
      <c r="H178" s="18"/>
      <c r="I178" s="18"/>
      <c r="J178" s="41"/>
      <c r="K178" s="18"/>
      <c r="L178" s="18"/>
      <c r="M178" s="18"/>
      <c r="P178" s="18"/>
      <c r="Q178" s="18"/>
      <c r="R178" s="41"/>
      <c r="S178" s="18"/>
      <c r="T178" s="18"/>
      <c r="U178" s="18"/>
      <c r="V178" s="41"/>
      <c r="W178" s="18"/>
      <c r="X178" s="18"/>
    </row>
    <row r="179" spans="1:24" ht="15" customHeight="1" x14ac:dyDescent="0.25">
      <c r="A179" s="10"/>
      <c r="B179" s="53" t="s">
        <v>297</v>
      </c>
      <c r="D179" s="18"/>
      <c r="E179" s="18"/>
      <c r="G179" s="18"/>
      <c r="H179" s="18"/>
      <c r="I179" s="18"/>
      <c r="J179" s="41"/>
      <c r="K179" s="18"/>
      <c r="L179" s="18"/>
      <c r="M179" s="18"/>
      <c r="P179" s="18"/>
      <c r="Q179" s="18"/>
      <c r="R179" s="41"/>
      <c r="S179" s="18"/>
      <c r="T179" s="18"/>
      <c r="U179" s="18"/>
      <c r="V179" s="41"/>
      <c r="W179" s="18"/>
      <c r="X179" s="18"/>
    </row>
    <row r="180" spans="1:24" ht="15" customHeight="1" x14ac:dyDescent="0.25">
      <c r="A180" s="10"/>
      <c r="B180" s="55"/>
      <c r="D180" s="18"/>
      <c r="E180" s="18"/>
      <c r="G180" s="18"/>
      <c r="H180" s="18"/>
      <c r="I180" s="18"/>
      <c r="J180" s="41"/>
      <c r="K180" s="18"/>
      <c r="L180" s="18"/>
      <c r="M180" s="18"/>
      <c r="P180" s="18"/>
      <c r="Q180" s="18"/>
      <c r="R180" s="41"/>
      <c r="S180" s="18"/>
      <c r="T180" s="18"/>
      <c r="U180" s="18"/>
      <c r="V180" s="41"/>
      <c r="W180" s="18"/>
      <c r="X180" s="18"/>
    </row>
    <row r="181" spans="1:24" ht="15" customHeight="1" x14ac:dyDescent="0.25">
      <c r="D181" s="18"/>
      <c r="E181" s="18"/>
      <c r="G181" s="18"/>
      <c r="H181" s="18"/>
      <c r="I181" s="18"/>
      <c r="J181" s="41"/>
      <c r="K181" s="18"/>
      <c r="L181" s="18"/>
      <c r="M181" s="18"/>
      <c r="P181" s="18"/>
      <c r="Q181" s="18"/>
      <c r="R181" s="41"/>
      <c r="S181" s="18"/>
      <c r="T181" s="18"/>
      <c r="U181" s="18"/>
      <c r="V181" s="41"/>
      <c r="W181" s="18"/>
      <c r="X18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5FF0D-A55C-6756-E902-446E7406C94A}">
  <sheetPr>
    <tabColor rgb="FF92D050"/>
    <outlinePr summaryBelow="0" summaryRight="0"/>
  </sheetPr>
  <dimension ref="A2:Z10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","307"," - ","Art Store")</f>
        <v>Department 307 - Art Store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13956.279999999999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 t="shared" ref="L12:L25" si="0">+D12-H12</f>
        <v>13956.279999999999</v>
      </c>
      <c r="M12" s="5"/>
      <c r="N12" s="13">
        <f t="shared" ref="N12:N25" si="1">IF(H12=0,0,L12/H12)</f>
        <v>0</v>
      </c>
      <c r="O12" s="11"/>
      <c r="P12" s="5">
        <f>SUM(OSRRefP13x_0)</f>
        <v>240656.12999999998</v>
      </c>
      <c r="Q12" s="5"/>
      <c r="R12" s="13"/>
      <c r="S12" s="5"/>
      <c r="T12" s="5">
        <f>SUM(OSRRefT13x_0)</f>
        <v>21311.919999999998</v>
      </c>
      <c r="U12" s="5"/>
      <c r="V12" s="13"/>
      <c r="W12" s="5"/>
      <c r="X12" s="5">
        <f t="shared" ref="X12:X25" si="2">+P12-T12</f>
        <v>219344.20999999996</v>
      </c>
      <c r="Y12" s="5"/>
      <c r="Z12" s="13">
        <f t="shared" ref="Z12:Z25" si="3">IF(T12=0,0,X12/T12)</f>
        <v>10.292090529619104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--7408.6</f>
        <v>7408.6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7408.6</v>
      </c>
      <c r="M13" s="3"/>
      <c r="N13" s="20">
        <f t="shared" si="1"/>
        <v>0</v>
      </c>
      <c r="O13" s="12"/>
      <c r="P13" s="3">
        <f>--158221.5</f>
        <v>158221.5</v>
      </c>
      <c r="Q13" s="3"/>
      <c r="R13" s="20"/>
      <c r="S13" s="3"/>
      <c r="T13" s="3">
        <f>-1096.44</f>
        <v>-1096.44</v>
      </c>
      <c r="U13" s="3"/>
      <c r="V13" s="20"/>
      <c r="W13" s="3"/>
      <c r="X13" s="3">
        <f t="shared" si="2"/>
        <v>159317.94</v>
      </c>
      <c r="Y13" s="3"/>
      <c r="Z13" s="20">
        <f t="shared" si="3"/>
        <v>-145.30474991791615</v>
      </c>
    </row>
    <row r="14" spans="1:26" s="69" customFormat="1" ht="15" hidden="1" customHeight="1" outlineLevel="1" x14ac:dyDescent="0.25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--17.51</f>
        <v>17.510000000000002</v>
      </c>
      <c r="U14" s="3"/>
      <c r="V14" s="20"/>
      <c r="W14" s="3"/>
      <c r="X14" s="3">
        <f t="shared" si="2"/>
        <v>-17.510000000000002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--7990.32</f>
        <v>7990.32</v>
      </c>
      <c r="U15" s="3"/>
      <c r="V15" s="20"/>
      <c r="W15" s="3"/>
      <c r="X15" s="3">
        <f t="shared" si="2"/>
        <v>-7990.32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--12479.05</f>
        <v>12479.05</v>
      </c>
      <c r="U16" s="3"/>
      <c r="V16" s="20"/>
      <c r="W16" s="3"/>
      <c r="X16" s="3">
        <f t="shared" si="2"/>
        <v>-12479.05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--374.55</f>
        <v>374.55</v>
      </c>
      <c r="U17" s="3"/>
      <c r="V17" s="20"/>
      <c r="W17" s="3"/>
      <c r="X17" s="3">
        <f t="shared" si="2"/>
        <v>-374.55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","4081"," - ","TAXABLE SALES-ELECTRONICS")</f>
        <v xml:space="preserve">          4081 - TAXABLE SALES-ELECTRONICS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--71.95</f>
        <v>71.95</v>
      </c>
      <c r="U18" s="3"/>
      <c r="V18" s="20"/>
      <c r="W18" s="3"/>
      <c r="X18" s="3">
        <f t="shared" si="2"/>
        <v>-71.95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","4083"," - ","TAXABLE SALES-COMPUTER EQUIPME")</f>
        <v xml:space="preserve">          4083 - TAXABLE SALES-COMPUTER EQUIPME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--9.99</f>
        <v>9.99</v>
      </c>
      <c r="U19" s="3"/>
      <c r="V19" s="20"/>
      <c r="W19" s="3"/>
      <c r="X19" s="3">
        <f t="shared" si="2"/>
        <v>-9.99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","4100"," - ","NON-TAXABLE SALES")</f>
        <v xml:space="preserve">          4100 - NON-TAXABLE SALES</v>
      </c>
      <c r="C20" s="12"/>
      <c r="D20" s="3">
        <f>--6809.97</f>
        <v>6809.97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6809.97</v>
      </c>
      <c r="M20" s="3"/>
      <c r="N20" s="20">
        <f t="shared" si="1"/>
        <v>0</v>
      </c>
      <c r="O20" s="12"/>
      <c r="P20" s="3">
        <f>--87055.23</f>
        <v>87055.23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87055.23</v>
      </c>
      <c r="Y20" s="3"/>
      <c r="Z20" s="20">
        <f t="shared" si="3"/>
        <v>0</v>
      </c>
    </row>
    <row r="21" spans="1:26" s="69" customFormat="1" ht="15" hidden="1" customHeight="1" outlineLevel="1" x14ac:dyDescent="0.25">
      <c r="A21" s="42"/>
      <c r="B21" s="12" t="str">
        <f>CONCATENATE("          ","4131"," - ","NON-TAXABLE SALES-FOOD")</f>
        <v xml:space="preserve">          4131 - NON-TAXABLE SALES-FOOD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--1847.16</f>
        <v>1847.16</v>
      </c>
      <c r="U21" s="3"/>
      <c r="V21" s="20"/>
      <c r="W21" s="3"/>
      <c r="X21" s="3">
        <f t="shared" si="2"/>
        <v>-1847.16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","4200"," - ","TAXABLE RETURNS")</f>
        <v xml:space="preserve">          4200 - TAXABLE RETURNS</v>
      </c>
      <c r="C22" s="12"/>
      <c r="D22" s="3">
        <f>-122.18</f>
        <v>-122.18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-122.18</v>
      </c>
      <c r="M22" s="3"/>
      <c r="N22" s="20">
        <f t="shared" si="1"/>
        <v>0</v>
      </c>
      <c r="O22" s="12"/>
      <c r="P22" s="3">
        <f>-2300.51</f>
        <v>-2300.5100000000002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-2300.5100000000002</v>
      </c>
      <c r="Y22" s="3"/>
      <c r="Z22" s="20">
        <f t="shared" si="3"/>
        <v>0</v>
      </c>
    </row>
    <row r="23" spans="1:26" s="69" customFormat="1" ht="15" hidden="1" customHeight="1" outlineLevel="1" x14ac:dyDescent="0.25">
      <c r="A23" s="42"/>
      <c r="B23" s="12" t="str">
        <f>CONCATENATE("          ","4227"," - ","SALES RETURN TAXABLE-SCHOOL SU")</f>
        <v xml:space="preserve">          4227 - SALES RETURN TAXABLE-SCHOOL SU</v>
      </c>
      <c r="C23" s="12"/>
      <c r="D23" s="3">
        <f>0</f>
        <v>0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0</v>
      </c>
      <c r="M23" s="3"/>
      <c r="N23" s="20">
        <f t="shared" si="1"/>
        <v>0</v>
      </c>
      <c r="O23" s="12"/>
      <c r="P23" s="3">
        <f>0</f>
        <v>0</v>
      </c>
      <c r="Q23" s="3"/>
      <c r="R23" s="20"/>
      <c r="S23" s="3"/>
      <c r="T23" s="3">
        <f>-159.97</f>
        <v>-159.97</v>
      </c>
      <c r="U23" s="3"/>
      <c r="V23" s="20"/>
      <c r="W23" s="3"/>
      <c r="X23" s="3">
        <f t="shared" si="2"/>
        <v>159.97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","4228"," - ","SALES RETURN TAXABLE-ART/TECH")</f>
        <v xml:space="preserve">          4228 - SALES RETURN TAXABLE-ART/TECH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-222.2</f>
        <v>-222.2</v>
      </c>
      <c r="U24" s="3"/>
      <c r="V24" s="20"/>
      <c r="W24" s="3"/>
      <c r="X24" s="3">
        <f t="shared" si="2"/>
        <v>222.2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","4500"," - ","SALES DISCOUNT")</f>
        <v xml:space="preserve">          4500 - SALES DISCOUNT</v>
      </c>
      <c r="C25" s="12"/>
      <c r="D25" s="3">
        <f>-140.11</f>
        <v>-140.11000000000001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-140.11000000000001</v>
      </c>
      <c r="M25" s="3"/>
      <c r="N25" s="20">
        <f t="shared" si="1"/>
        <v>0</v>
      </c>
      <c r="O25" s="12"/>
      <c r="P25" s="3">
        <f>-2320.09</f>
        <v>-2320.09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-2320.09</v>
      </c>
      <c r="Y25" s="3"/>
      <c r="Z25" s="20">
        <f t="shared" si="3"/>
        <v>0</v>
      </c>
    </row>
    <row r="26" spans="1:26" ht="15" customHeight="1" x14ac:dyDescent="0.25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25">
      <c r="A27" s="11"/>
      <c r="B27" s="28" t="s">
        <v>287</v>
      </c>
      <c r="C27" s="11"/>
      <c r="D27" s="5">
        <f>SUM(OSRRefD16x_0)</f>
        <v>7385.670000000001</v>
      </c>
      <c r="E27" s="5"/>
      <c r="F27" s="13">
        <f t="shared" ref="F27:F37" si="4">IF(D$12=0,0,D27/D$12)</f>
        <v>0.52920047462504349</v>
      </c>
      <c r="G27" s="5"/>
      <c r="H27" s="5">
        <f>SUM(OSRRefH16x_0)</f>
        <v>28.53</v>
      </c>
      <c r="I27" s="5"/>
      <c r="J27" s="13">
        <f t="shared" ref="J27:J37" si="5">IF(H$12=0,0,H27/H$12)</f>
        <v>0</v>
      </c>
      <c r="K27" s="5"/>
      <c r="L27" s="5">
        <f t="shared" ref="L27:L37" si="6">+D27-H27</f>
        <v>7357.1400000000012</v>
      </c>
      <c r="M27" s="5"/>
      <c r="N27" s="13">
        <f t="shared" ref="N27:N37" si="7">IF(H27=0,0,L27/H27)</f>
        <v>257.87381703470032</v>
      </c>
      <c r="O27" s="11"/>
      <c r="P27" s="5">
        <f>SUM(OSRRefP16x_0)</f>
        <v>133658.28</v>
      </c>
      <c r="Q27" s="5"/>
      <c r="R27" s="13">
        <f t="shared" ref="R27:R37" si="8">IF(P$12=0,0,P27/P$12)</f>
        <v>0.55539113007426821</v>
      </c>
      <c r="S27" s="5"/>
      <c r="T27" s="5">
        <f>SUM(OSRRefT16x_0)</f>
        <v>13821.519999999993</v>
      </c>
      <c r="U27" s="5"/>
      <c r="V27" s="13">
        <f t="shared" ref="V27:V37" si="9">IF(T$12=0,0,T27/T$12)</f>
        <v>0.64853471672190932</v>
      </c>
      <c r="W27" s="5"/>
      <c r="X27" s="5">
        <f t="shared" ref="X27:X37" si="10">+P27-T27</f>
        <v>119836.76000000001</v>
      </c>
      <c r="Y27" s="5"/>
      <c r="Z27" s="13">
        <f t="shared" ref="Z27:Z37" si="11">IF(T27=0,0,X27/T27)</f>
        <v>8.6703025427015312</v>
      </c>
    </row>
    <row r="28" spans="1:26" s="69" customFormat="1" ht="15" hidden="1" customHeight="1" outlineLevel="1" x14ac:dyDescent="0.25">
      <c r="A28" s="42"/>
      <c r="B28" s="12" t="str">
        <f>CONCATENATE("          ","5000"," - ","PURCHASES @ COST")</f>
        <v xml:space="preserve">          5000 - PURCHASES @ COST</v>
      </c>
      <c r="C28" s="12"/>
      <c r="D28" s="3">
        <v>20965.240000000002</v>
      </c>
      <c r="E28" s="3"/>
      <c r="F28" s="20">
        <f t="shared" si="4"/>
        <v>1.5022083248544744</v>
      </c>
      <c r="G28" s="3"/>
      <c r="H28" s="3"/>
      <c r="I28" s="3"/>
      <c r="J28" s="20">
        <f t="shared" si="5"/>
        <v>0</v>
      </c>
      <c r="K28" s="3"/>
      <c r="L28" s="3">
        <f t="shared" si="6"/>
        <v>20965.240000000002</v>
      </c>
      <c r="M28" s="3"/>
      <c r="N28" s="20">
        <f t="shared" si="7"/>
        <v>0</v>
      </c>
      <c r="O28" s="12"/>
      <c r="P28" s="3">
        <v>169160.87</v>
      </c>
      <c r="Q28" s="3"/>
      <c r="R28" s="20">
        <f t="shared" si="8"/>
        <v>0.7029152758336138</v>
      </c>
      <c r="S28" s="3"/>
      <c r="T28" s="3"/>
      <c r="U28" s="3"/>
      <c r="V28" s="20">
        <f t="shared" si="9"/>
        <v>0</v>
      </c>
      <c r="W28" s="3"/>
      <c r="X28" s="3">
        <f t="shared" si="10"/>
        <v>169160.87</v>
      </c>
      <c r="Y28" s="3"/>
      <c r="Z28" s="20">
        <f t="shared" si="11"/>
        <v>0</v>
      </c>
    </row>
    <row r="29" spans="1:26" s="69" customFormat="1" ht="15" hidden="1" customHeight="1" outlineLevel="1" x14ac:dyDescent="0.25">
      <c r="A29" s="42"/>
      <c r="B29" s="12" t="str">
        <f>CONCATENATE("          ","5026"," - ","PURCHASES @ COST-WRITING INSTR")</f>
        <v xml:space="preserve">          5026 - PURCHASES @ COST-WRITING INSTR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>
        <v>364.91</v>
      </c>
      <c r="U29" s="3"/>
      <c r="V29" s="20">
        <f t="shared" si="9"/>
        <v>1.7122342801587094E-2</v>
      </c>
      <c r="W29" s="3"/>
      <c r="X29" s="3">
        <f t="shared" si="10"/>
        <v>-364.91</v>
      </c>
      <c r="Y29" s="3"/>
      <c r="Z29" s="20">
        <f t="shared" si="11"/>
        <v>-1</v>
      </c>
    </row>
    <row r="30" spans="1:26" s="69" customFormat="1" ht="15" hidden="1" customHeight="1" outlineLevel="1" x14ac:dyDescent="0.25">
      <c r="A30" s="42"/>
      <c r="B30" s="12" t="str">
        <f>CONCATENATE("          ","5027"," - ","PURCHASES @ COST-SCHOOL SUPPLI")</f>
        <v xml:space="preserve">          5027 - PURCHASES @ COST-SCHOOL SUPPLI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>
        <v>895.47</v>
      </c>
      <c r="U30" s="3"/>
      <c r="V30" s="20">
        <f t="shared" si="9"/>
        <v>4.201733114613794E-2</v>
      </c>
      <c r="W30" s="3"/>
      <c r="X30" s="3">
        <f t="shared" si="10"/>
        <v>-895.47</v>
      </c>
      <c r="Y30" s="3"/>
      <c r="Z30" s="20">
        <f t="shared" si="11"/>
        <v>-1</v>
      </c>
    </row>
    <row r="31" spans="1:26" s="69" customFormat="1" ht="15" hidden="1" customHeight="1" outlineLevel="1" x14ac:dyDescent="0.25">
      <c r="A31" s="42"/>
      <c r="B31" s="12" t="str">
        <f>CONCATENATE("          ","5028"," - ","PURCHASES @ COST-ART/TECH")</f>
        <v xml:space="preserve">          5028 - PURCHASES @ COST-ART/TECH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>
        <v>41441.85</v>
      </c>
      <c r="U31" s="3"/>
      <c r="V31" s="20">
        <f t="shared" si="9"/>
        <v>1.9445385493188789</v>
      </c>
      <c r="W31" s="3"/>
      <c r="X31" s="3">
        <f t="shared" si="10"/>
        <v>-41441.85</v>
      </c>
      <c r="Y31" s="3"/>
      <c r="Z31" s="20">
        <f t="shared" si="11"/>
        <v>-1</v>
      </c>
    </row>
    <row r="32" spans="1:26" s="69" customFormat="1" ht="15" hidden="1" customHeight="1" outlineLevel="1" x14ac:dyDescent="0.25">
      <c r="A32" s="42"/>
      <c r="B32" s="12" t="str">
        <f>CONCATENATE("          ","5031"," - ","PURCHASES @ COST-FOOD")</f>
        <v xml:space="preserve">          5031 - PURCHASES @ COST-FOOD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>
        <v>2441.5700000000002</v>
      </c>
      <c r="U32" s="3"/>
      <c r="V32" s="20">
        <f t="shared" si="9"/>
        <v>0.11456358695040149</v>
      </c>
      <c r="W32" s="3"/>
      <c r="X32" s="3">
        <f t="shared" si="10"/>
        <v>-2441.5700000000002</v>
      </c>
      <c r="Y32" s="3"/>
      <c r="Z32" s="20">
        <f t="shared" si="11"/>
        <v>-1</v>
      </c>
    </row>
    <row r="33" spans="1:26" s="69" customFormat="1" ht="15" hidden="1" customHeight="1" outlineLevel="1" x14ac:dyDescent="0.25">
      <c r="A33" s="42"/>
      <c r="B33" s="12" t="str">
        <f>CONCATENATE("          ","5042"," - ","PURCHASES @ COST-EVERYDAY GIFT")</f>
        <v xml:space="preserve">          5042 - PURCHASES @ COST-EVERYDAY GIFT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69" customFormat="1" ht="15" hidden="1" customHeight="1" outlineLevel="1" x14ac:dyDescent="0.25">
      <c r="A34" s="42"/>
      <c r="B34" s="12" t="str">
        <f>CONCATENATE("          ","5200"," - ","PURCHASES OFFSET")</f>
        <v xml:space="preserve">          5200 - PURCHASES OFFSET</v>
      </c>
      <c r="C34" s="12"/>
      <c r="D34" s="3">
        <v>-21390.11</v>
      </c>
      <c r="E34" s="3"/>
      <c r="F34" s="20">
        <f t="shared" si="4"/>
        <v>-1.5326512509064021</v>
      </c>
      <c r="G34" s="3"/>
      <c r="H34" s="3"/>
      <c r="I34" s="3"/>
      <c r="J34" s="20">
        <f t="shared" si="5"/>
        <v>0</v>
      </c>
      <c r="K34" s="3"/>
      <c r="L34" s="3">
        <f t="shared" si="6"/>
        <v>-21390.11</v>
      </c>
      <c r="M34" s="3"/>
      <c r="N34" s="20">
        <f t="shared" si="7"/>
        <v>0</v>
      </c>
      <c r="O34" s="12"/>
      <c r="P34" s="3">
        <v>-170948.47</v>
      </c>
      <c r="Q34" s="3"/>
      <c r="R34" s="20">
        <f t="shared" si="8"/>
        <v>-0.71034330187226069</v>
      </c>
      <c r="S34" s="3"/>
      <c r="T34" s="3">
        <v>-45863.33</v>
      </c>
      <c r="U34" s="3"/>
      <c r="V34" s="20">
        <f t="shared" si="9"/>
        <v>-2.1520036674311842</v>
      </c>
      <c r="W34" s="3"/>
      <c r="X34" s="3">
        <f t="shared" si="10"/>
        <v>-125085.14</v>
      </c>
      <c r="Y34" s="3"/>
      <c r="Z34" s="20">
        <f t="shared" si="11"/>
        <v>2.7273453541206014</v>
      </c>
    </row>
    <row r="35" spans="1:26" s="69" customFormat="1" ht="15" hidden="1" customHeight="1" outlineLevel="1" x14ac:dyDescent="0.25">
      <c r="A35" s="42"/>
      <c r="B35" s="12" t="str">
        <f>CONCATENATE("          ","5300"," - ","COG$ OFFSET")</f>
        <v xml:space="preserve">          5300 - COG$ OFFSET</v>
      </c>
      <c r="C35" s="12"/>
      <c r="D35" s="3">
        <v>7385.67</v>
      </c>
      <c r="E35" s="3"/>
      <c r="F35" s="20">
        <f t="shared" si="4"/>
        <v>0.52920047462504338</v>
      </c>
      <c r="G35" s="3"/>
      <c r="H35" s="3"/>
      <c r="I35" s="3"/>
      <c r="J35" s="20">
        <f t="shared" si="5"/>
        <v>0</v>
      </c>
      <c r="K35" s="3"/>
      <c r="L35" s="3">
        <f t="shared" si="6"/>
        <v>7385.67</v>
      </c>
      <c r="M35" s="3"/>
      <c r="N35" s="20">
        <f t="shared" si="7"/>
        <v>0</v>
      </c>
      <c r="O35" s="12"/>
      <c r="P35" s="3">
        <v>133658.28</v>
      </c>
      <c r="Q35" s="3"/>
      <c r="R35" s="20">
        <f t="shared" si="8"/>
        <v>0.55539113007426821</v>
      </c>
      <c r="S35" s="3"/>
      <c r="T35" s="3">
        <v>14145</v>
      </c>
      <c r="U35" s="3"/>
      <c r="V35" s="20">
        <f t="shared" si="9"/>
        <v>0.66371307700103988</v>
      </c>
      <c r="W35" s="3"/>
      <c r="X35" s="3">
        <f t="shared" si="10"/>
        <v>119513.28</v>
      </c>
      <c r="Y35" s="3"/>
      <c r="Z35" s="20">
        <f t="shared" si="11"/>
        <v>8.4491537645811245</v>
      </c>
    </row>
    <row r="36" spans="1:26" s="69" customFormat="1" ht="15" hidden="1" customHeight="1" outlineLevel="1" x14ac:dyDescent="0.25">
      <c r="A36" s="42"/>
      <c r="B36" s="12" t="str">
        <f>CONCATENATE("          ","5500"," - ","FREIGHT-IN")</f>
        <v xml:space="preserve">          5500 - FREIGHT-IN</v>
      </c>
      <c r="C36" s="12"/>
      <c r="D36" s="3">
        <v>424.87</v>
      </c>
      <c r="E36" s="3"/>
      <c r="F36" s="20">
        <f t="shared" si="4"/>
        <v>3.0442926051927881E-2</v>
      </c>
      <c r="G36" s="3"/>
      <c r="H36" s="3"/>
      <c r="I36" s="3"/>
      <c r="J36" s="20">
        <f t="shared" si="5"/>
        <v>0</v>
      </c>
      <c r="K36" s="3"/>
      <c r="L36" s="3">
        <f t="shared" si="6"/>
        <v>424.87</v>
      </c>
      <c r="M36" s="3"/>
      <c r="N36" s="20">
        <f t="shared" si="7"/>
        <v>0</v>
      </c>
      <c r="O36" s="12"/>
      <c r="P36" s="3">
        <v>1787.6</v>
      </c>
      <c r="Q36" s="3"/>
      <c r="R36" s="20">
        <f t="shared" si="8"/>
        <v>7.4280260386469276E-3</v>
      </c>
      <c r="S36" s="3"/>
      <c r="T36" s="3"/>
      <c r="U36" s="3"/>
      <c r="V36" s="20">
        <f t="shared" si="9"/>
        <v>0</v>
      </c>
      <c r="W36" s="3"/>
      <c r="X36" s="3">
        <f t="shared" si="10"/>
        <v>1787.6</v>
      </c>
      <c r="Y36" s="3"/>
      <c r="Z36" s="20">
        <f t="shared" si="11"/>
        <v>0</v>
      </c>
    </row>
    <row r="37" spans="1:26" s="69" customFormat="1" ht="15" hidden="1" customHeight="1" outlineLevel="1" x14ac:dyDescent="0.25">
      <c r="A37" s="42"/>
      <c r="B37" s="12" t="str">
        <f>CONCATENATE("          ","5528"," - ","FREIGHT-IN-ART/TECH")</f>
        <v xml:space="preserve">          5528 - FREIGHT-IN-ART/TECH</v>
      </c>
      <c r="C37" s="12"/>
      <c r="D37" s="3"/>
      <c r="E37" s="3"/>
      <c r="F37" s="20">
        <f t="shared" si="4"/>
        <v>0</v>
      </c>
      <c r="G37" s="3"/>
      <c r="H37" s="3">
        <v>28.53</v>
      </c>
      <c r="I37" s="3"/>
      <c r="J37" s="20">
        <f t="shared" si="5"/>
        <v>0</v>
      </c>
      <c r="K37" s="3"/>
      <c r="L37" s="3">
        <f t="shared" si="6"/>
        <v>-28.53</v>
      </c>
      <c r="M37" s="3"/>
      <c r="N37" s="20">
        <f t="shared" si="7"/>
        <v>-1</v>
      </c>
      <c r="O37" s="12"/>
      <c r="P37" s="3">
        <v>0</v>
      </c>
      <c r="Q37" s="3"/>
      <c r="R37" s="20">
        <f t="shared" si="8"/>
        <v>0</v>
      </c>
      <c r="S37" s="3"/>
      <c r="T37" s="3">
        <v>396.05</v>
      </c>
      <c r="U37" s="3"/>
      <c r="V37" s="20">
        <f t="shared" si="9"/>
        <v>1.8583496935048557E-2</v>
      </c>
      <c r="W37" s="3"/>
      <c r="X37" s="3">
        <f t="shared" si="10"/>
        <v>-396.05</v>
      </c>
      <c r="Y37" s="3"/>
      <c r="Z37" s="20">
        <f t="shared" si="11"/>
        <v>-1</v>
      </c>
    </row>
    <row r="38" spans="1:26" ht="15" customHeight="1" x14ac:dyDescent="0.25">
      <c r="A38" s="10"/>
      <c r="B38" s="11"/>
      <c r="C38" s="11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O38" s="11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25">
      <c r="A39" s="11"/>
      <c r="B39" s="27" t="s">
        <v>288</v>
      </c>
      <c r="C39" s="27"/>
      <c r="D39" s="22">
        <f>D12-D27</f>
        <v>6570.6099999999979</v>
      </c>
      <c r="E39" s="15"/>
      <c r="F39" s="23">
        <f>IF(D$12=0,0,D39/D$12)</f>
        <v>0.47079952537495656</v>
      </c>
      <c r="G39" s="15"/>
      <c r="H39" s="22">
        <f>H12-H27</f>
        <v>-28.53</v>
      </c>
      <c r="I39" s="15"/>
      <c r="J39" s="23">
        <f>IF(H$12=0,0,H39/H$12)</f>
        <v>0</v>
      </c>
      <c r="K39" s="16"/>
      <c r="L39" s="22">
        <f>+D39-H39</f>
        <v>6599.1399999999976</v>
      </c>
      <c r="M39" s="16"/>
      <c r="N39" s="23">
        <f>IF(H39=0,0,L39/H39)</f>
        <v>-231.30529267437777</v>
      </c>
      <c r="O39" s="28"/>
      <c r="P39" s="22">
        <f>P12-P27</f>
        <v>106997.84999999998</v>
      </c>
      <c r="Q39" s="15"/>
      <c r="R39" s="23">
        <f>IF(P$12=0,0,P39/P$12)</f>
        <v>0.44460886992573173</v>
      </c>
      <c r="S39" s="15"/>
      <c r="T39" s="22">
        <f>T12-T27</f>
        <v>7490.4000000000051</v>
      </c>
      <c r="U39" s="15"/>
      <c r="V39" s="23">
        <f>IF(T$12=0,0,T39/T$12)</f>
        <v>0.35146528327809062</v>
      </c>
      <c r="W39" s="16"/>
      <c r="X39" s="22">
        <f>+P39-T39</f>
        <v>99507.449999999968</v>
      </c>
      <c r="Y39" s="16"/>
      <c r="Z39" s="23">
        <f>IF(T39=0,0,X39/T39)</f>
        <v>13.284664370394092</v>
      </c>
    </row>
    <row r="40" spans="1:26" ht="15" customHeight="1" x14ac:dyDescent="0.25">
      <c r="A40" s="10"/>
      <c r="B40" s="11"/>
      <c r="C40" s="10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O40" s="36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62" customFormat="1" ht="15" customHeight="1" x14ac:dyDescent="0.25">
      <c r="A41" s="11"/>
      <c r="B41" s="28" t="s">
        <v>289</v>
      </c>
      <c r="C41" s="11"/>
      <c r="D41" s="21" cm="1">
        <f t="array" ref="D41">SUM(OSRRefD22x_0)</f>
        <v>8124.6599999999989</v>
      </c>
      <c r="E41" s="21"/>
      <c r="F41" s="31">
        <f t="shared" ref="F41:F84" si="12">IF(D$12=0,0,D41/D$12)</f>
        <v>0.58215083102373988</v>
      </c>
      <c r="G41" s="21"/>
      <c r="H41" s="21" cm="1">
        <f t="array" ref="H41">SUM(OSRRefH22x_0)</f>
        <v>53</v>
      </c>
      <c r="I41" s="21"/>
      <c r="J41" s="31">
        <f t="shared" ref="J41:J84" si="13">IF(H$12=0,0,H41/H$12)</f>
        <v>0</v>
      </c>
      <c r="K41" s="5"/>
      <c r="L41" s="21">
        <f t="shared" ref="L41:L84" si="14">+D41-H41</f>
        <v>8071.6599999999989</v>
      </c>
      <c r="M41" s="5"/>
      <c r="N41" s="31">
        <f t="shared" ref="N41:N84" si="15">IF(H41=0,0,L41/H41)</f>
        <v>152.29547169811318</v>
      </c>
      <c r="O41" s="11"/>
      <c r="P41" s="21" cm="1">
        <f t="array" ref="P41">SUM(OSRRefP22x_0)</f>
        <v>67973.63</v>
      </c>
      <c r="Q41" s="21"/>
      <c r="R41" s="31">
        <f t="shared" ref="R41:R84" si="16">IF(P$12=0,0,P41/P$12)</f>
        <v>0.28245127186247038</v>
      </c>
      <c r="S41" s="21"/>
      <c r="T41" s="21" cm="1">
        <f t="array" ref="T41">SUM(OSRRefT22x_0)</f>
        <v>12753.859999999997</v>
      </c>
      <c r="U41" s="21"/>
      <c r="V41" s="31">
        <f t="shared" ref="V41:V84" si="17">IF(T$12=0,0,T41/T$12)</f>
        <v>0.59843786951152211</v>
      </c>
      <c r="W41" s="5"/>
      <c r="X41" s="21">
        <f t="shared" ref="X41:X84" si="18">+P41-T41</f>
        <v>55219.770000000004</v>
      </c>
      <c r="Y41" s="5"/>
      <c r="Z41" s="31">
        <f t="shared" ref="Z41:Z84" si="19">IF(T41=0,0,X41/T41)</f>
        <v>4.3296515721514908</v>
      </c>
    </row>
    <row r="42" spans="1:26" s="68" customFormat="1" ht="15" customHeight="1" outlineLevel="1" collapsed="1" x14ac:dyDescent="0.25">
      <c r="A42" s="26"/>
      <c r="B42" s="14" t="str">
        <f>CONCATENATE("     ","*Benefits                                         ")</f>
        <v xml:space="preserve">     *Benefits                                         </v>
      </c>
      <c r="C42" s="14"/>
      <c r="D42" s="2">
        <f>SUM(OSRRefD22_0x_0)</f>
        <v>1073.75</v>
      </c>
      <c r="E42" s="2"/>
      <c r="F42" s="6">
        <f t="shared" si="12"/>
        <v>7.6936690866047402E-2</v>
      </c>
      <c r="G42" s="2"/>
      <c r="H42" s="2">
        <f>SUM(OSRRefH22_0x_0)</f>
        <v>0</v>
      </c>
      <c r="I42" s="2"/>
      <c r="J42" s="6">
        <f t="shared" si="13"/>
        <v>0</v>
      </c>
      <c r="K42" s="2"/>
      <c r="L42" s="2">
        <f t="shared" si="14"/>
        <v>1073.75</v>
      </c>
      <c r="M42" s="2"/>
      <c r="N42" s="6">
        <f t="shared" si="15"/>
        <v>0</v>
      </c>
      <c r="O42" s="14"/>
      <c r="P42" s="2">
        <f>SUM(OSRRefP22_0x_0)</f>
        <v>2591.59</v>
      </c>
      <c r="Q42" s="2"/>
      <c r="R42" s="6">
        <f t="shared" si="16"/>
        <v>1.0768850974209552E-2</v>
      </c>
      <c r="S42" s="2"/>
      <c r="T42" s="2">
        <f>SUM(OSRRefT22_0x_0)</f>
        <v>778.2</v>
      </c>
      <c r="U42" s="2"/>
      <c r="V42" s="6">
        <f t="shared" si="17"/>
        <v>3.6514776707119778E-2</v>
      </c>
      <c r="W42" s="2"/>
      <c r="X42" s="2">
        <f t="shared" si="18"/>
        <v>1813.39</v>
      </c>
      <c r="Y42" s="2"/>
      <c r="Z42" s="6">
        <f t="shared" si="19"/>
        <v>2.3302364430737601</v>
      </c>
    </row>
    <row r="43" spans="1:26" s="69" customFormat="1" ht="15" hidden="1" customHeight="1" outlineLevel="2" x14ac:dyDescent="0.25">
      <c r="A43" s="25"/>
      <c r="B43" s="12" t="str">
        <f>CONCATENATE("          ","6111"," - ","F.I.C.A.")</f>
        <v xml:space="preserve">          6111 - F.I.C.A.</v>
      </c>
      <c r="C43" s="12"/>
      <c r="D43" s="7">
        <v>257.97000000000003</v>
      </c>
      <c r="E43" s="3"/>
      <c r="F43" s="8">
        <f t="shared" si="12"/>
        <v>1.8484151937335741E-2</v>
      </c>
      <c r="G43" s="3"/>
      <c r="H43" s="7"/>
      <c r="I43" s="3"/>
      <c r="J43" s="8">
        <f t="shared" si="13"/>
        <v>0</v>
      </c>
      <c r="K43" s="3"/>
      <c r="L43" s="7">
        <f t="shared" si="14"/>
        <v>257.97000000000003</v>
      </c>
      <c r="M43" s="3"/>
      <c r="N43" s="8">
        <f t="shared" si="15"/>
        <v>0</v>
      </c>
      <c r="O43" s="12"/>
      <c r="P43" s="7">
        <v>894.95</v>
      </c>
      <c r="Q43" s="3"/>
      <c r="R43" s="8">
        <f t="shared" si="16"/>
        <v>3.7187916218880449E-3</v>
      </c>
      <c r="S43" s="3"/>
      <c r="T43" s="7">
        <v>484.61</v>
      </c>
      <c r="U43" s="3"/>
      <c r="V43" s="8">
        <f t="shared" si="17"/>
        <v>2.2738917938881154E-2</v>
      </c>
      <c r="W43" s="3"/>
      <c r="X43" s="7">
        <f t="shared" si="18"/>
        <v>410.34000000000003</v>
      </c>
      <c r="Y43" s="3"/>
      <c r="Z43" s="8">
        <f t="shared" si="19"/>
        <v>0.8467427415860177</v>
      </c>
    </row>
    <row r="44" spans="1:26" s="69" customFormat="1" ht="15" hidden="1" customHeight="1" outlineLevel="2" x14ac:dyDescent="0.25">
      <c r="A44" s="25"/>
      <c r="B44" s="12" t="str">
        <f>CONCATENATE("          ","6112"," - ","COMPENSATION INSURANCE")</f>
        <v xml:space="preserve">          6112 - COMPENSATION INSURANCE</v>
      </c>
      <c r="C44" s="12"/>
      <c r="D44" s="7">
        <v>225.82</v>
      </c>
      <c r="E44" s="3"/>
      <c r="F44" s="8">
        <f t="shared" si="12"/>
        <v>1.6180529482068287E-2</v>
      </c>
      <c r="G44" s="3"/>
      <c r="H44" s="7"/>
      <c r="I44" s="3"/>
      <c r="J44" s="8">
        <f t="shared" si="13"/>
        <v>0</v>
      </c>
      <c r="K44" s="3"/>
      <c r="L44" s="7">
        <f t="shared" si="14"/>
        <v>225.82</v>
      </c>
      <c r="M44" s="3"/>
      <c r="N44" s="8">
        <f t="shared" si="15"/>
        <v>0</v>
      </c>
      <c r="O44" s="12"/>
      <c r="P44" s="7">
        <v>810.71</v>
      </c>
      <c r="Q44" s="3"/>
      <c r="R44" s="8">
        <f t="shared" si="16"/>
        <v>3.368748595766084E-3</v>
      </c>
      <c r="S44" s="3"/>
      <c r="T44" s="7">
        <v>255.57</v>
      </c>
      <c r="U44" s="3"/>
      <c r="V44" s="8">
        <f t="shared" si="17"/>
        <v>1.1991880600152403E-2</v>
      </c>
      <c r="W44" s="3"/>
      <c r="X44" s="7">
        <f t="shared" si="18"/>
        <v>555.1400000000001</v>
      </c>
      <c r="Y44" s="3"/>
      <c r="Z44" s="8">
        <f t="shared" si="19"/>
        <v>2.1721641820244946</v>
      </c>
    </row>
    <row r="45" spans="1:26" s="69" customFormat="1" ht="15" hidden="1" customHeight="1" outlineLevel="2" x14ac:dyDescent="0.25">
      <c r="A45" s="25"/>
      <c r="B45" s="12" t="str">
        <f>CONCATENATE("          ","6113"," - ","GROUP INSURANCE")</f>
        <v xml:space="preserve">          6113 - GROUP INSURANCE</v>
      </c>
      <c r="C45" s="12"/>
      <c r="D45" s="7">
        <v>30.64</v>
      </c>
      <c r="E45" s="3"/>
      <c r="F45" s="8">
        <f t="shared" si="12"/>
        <v>2.1954274348178742E-3</v>
      </c>
      <c r="G45" s="3"/>
      <c r="H45" s="7"/>
      <c r="I45" s="3"/>
      <c r="J45" s="8">
        <f t="shared" si="13"/>
        <v>0</v>
      </c>
      <c r="K45" s="3"/>
      <c r="L45" s="7">
        <f t="shared" si="14"/>
        <v>30.64</v>
      </c>
      <c r="M45" s="3"/>
      <c r="N45" s="8">
        <f t="shared" si="15"/>
        <v>0</v>
      </c>
      <c r="O45" s="12"/>
      <c r="P45" s="7">
        <v>30.64</v>
      </c>
      <c r="Q45" s="3"/>
      <c r="R45" s="8">
        <f t="shared" si="16"/>
        <v>1.273185935467341E-4</v>
      </c>
      <c r="S45" s="3"/>
      <c r="T45" s="7"/>
      <c r="U45" s="3"/>
      <c r="V45" s="8">
        <f t="shared" si="17"/>
        <v>0</v>
      </c>
      <c r="W45" s="3"/>
      <c r="X45" s="7">
        <f t="shared" si="18"/>
        <v>30.64</v>
      </c>
      <c r="Y45" s="3"/>
      <c r="Z45" s="8">
        <f t="shared" si="19"/>
        <v>0</v>
      </c>
    </row>
    <row r="46" spans="1:26" s="69" customFormat="1" ht="15" hidden="1" customHeight="1" outlineLevel="2" x14ac:dyDescent="0.25">
      <c r="A46" s="25"/>
      <c r="B46" s="12" t="str">
        <f>CONCATENATE("          ","6114"," - ","STATE UNEMPLOYMENT INSURANCE")</f>
        <v xml:space="preserve">          6114 - STATE UNEMPLOYMENT INSURANCE</v>
      </c>
      <c r="C46" s="12"/>
      <c r="D46" s="7">
        <v>39.67</v>
      </c>
      <c r="E46" s="3"/>
      <c r="F46" s="8">
        <f t="shared" si="12"/>
        <v>2.8424479875726202E-3</v>
      </c>
      <c r="G46" s="3"/>
      <c r="H46" s="7"/>
      <c r="I46" s="3"/>
      <c r="J46" s="8">
        <f t="shared" si="13"/>
        <v>0</v>
      </c>
      <c r="K46" s="3"/>
      <c r="L46" s="7">
        <f t="shared" si="14"/>
        <v>39.67</v>
      </c>
      <c r="M46" s="3"/>
      <c r="N46" s="8">
        <f t="shared" si="15"/>
        <v>0</v>
      </c>
      <c r="O46" s="12"/>
      <c r="P46" s="7">
        <v>142.41</v>
      </c>
      <c r="Q46" s="3"/>
      <c r="R46" s="8">
        <f t="shared" si="16"/>
        <v>5.9175720975817247E-4</v>
      </c>
      <c r="S46" s="3"/>
      <c r="T46" s="7">
        <v>38.020000000000003</v>
      </c>
      <c r="U46" s="3"/>
      <c r="V46" s="8">
        <f t="shared" si="17"/>
        <v>1.7839781680862169E-3</v>
      </c>
      <c r="W46" s="3"/>
      <c r="X46" s="7">
        <f t="shared" si="18"/>
        <v>104.38999999999999</v>
      </c>
      <c r="Y46" s="3"/>
      <c r="Z46" s="8">
        <f t="shared" si="19"/>
        <v>2.7456601788532344</v>
      </c>
    </row>
    <row r="47" spans="1:26" s="69" customFormat="1" ht="15" hidden="1" customHeight="1" outlineLevel="2" x14ac:dyDescent="0.25">
      <c r="A47" s="25"/>
      <c r="B47" s="12" t="str">
        <f>CONCATENATE("          ","6118"," - ","VACATION")</f>
        <v xml:space="preserve">          6118 - VACATION</v>
      </c>
      <c r="C47" s="12"/>
      <c r="D47" s="7">
        <v>147.84</v>
      </c>
      <c r="E47" s="3"/>
      <c r="F47" s="8">
        <f t="shared" si="12"/>
        <v>1.0593080677659092E-2</v>
      </c>
      <c r="G47" s="3"/>
      <c r="H47" s="7"/>
      <c r="I47" s="3"/>
      <c r="J47" s="8">
        <f t="shared" si="13"/>
        <v>0</v>
      </c>
      <c r="K47" s="3"/>
      <c r="L47" s="7">
        <f t="shared" si="14"/>
        <v>147.84</v>
      </c>
      <c r="M47" s="3"/>
      <c r="N47" s="8">
        <f t="shared" si="15"/>
        <v>0</v>
      </c>
      <c r="O47" s="12"/>
      <c r="P47" s="7">
        <v>221.76</v>
      </c>
      <c r="Q47" s="3"/>
      <c r="R47" s="8">
        <f t="shared" si="16"/>
        <v>9.2148078671422167E-4</v>
      </c>
      <c r="S47" s="3"/>
      <c r="T47" s="7"/>
      <c r="U47" s="3"/>
      <c r="V47" s="8">
        <f t="shared" si="17"/>
        <v>0</v>
      </c>
      <c r="W47" s="3"/>
      <c r="X47" s="7">
        <f t="shared" si="18"/>
        <v>221.76</v>
      </c>
      <c r="Y47" s="3"/>
      <c r="Z47" s="8">
        <f t="shared" si="19"/>
        <v>0</v>
      </c>
    </row>
    <row r="48" spans="1:26" s="69" customFormat="1" ht="15" hidden="1" customHeight="1" outlineLevel="2" x14ac:dyDescent="0.25">
      <c r="A48" s="25"/>
      <c r="B48" s="12" t="str">
        <f>CONCATENATE("          ","6119"," - ","SICK LEAVE")</f>
        <v xml:space="preserve">          6119 - SICK LEAVE</v>
      </c>
      <c r="C48" s="12"/>
      <c r="D48" s="7">
        <v>177.12</v>
      </c>
      <c r="E48" s="3"/>
      <c r="F48" s="8">
        <f t="shared" si="12"/>
        <v>1.2691060941740924E-2</v>
      </c>
      <c r="G48" s="3"/>
      <c r="H48" s="7"/>
      <c r="I48" s="3"/>
      <c r="J48" s="8">
        <f t="shared" si="13"/>
        <v>0</v>
      </c>
      <c r="K48" s="3"/>
      <c r="L48" s="7">
        <f t="shared" si="14"/>
        <v>177.12</v>
      </c>
      <c r="M48" s="3"/>
      <c r="N48" s="8">
        <f t="shared" si="15"/>
        <v>0</v>
      </c>
      <c r="O48" s="12"/>
      <c r="P48" s="7">
        <v>265.68</v>
      </c>
      <c r="Q48" s="3"/>
      <c r="R48" s="8">
        <f t="shared" si="16"/>
        <v>1.1039818516154151E-3</v>
      </c>
      <c r="S48" s="3"/>
      <c r="T48" s="7"/>
      <c r="U48" s="3"/>
      <c r="V48" s="8">
        <f t="shared" si="17"/>
        <v>0</v>
      </c>
      <c r="W48" s="3"/>
      <c r="X48" s="7">
        <f t="shared" si="18"/>
        <v>265.68</v>
      </c>
      <c r="Y48" s="3"/>
      <c r="Z48" s="8">
        <f t="shared" si="19"/>
        <v>0</v>
      </c>
    </row>
    <row r="49" spans="1:26" s="69" customFormat="1" ht="15" hidden="1" customHeight="1" outlineLevel="2" x14ac:dyDescent="0.25">
      <c r="A49" s="25"/>
      <c r="B49" s="12" t="str">
        <f>CONCATENATE("          ","6156"," - ","EMPLOYEE MEALS")</f>
        <v xml:space="preserve">          6156 - EMPLOYEE MEALS</v>
      </c>
      <c r="C49" s="12"/>
      <c r="D49" s="7">
        <v>194.69</v>
      </c>
      <c r="E49" s="3"/>
      <c r="F49" s="8">
        <f t="shared" si="12"/>
        <v>1.394999240485287E-2</v>
      </c>
      <c r="G49" s="3"/>
      <c r="H49" s="7"/>
      <c r="I49" s="3"/>
      <c r="J49" s="8">
        <f t="shared" si="13"/>
        <v>0</v>
      </c>
      <c r="K49" s="3"/>
      <c r="L49" s="7">
        <f t="shared" si="14"/>
        <v>194.69</v>
      </c>
      <c r="M49" s="3"/>
      <c r="N49" s="8">
        <f t="shared" si="15"/>
        <v>0</v>
      </c>
      <c r="O49" s="12"/>
      <c r="P49" s="7">
        <v>225.44</v>
      </c>
      <c r="Q49" s="3"/>
      <c r="R49" s="8">
        <f t="shared" si="16"/>
        <v>9.3677231492087908E-4</v>
      </c>
      <c r="S49" s="3"/>
      <c r="T49" s="7"/>
      <c r="U49" s="3"/>
      <c r="V49" s="8">
        <f t="shared" si="17"/>
        <v>0</v>
      </c>
      <c r="W49" s="3"/>
      <c r="X49" s="7">
        <f t="shared" si="18"/>
        <v>225.44</v>
      </c>
      <c r="Y49" s="3"/>
      <c r="Z49" s="8">
        <f t="shared" si="19"/>
        <v>0</v>
      </c>
    </row>
    <row r="50" spans="1:26" s="68" customFormat="1" ht="15" customHeight="1" outlineLevel="1" collapsed="1" x14ac:dyDescent="0.25">
      <c r="A50" s="26"/>
      <c r="B50" s="14" t="str">
        <f>CONCATENATE("     ","*Payroll                                          ")</f>
        <v xml:space="preserve">     *Payroll                                          </v>
      </c>
      <c r="C50" s="14"/>
      <c r="D50" s="2">
        <f>SUM(OSRRefD22_1x_0)</f>
        <v>6128.2999999999993</v>
      </c>
      <c r="E50" s="2"/>
      <c r="F50" s="6">
        <f t="shared" si="12"/>
        <v>0.43910698266300185</v>
      </c>
      <c r="G50" s="2"/>
      <c r="H50" s="2">
        <f>SUM(OSRRefH22_1x_0)</f>
        <v>0</v>
      </c>
      <c r="I50" s="2"/>
      <c r="J50" s="6">
        <f t="shared" si="13"/>
        <v>0</v>
      </c>
      <c r="K50" s="2"/>
      <c r="L50" s="2">
        <f t="shared" si="14"/>
        <v>6128.2999999999993</v>
      </c>
      <c r="M50" s="2"/>
      <c r="N50" s="6">
        <f t="shared" si="15"/>
        <v>0</v>
      </c>
      <c r="O50" s="14"/>
      <c r="P50" s="2">
        <f>SUM(OSRRefP22_1x_0)</f>
        <v>47306.909999999996</v>
      </c>
      <c r="Q50" s="2"/>
      <c r="R50" s="6">
        <f t="shared" si="16"/>
        <v>0.19657471430293508</v>
      </c>
      <c r="S50" s="2"/>
      <c r="T50" s="2">
        <f>SUM(OSRRefT22_1x_0)</f>
        <v>8152.5399999999991</v>
      </c>
      <c r="U50" s="2"/>
      <c r="V50" s="6">
        <f t="shared" si="17"/>
        <v>0.38253428128483963</v>
      </c>
      <c r="W50" s="2"/>
      <c r="X50" s="2">
        <f t="shared" si="18"/>
        <v>39154.369999999995</v>
      </c>
      <c r="Y50" s="2"/>
      <c r="Z50" s="6">
        <f t="shared" si="19"/>
        <v>4.8027203791701725</v>
      </c>
    </row>
    <row r="51" spans="1:26" s="69" customFormat="1" ht="15" hidden="1" customHeight="1" outlineLevel="2" x14ac:dyDescent="0.25">
      <c r="A51" s="25"/>
      <c r="B51" s="12" t="str">
        <f>CONCATENATE("          ","6004"," - ","STAFF HOURLY")</f>
        <v xml:space="preserve">          6004 - STAFF HOURLY</v>
      </c>
      <c r="C51" s="12"/>
      <c r="D51" s="7">
        <v>3261.84</v>
      </c>
      <c r="E51" s="3"/>
      <c r="F51" s="8">
        <f t="shared" si="12"/>
        <v>0.23371844073062453</v>
      </c>
      <c r="G51" s="3"/>
      <c r="H51" s="7"/>
      <c r="I51" s="3"/>
      <c r="J51" s="8">
        <f t="shared" si="13"/>
        <v>0</v>
      </c>
      <c r="K51" s="3"/>
      <c r="L51" s="7">
        <f t="shared" si="14"/>
        <v>3261.84</v>
      </c>
      <c r="M51" s="3"/>
      <c r="N51" s="8">
        <f t="shared" si="15"/>
        <v>0</v>
      </c>
      <c r="O51" s="12"/>
      <c r="P51" s="7">
        <v>5779.33</v>
      </c>
      <c r="Q51" s="3"/>
      <c r="R51" s="8">
        <f t="shared" si="16"/>
        <v>2.4014887964831814E-2</v>
      </c>
      <c r="S51" s="3"/>
      <c r="T51" s="7"/>
      <c r="U51" s="3"/>
      <c r="V51" s="8">
        <f t="shared" si="17"/>
        <v>0</v>
      </c>
      <c r="W51" s="3"/>
      <c r="X51" s="7">
        <f t="shared" si="18"/>
        <v>5779.33</v>
      </c>
      <c r="Y51" s="3"/>
      <c r="Z51" s="8">
        <f t="shared" si="19"/>
        <v>0</v>
      </c>
    </row>
    <row r="52" spans="1:26" s="69" customFormat="1" ht="15" hidden="1" customHeight="1" outlineLevel="2" x14ac:dyDescent="0.25">
      <c r="A52" s="25"/>
      <c r="B52" s="12" t="str">
        <f>CONCATENATE("          ","6005"," - ","TEMPORARY WAGES-HOURLY")</f>
        <v xml:space="preserve">          6005 - TEMPORARY WAGES-HOURLY</v>
      </c>
      <c r="C52" s="12"/>
      <c r="D52" s="7"/>
      <c r="E52" s="3"/>
      <c r="F52" s="8">
        <f t="shared" si="12"/>
        <v>0</v>
      </c>
      <c r="G52" s="3"/>
      <c r="H52" s="7"/>
      <c r="I52" s="3"/>
      <c r="J52" s="8">
        <f t="shared" si="13"/>
        <v>0</v>
      </c>
      <c r="K52" s="3"/>
      <c r="L52" s="7">
        <f t="shared" si="14"/>
        <v>0</v>
      </c>
      <c r="M52" s="3"/>
      <c r="N52" s="8">
        <f t="shared" si="15"/>
        <v>0</v>
      </c>
      <c r="O52" s="12"/>
      <c r="P52" s="7">
        <v>5808.94</v>
      </c>
      <c r="Q52" s="3"/>
      <c r="R52" s="8">
        <f t="shared" si="16"/>
        <v>2.4137926592603314E-2</v>
      </c>
      <c r="S52" s="3"/>
      <c r="T52" s="7">
        <v>5379.19</v>
      </c>
      <c r="U52" s="3"/>
      <c r="V52" s="8">
        <f t="shared" si="17"/>
        <v>0.25240288064144384</v>
      </c>
      <c r="W52" s="3"/>
      <c r="X52" s="7">
        <f t="shared" si="18"/>
        <v>429.75</v>
      </c>
      <c r="Y52" s="3"/>
      <c r="Z52" s="8">
        <f t="shared" si="19"/>
        <v>7.9891210386693917E-2</v>
      </c>
    </row>
    <row r="53" spans="1:26" s="69" customFormat="1" ht="15" hidden="1" customHeight="1" outlineLevel="2" x14ac:dyDescent="0.25">
      <c r="A53" s="25"/>
      <c r="B53" s="12" t="str">
        <f>CONCATENATE("          ","6007"," - ","STUDENT HOURLY")</f>
        <v xml:space="preserve">          6007 - STUDENT HOURLY</v>
      </c>
      <c r="C53" s="12"/>
      <c r="D53" s="7">
        <v>2545.98</v>
      </c>
      <c r="E53" s="3"/>
      <c r="F53" s="8">
        <f t="shared" si="12"/>
        <v>0.18242540275775496</v>
      </c>
      <c r="G53" s="3"/>
      <c r="H53" s="7"/>
      <c r="I53" s="3"/>
      <c r="J53" s="8">
        <f t="shared" si="13"/>
        <v>0</v>
      </c>
      <c r="K53" s="3"/>
      <c r="L53" s="7">
        <f t="shared" si="14"/>
        <v>2545.98</v>
      </c>
      <c r="M53" s="3"/>
      <c r="N53" s="8">
        <f t="shared" si="15"/>
        <v>0</v>
      </c>
      <c r="O53" s="12"/>
      <c r="P53" s="7">
        <v>29195.26</v>
      </c>
      <c r="Q53" s="3"/>
      <c r="R53" s="8">
        <f t="shared" si="16"/>
        <v>0.12131525592138459</v>
      </c>
      <c r="S53" s="3"/>
      <c r="T53" s="7">
        <v>2773.35</v>
      </c>
      <c r="U53" s="3"/>
      <c r="V53" s="8">
        <f t="shared" si="17"/>
        <v>0.13013140064339582</v>
      </c>
      <c r="W53" s="3"/>
      <c r="X53" s="7">
        <f t="shared" si="18"/>
        <v>26421.91</v>
      </c>
      <c r="Y53" s="3"/>
      <c r="Z53" s="8">
        <f t="shared" si="19"/>
        <v>9.5270737555663736</v>
      </c>
    </row>
    <row r="54" spans="1:26" s="69" customFormat="1" ht="15" hidden="1" customHeight="1" outlineLevel="2" x14ac:dyDescent="0.25">
      <c r="A54" s="25"/>
      <c r="B54" s="12" t="str">
        <f>CONCATENATE("          ","6008"," - ","STUDENT HOURLY-FICA EXEMPT")</f>
        <v xml:space="preserve">          6008 - STUDENT HOURLY-FICA EXEMPT</v>
      </c>
      <c r="C54" s="12"/>
      <c r="D54" s="7">
        <v>320.48</v>
      </c>
      <c r="E54" s="3"/>
      <c r="F54" s="8">
        <f t="shared" si="12"/>
        <v>2.2963139174622466E-2</v>
      </c>
      <c r="G54" s="3"/>
      <c r="H54" s="7"/>
      <c r="I54" s="3"/>
      <c r="J54" s="8">
        <f t="shared" si="13"/>
        <v>0</v>
      </c>
      <c r="K54" s="3"/>
      <c r="L54" s="7">
        <f t="shared" si="14"/>
        <v>320.48</v>
      </c>
      <c r="M54" s="3"/>
      <c r="N54" s="8">
        <f t="shared" si="15"/>
        <v>0</v>
      </c>
      <c r="O54" s="12"/>
      <c r="P54" s="7">
        <v>6523.38</v>
      </c>
      <c r="Q54" s="3"/>
      <c r="R54" s="8">
        <f t="shared" si="16"/>
        <v>2.7106643824115349E-2</v>
      </c>
      <c r="S54" s="3"/>
      <c r="T54" s="7"/>
      <c r="U54" s="3"/>
      <c r="V54" s="8">
        <f t="shared" si="17"/>
        <v>0</v>
      </c>
      <c r="W54" s="3"/>
      <c r="X54" s="7">
        <f t="shared" si="18"/>
        <v>6523.38</v>
      </c>
      <c r="Y54" s="3"/>
      <c r="Z54" s="8">
        <f t="shared" si="19"/>
        <v>0</v>
      </c>
    </row>
    <row r="55" spans="1:26" s="68" customFormat="1" ht="15" customHeight="1" outlineLevel="1" collapsed="1" x14ac:dyDescent="0.25">
      <c r="A55" s="26"/>
      <c r="B55" s="14" t="str">
        <f>CONCATENATE("     ","Advertising/Promo                                 ")</f>
        <v xml:space="preserve">     Advertising/Promo                                 </v>
      </c>
      <c r="C55" s="14"/>
      <c r="D55" s="2">
        <f>SUM(OSRRefD22_2x_0)</f>
        <v>0</v>
      </c>
      <c r="E55" s="2"/>
      <c r="F55" s="6">
        <f t="shared" si="12"/>
        <v>0</v>
      </c>
      <c r="G55" s="2"/>
      <c r="H55" s="2">
        <f>SUM(OSRRefH22_2x_0)</f>
        <v>0</v>
      </c>
      <c r="I55" s="2"/>
      <c r="J55" s="6">
        <f t="shared" si="13"/>
        <v>0</v>
      </c>
      <c r="K55" s="2"/>
      <c r="L55" s="2">
        <f t="shared" si="14"/>
        <v>0</v>
      </c>
      <c r="M55" s="2"/>
      <c r="N55" s="6">
        <f t="shared" si="15"/>
        <v>0</v>
      </c>
      <c r="O55" s="14"/>
      <c r="P55" s="2">
        <f>SUM(OSRRefP22_2x_0)</f>
        <v>1669.12</v>
      </c>
      <c r="Q55" s="2"/>
      <c r="R55" s="6">
        <f t="shared" si="16"/>
        <v>6.9357053152978073E-3</v>
      </c>
      <c r="S55" s="2"/>
      <c r="T55" s="2">
        <f>SUM(OSRRefT22_2x_0)</f>
        <v>124.72</v>
      </c>
      <c r="U55" s="2"/>
      <c r="V55" s="6">
        <f t="shared" si="17"/>
        <v>5.8521240695347957E-3</v>
      </c>
      <c r="W55" s="2"/>
      <c r="X55" s="2">
        <f t="shared" si="18"/>
        <v>1544.3999999999999</v>
      </c>
      <c r="Y55" s="2"/>
      <c r="Z55" s="6">
        <f t="shared" si="19"/>
        <v>12.382937780628607</v>
      </c>
    </row>
    <row r="56" spans="1:26" s="69" customFormat="1" ht="15" hidden="1" customHeight="1" outlineLevel="2" x14ac:dyDescent="0.25">
      <c r="A56" s="25"/>
      <c r="B56" s="12" t="str">
        <f>CONCATENATE("          ","6362"," - ","ADVERTISING EXPENSE")</f>
        <v xml:space="preserve">          6362 - ADVERTISING EXPENSE</v>
      </c>
      <c r="C56" s="12"/>
      <c r="D56" s="7"/>
      <c r="E56" s="3"/>
      <c r="F56" s="8">
        <f t="shared" si="12"/>
        <v>0</v>
      </c>
      <c r="G56" s="3"/>
      <c r="H56" s="7"/>
      <c r="I56" s="3"/>
      <c r="J56" s="8">
        <f t="shared" si="13"/>
        <v>0</v>
      </c>
      <c r="K56" s="3"/>
      <c r="L56" s="7">
        <f t="shared" si="14"/>
        <v>0</v>
      </c>
      <c r="M56" s="3"/>
      <c r="N56" s="8">
        <f t="shared" si="15"/>
        <v>0</v>
      </c>
      <c r="O56" s="12"/>
      <c r="P56" s="7">
        <v>1669.12</v>
      </c>
      <c r="Q56" s="3"/>
      <c r="R56" s="8">
        <f t="shared" si="16"/>
        <v>6.9357053152978073E-3</v>
      </c>
      <c r="S56" s="3"/>
      <c r="T56" s="7">
        <v>124.72</v>
      </c>
      <c r="U56" s="3"/>
      <c r="V56" s="8">
        <f t="shared" si="17"/>
        <v>5.8521240695347957E-3</v>
      </c>
      <c r="W56" s="3"/>
      <c r="X56" s="7">
        <f t="shared" si="18"/>
        <v>1544.3999999999999</v>
      </c>
      <c r="Y56" s="3"/>
      <c r="Z56" s="8">
        <f t="shared" si="19"/>
        <v>12.382937780628607</v>
      </c>
    </row>
    <row r="57" spans="1:26" s="68" customFormat="1" ht="15" customHeight="1" outlineLevel="1" collapsed="1" x14ac:dyDescent="0.25">
      <c r="A57" s="26"/>
      <c r="B57" s="14" t="str">
        <f>CONCATENATE("     ","Bad Debts/Over/Short                              ")</f>
        <v xml:space="preserve">     Bad Debts/Over/Short                              </v>
      </c>
      <c r="C57" s="14"/>
      <c r="D57" s="2">
        <f>SUM(OSRRefD22_3x_0)</f>
        <v>-0.77</v>
      </c>
      <c r="E57" s="2"/>
      <c r="F57" s="6">
        <f t="shared" si="12"/>
        <v>-5.5172295196141097E-5</v>
      </c>
      <c r="G57" s="2"/>
      <c r="H57" s="2">
        <f>SUM(OSRRefH22_3x_0)</f>
        <v>0</v>
      </c>
      <c r="I57" s="2"/>
      <c r="J57" s="6">
        <f t="shared" si="13"/>
        <v>0</v>
      </c>
      <c r="K57" s="2"/>
      <c r="L57" s="2">
        <f t="shared" si="14"/>
        <v>-0.77</v>
      </c>
      <c r="M57" s="2"/>
      <c r="N57" s="6">
        <f t="shared" si="15"/>
        <v>0</v>
      </c>
      <c r="O57" s="14"/>
      <c r="P57" s="2">
        <f>SUM(OSRRefP22_3x_0)</f>
        <v>-8.7799999999999994</v>
      </c>
      <c r="Q57" s="2"/>
      <c r="R57" s="6">
        <f t="shared" si="16"/>
        <v>-3.6483591753927065E-5</v>
      </c>
      <c r="S57" s="2"/>
      <c r="T57" s="2">
        <f>SUM(OSRRefT22_3x_0)</f>
        <v>1.1000000000000001</v>
      </c>
      <c r="U57" s="2"/>
      <c r="V57" s="6">
        <f t="shared" si="17"/>
        <v>5.1614307861516002E-5</v>
      </c>
      <c r="W57" s="2"/>
      <c r="X57" s="2">
        <f t="shared" si="18"/>
        <v>-9.879999999999999</v>
      </c>
      <c r="Y57" s="2"/>
      <c r="Z57" s="6">
        <f t="shared" si="19"/>
        <v>-8.9818181818181806</v>
      </c>
    </row>
    <row r="58" spans="1:26" s="69" customFormat="1" ht="15" hidden="1" customHeight="1" outlineLevel="2" x14ac:dyDescent="0.25">
      <c r="A58" s="25"/>
      <c r="B58" s="12" t="str">
        <f>CONCATENATE("          ","6272"," - ","CASH (OVER/SHORT)")</f>
        <v xml:space="preserve">          6272 - CASH (OVER/SHORT)</v>
      </c>
      <c r="C58" s="12"/>
      <c r="D58" s="7">
        <v>-0.77</v>
      </c>
      <c r="E58" s="3"/>
      <c r="F58" s="8">
        <f t="shared" si="12"/>
        <v>-5.5172295196141097E-5</v>
      </c>
      <c r="G58" s="3"/>
      <c r="H58" s="7"/>
      <c r="I58" s="3"/>
      <c r="J58" s="8">
        <f t="shared" si="13"/>
        <v>0</v>
      </c>
      <c r="K58" s="3"/>
      <c r="L58" s="7">
        <f t="shared" si="14"/>
        <v>-0.77</v>
      </c>
      <c r="M58" s="3"/>
      <c r="N58" s="8">
        <f t="shared" si="15"/>
        <v>0</v>
      </c>
      <c r="O58" s="12"/>
      <c r="P58" s="7">
        <v>-8.7799999999999994</v>
      </c>
      <c r="Q58" s="3"/>
      <c r="R58" s="8">
        <f t="shared" si="16"/>
        <v>-3.6483591753927065E-5</v>
      </c>
      <c r="S58" s="3"/>
      <c r="T58" s="7">
        <v>1.1000000000000001</v>
      </c>
      <c r="U58" s="3"/>
      <c r="V58" s="8">
        <f t="shared" si="17"/>
        <v>5.1614307861516002E-5</v>
      </c>
      <c r="W58" s="3"/>
      <c r="X58" s="7">
        <f t="shared" si="18"/>
        <v>-9.879999999999999</v>
      </c>
      <c r="Y58" s="3"/>
      <c r="Z58" s="8">
        <f t="shared" si="19"/>
        <v>-8.9818181818181806</v>
      </c>
    </row>
    <row r="59" spans="1:26" s="68" customFormat="1" ht="15" customHeight="1" outlineLevel="1" collapsed="1" x14ac:dyDescent="0.25">
      <c r="A59" s="26"/>
      <c r="B59" s="14" t="str">
        <f>CONCATENATE("     ","Discounts and Markdowns                           ")</f>
        <v xml:space="preserve">     Discounts and Markdowns                           </v>
      </c>
      <c r="C59" s="14"/>
      <c r="D59" s="2">
        <f>SUM(OSRRefD22_4x_0)</f>
        <v>-17.57</v>
      </c>
      <c r="E59" s="2"/>
      <c r="F59" s="6">
        <f t="shared" si="12"/>
        <v>-1.2589314631119468E-3</v>
      </c>
      <c r="G59" s="2"/>
      <c r="H59" s="2">
        <f>SUM(OSRRefH22_4x_0)</f>
        <v>0</v>
      </c>
      <c r="I59" s="2"/>
      <c r="J59" s="6">
        <f t="shared" si="13"/>
        <v>0</v>
      </c>
      <c r="K59" s="2"/>
      <c r="L59" s="2">
        <f t="shared" si="14"/>
        <v>-17.57</v>
      </c>
      <c r="M59" s="2"/>
      <c r="N59" s="6">
        <f t="shared" si="15"/>
        <v>0</v>
      </c>
      <c r="O59" s="14"/>
      <c r="P59" s="2">
        <f>SUM(OSRRefP22_4x_0)</f>
        <v>-39.1</v>
      </c>
      <c r="Q59" s="2"/>
      <c r="R59" s="6">
        <f t="shared" si="16"/>
        <v>-1.6247248719573445E-4</v>
      </c>
      <c r="S59" s="2"/>
      <c r="T59" s="2">
        <f>SUM(OSRRefT22_4x_0)</f>
        <v>0</v>
      </c>
      <c r="U59" s="2"/>
      <c r="V59" s="6">
        <f t="shared" si="17"/>
        <v>0</v>
      </c>
      <c r="W59" s="2"/>
      <c r="X59" s="2">
        <f t="shared" si="18"/>
        <v>-39.1</v>
      </c>
      <c r="Y59" s="2"/>
      <c r="Z59" s="6">
        <f t="shared" si="19"/>
        <v>0</v>
      </c>
    </row>
    <row r="60" spans="1:26" s="69" customFormat="1" ht="15" hidden="1" customHeight="1" outlineLevel="2" x14ac:dyDescent="0.25">
      <c r="A60" s="25"/>
      <c r="B60" s="12" t="str">
        <f>CONCATENATE("          ","6382"," - ","DISCOUNTS/MARK DOWNS")</f>
        <v xml:space="preserve">          6382 - DISCOUNTS/MARK DOWNS</v>
      </c>
      <c r="C60" s="12"/>
      <c r="D60" s="7"/>
      <c r="E60" s="3"/>
      <c r="F60" s="8">
        <f t="shared" si="12"/>
        <v>0</v>
      </c>
      <c r="G60" s="3"/>
      <c r="H60" s="7"/>
      <c r="I60" s="3"/>
      <c r="J60" s="8">
        <f t="shared" si="13"/>
        <v>0</v>
      </c>
      <c r="K60" s="3"/>
      <c r="L60" s="7">
        <f t="shared" si="14"/>
        <v>0</v>
      </c>
      <c r="M60" s="3"/>
      <c r="N60" s="8">
        <f t="shared" si="15"/>
        <v>0</v>
      </c>
      <c r="O60" s="12"/>
      <c r="P60" s="7"/>
      <c r="Q60" s="3"/>
      <c r="R60" s="8">
        <f t="shared" si="16"/>
        <v>0</v>
      </c>
      <c r="S60" s="3"/>
      <c r="T60" s="7">
        <v>0</v>
      </c>
      <c r="U60" s="3"/>
      <c r="V60" s="8">
        <f t="shared" si="17"/>
        <v>0</v>
      </c>
      <c r="W60" s="3"/>
      <c r="X60" s="7">
        <f t="shared" si="18"/>
        <v>0</v>
      </c>
      <c r="Y60" s="3"/>
      <c r="Z60" s="8">
        <f t="shared" si="19"/>
        <v>0</v>
      </c>
    </row>
    <row r="61" spans="1:26" s="69" customFormat="1" ht="15" hidden="1" customHeight="1" outlineLevel="2" x14ac:dyDescent="0.25">
      <c r="A61" s="25"/>
      <c r="B61" s="12" t="str">
        <f>CONCATENATE("          ","9175"," - ","EARNED DISCOUNTS")</f>
        <v xml:space="preserve">          9175 - EARNED DISCOUNTS</v>
      </c>
      <c r="C61" s="12"/>
      <c r="D61" s="7">
        <v>-17.57</v>
      </c>
      <c r="E61" s="3"/>
      <c r="F61" s="8">
        <f t="shared" si="12"/>
        <v>-1.2589314631119468E-3</v>
      </c>
      <c r="G61" s="3"/>
      <c r="H61" s="7"/>
      <c r="I61" s="3"/>
      <c r="J61" s="8">
        <f t="shared" si="13"/>
        <v>0</v>
      </c>
      <c r="K61" s="3"/>
      <c r="L61" s="7">
        <f t="shared" si="14"/>
        <v>-17.57</v>
      </c>
      <c r="M61" s="3"/>
      <c r="N61" s="8">
        <f t="shared" si="15"/>
        <v>0</v>
      </c>
      <c r="O61" s="12"/>
      <c r="P61" s="7">
        <v>-39.1</v>
      </c>
      <c r="Q61" s="3"/>
      <c r="R61" s="8">
        <f t="shared" si="16"/>
        <v>-1.6247248719573445E-4</v>
      </c>
      <c r="S61" s="3"/>
      <c r="T61" s="7">
        <v>0</v>
      </c>
      <c r="U61" s="3"/>
      <c r="V61" s="8">
        <f t="shared" si="17"/>
        <v>0</v>
      </c>
      <c r="W61" s="3"/>
      <c r="X61" s="7">
        <f t="shared" si="18"/>
        <v>-39.1</v>
      </c>
      <c r="Y61" s="3"/>
      <c r="Z61" s="8">
        <f t="shared" si="19"/>
        <v>0</v>
      </c>
    </row>
    <row r="62" spans="1:26" s="68" customFormat="1" ht="15" customHeight="1" outlineLevel="1" collapsed="1" x14ac:dyDescent="0.25">
      <c r="A62" s="26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SUM(OSRRefD22_5x_0)</f>
        <v>0</v>
      </c>
      <c r="E62" s="2"/>
      <c r="F62" s="6">
        <f t="shared" si="12"/>
        <v>0</v>
      </c>
      <c r="G62" s="2"/>
      <c r="H62" s="2">
        <f>SUM(OSRRefH22_5x_0)</f>
        <v>0</v>
      </c>
      <c r="I62" s="2"/>
      <c r="J62" s="6">
        <f t="shared" si="13"/>
        <v>0</v>
      </c>
      <c r="K62" s="2"/>
      <c r="L62" s="2">
        <f t="shared" si="14"/>
        <v>0</v>
      </c>
      <c r="M62" s="2"/>
      <c r="N62" s="6">
        <f t="shared" si="15"/>
        <v>0</v>
      </c>
      <c r="O62" s="14"/>
      <c r="P62" s="2">
        <f>SUM(OSRRefP22_5x_0)</f>
        <v>54.5</v>
      </c>
      <c r="Q62" s="2"/>
      <c r="R62" s="6">
        <f t="shared" si="16"/>
        <v>2.2646420849533317E-4</v>
      </c>
      <c r="S62" s="2"/>
      <c r="T62" s="2">
        <f>SUM(OSRRefT22_5x_0)</f>
        <v>0</v>
      </c>
      <c r="U62" s="2"/>
      <c r="V62" s="6">
        <f t="shared" si="17"/>
        <v>0</v>
      </c>
      <c r="W62" s="2"/>
      <c r="X62" s="2">
        <f t="shared" si="18"/>
        <v>54.5</v>
      </c>
      <c r="Y62" s="2"/>
      <c r="Z62" s="6">
        <f t="shared" si="19"/>
        <v>0</v>
      </c>
    </row>
    <row r="63" spans="1:26" s="69" customFormat="1" ht="15" hidden="1" customHeight="1" outlineLevel="2" x14ac:dyDescent="0.25">
      <c r="A63" s="25"/>
      <c r="B63" s="12" t="str">
        <f>CONCATENATE("          ","6307"," - ","POSTAGE")</f>
        <v xml:space="preserve">          6307 - POSTAGE</v>
      </c>
      <c r="C63" s="12"/>
      <c r="D63" s="7"/>
      <c r="E63" s="3"/>
      <c r="F63" s="8">
        <f t="shared" si="12"/>
        <v>0</v>
      </c>
      <c r="G63" s="3"/>
      <c r="H63" s="7"/>
      <c r="I63" s="3"/>
      <c r="J63" s="8">
        <f t="shared" si="13"/>
        <v>0</v>
      </c>
      <c r="K63" s="3"/>
      <c r="L63" s="7">
        <f t="shared" si="14"/>
        <v>0</v>
      </c>
      <c r="M63" s="3"/>
      <c r="N63" s="8">
        <f t="shared" si="15"/>
        <v>0</v>
      </c>
      <c r="O63" s="12"/>
      <c r="P63" s="7">
        <v>54.5</v>
      </c>
      <c r="Q63" s="3"/>
      <c r="R63" s="8">
        <f t="shared" si="16"/>
        <v>2.2646420849533317E-4</v>
      </c>
      <c r="S63" s="3"/>
      <c r="T63" s="7"/>
      <c r="U63" s="3"/>
      <c r="V63" s="8">
        <f t="shared" si="17"/>
        <v>0</v>
      </c>
      <c r="W63" s="3"/>
      <c r="X63" s="7">
        <f t="shared" si="18"/>
        <v>54.5</v>
      </c>
      <c r="Y63" s="3"/>
      <c r="Z63" s="8">
        <f t="shared" si="19"/>
        <v>0</v>
      </c>
    </row>
    <row r="64" spans="1:26" s="68" customFormat="1" ht="15" customHeight="1" outlineLevel="1" collapsed="1" x14ac:dyDescent="0.25">
      <c r="A64" s="26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SUM(OSRRefD22_6x_0)</f>
        <v>0</v>
      </c>
      <c r="E64" s="2"/>
      <c r="F64" s="6">
        <f t="shared" si="12"/>
        <v>0</v>
      </c>
      <c r="G64" s="2"/>
      <c r="H64" s="2">
        <f>SUM(OSRRefH22_6x_0)</f>
        <v>0</v>
      </c>
      <c r="I64" s="2"/>
      <c r="J64" s="6">
        <f t="shared" si="13"/>
        <v>0</v>
      </c>
      <c r="K64" s="2"/>
      <c r="L64" s="2">
        <f t="shared" si="14"/>
        <v>0</v>
      </c>
      <c r="M64" s="2"/>
      <c r="N64" s="6">
        <f t="shared" si="15"/>
        <v>0</v>
      </c>
      <c r="O64" s="14"/>
      <c r="P64" s="2">
        <f>SUM(OSRRefP22_6x_0)</f>
        <v>1122.5899999999999</v>
      </c>
      <c r="Q64" s="2"/>
      <c r="R64" s="6">
        <f t="shared" si="16"/>
        <v>4.6647056112802945E-3</v>
      </c>
      <c r="S64" s="2"/>
      <c r="T64" s="2">
        <f>SUM(OSRRefT22_6x_0)</f>
        <v>879.55</v>
      </c>
      <c r="U64" s="2"/>
      <c r="V64" s="6">
        <f t="shared" si="17"/>
        <v>4.1270331345087632E-2</v>
      </c>
      <c r="W64" s="2"/>
      <c r="X64" s="2">
        <f t="shared" si="18"/>
        <v>243.03999999999996</v>
      </c>
      <c r="Y64" s="2"/>
      <c r="Z64" s="6">
        <f t="shared" si="19"/>
        <v>0.27632311977715873</v>
      </c>
    </row>
    <row r="65" spans="1:26" s="69" customFormat="1" ht="15" hidden="1" customHeight="1" outlineLevel="2" x14ac:dyDescent="0.25">
      <c r="A65" s="25"/>
      <c r="B65" s="12" t="str">
        <f>CONCATENATE("          ","6279"," - ","GENERAL EXPENSE")</f>
        <v xml:space="preserve">          6279 - GENERAL EXPENSE</v>
      </c>
      <c r="C65" s="12"/>
      <c r="D65" s="7"/>
      <c r="E65" s="3"/>
      <c r="F65" s="8">
        <f t="shared" si="12"/>
        <v>0</v>
      </c>
      <c r="G65" s="3"/>
      <c r="H65" s="7"/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>
        <v>1122.5899999999999</v>
      </c>
      <c r="Q65" s="3"/>
      <c r="R65" s="8">
        <f t="shared" si="16"/>
        <v>4.6647056112802945E-3</v>
      </c>
      <c r="S65" s="3"/>
      <c r="T65" s="7">
        <v>879.55</v>
      </c>
      <c r="U65" s="3"/>
      <c r="V65" s="8">
        <f t="shared" si="17"/>
        <v>4.1270331345087632E-2</v>
      </c>
      <c r="W65" s="3"/>
      <c r="X65" s="7">
        <f t="shared" si="18"/>
        <v>243.03999999999996</v>
      </c>
      <c r="Y65" s="3"/>
      <c r="Z65" s="8">
        <f t="shared" si="19"/>
        <v>0.27632311977715873</v>
      </c>
    </row>
    <row r="66" spans="1:26" s="68" customFormat="1" ht="15" customHeight="1" outlineLevel="1" collapsed="1" x14ac:dyDescent="0.25">
      <c r="A66" s="26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SUM(OSRRefD22_7x_0)</f>
        <v>650</v>
      </c>
      <c r="E66" s="2"/>
      <c r="F66" s="6">
        <f t="shared" si="12"/>
        <v>4.6574015425313912E-2</v>
      </c>
      <c r="G66" s="2"/>
      <c r="H66" s="2">
        <f>SUM(OSRRefH22_7x_0)</f>
        <v>0</v>
      </c>
      <c r="I66" s="2"/>
      <c r="J66" s="6">
        <f t="shared" si="13"/>
        <v>0</v>
      </c>
      <c r="K66" s="2"/>
      <c r="L66" s="2">
        <f t="shared" si="14"/>
        <v>650</v>
      </c>
      <c r="M66" s="2"/>
      <c r="N66" s="6">
        <f t="shared" si="15"/>
        <v>0</v>
      </c>
      <c r="O66" s="14"/>
      <c r="P66" s="2">
        <f>SUM(OSRRefP22_7x_0)</f>
        <v>7150</v>
      </c>
      <c r="Q66" s="2"/>
      <c r="R66" s="6">
        <f t="shared" si="16"/>
        <v>2.9710442031956556E-2</v>
      </c>
      <c r="S66" s="2"/>
      <c r="T66" s="2">
        <f>SUM(OSRRefT22_7x_0)</f>
        <v>0</v>
      </c>
      <c r="U66" s="2"/>
      <c r="V66" s="6">
        <f t="shared" si="17"/>
        <v>0</v>
      </c>
      <c r="W66" s="2"/>
      <c r="X66" s="2">
        <f t="shared" si="18"/>
        <v>7150</v>
      </c>
      <c r="Y66" s="2"/>
      <c r="Z66" s="6">
        <f t="shared" si="19"/>
        <v>0</v>
      </c>
    </row>
    <row r="67" spans="1:26" s="69" customFormat="1" ht="15" hidden="1" customHeight="1" outlineLevel="2" x14ac:dyDescent="0.25">
      <c r="A67" s="25"/>
      <c r="B67" s="12" t="str">
        <f>CONCATENATE("          ","6408"," - ","INVENTORY ADJUSTMENT")</f>
        <v xml:space="preserve">          6408 - INVENTORY ADJUSTMENT</v>
      </c>
      <c r="C67" s="12"/>
      <c r="D67" s="7">
        <v>650</v>
      </c>
      <c r="E67" s="3"/>
      <c r="F67" s="8">
        <f t="shared" si="12"/>
        <v>4.6574015425313912E-2</v>
      </c>
      <c r="G67" s="3"/>
      <c r="H67" s="7"/>
      <c r="I67" s="3"/>
      <c r="J67" s="8">
        <f t="shared" si="13"/>
        <v>0</v>
      </c>
      <c r="K67" s="3"/>
      <c r="L67" s="7">
        <f t="shared" si="14"/>
        <v>650</v>
      </c>
      <c r="M67" s="3"/>
      <c r="N67" s="8">
        <f t="shared" si="15"/>
        <v>0</v>
      </c>
      <c r="O67" s="12"/>
      <c r="P67" s="7">
        <v>7150</v>
      </c>
      <c r="Q67" s="3"/>
      <c r="R67" s="8">
        <f t="shared" si="16"/>
        <v>2.9710442031956556E-2</v>
      </c>
      <c r="S67" s="3"/>
      <c r="T67" s="7"/>
      <c r="U67" s="3"/>
      <c r="V67" s="8">
        <f t="shared" si="17"/>
        <v>0</v>
      </c>
      <c r="W67" s="3"/>
      <c r="X67" s="7">
        <f t="shared" si="18"/>
        <v>7150</v>
      </c>
      <c r="Y67" s="3"/>
      <c r="Z67" s="8">
        <f t="shared" si="19"/>
        <v>0</v>
      </c>
    </row>
    <row r="68" spans="1:26" s="68" customFormat="1" ht="15" customHeight="1" outlineLevel="1" collapsed="1" x14ac:dyDescent="0.25">
      <c r="A68" s="26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SUM(OSRRefD22_8x_0)</f>
        <v>0</v>
      </c>
      <c r="E68" s="2"/>
      <c r="F68" s="6">
        <f t="shared" si="12"/>
        <v>0</v>
      </c>
      <c r="G68" s="2"/>
      <c r="H68" s="2">
        <f>SUM(OSRRefH22_8x_0)</f>
        <v>0</v>
      </c>
      <c r="I68" s="2"/>
      <c r="J68" s="6">
        <f t="shared" si="13"/>
        <v>0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SUM(OSRRefP22_8x_0)</f>
        <v>1057.25</v>
      </c>
      <c r="Q68" s="2"/>
      <c r="R68" s="6">
        <f t="shared" si="16"/>
        <v>4.3931978794805688E-3</v>
      </c>
      <c r="S68" s="2"/>
      <c r="T68" s="2">
        <f>SUM(OSRRefT22_8x_0)</f>
        <v>261.93</v>
      </c>
      <c r="U68" s="2"/>
      <c r="V68" s="6">
        <f t="shared" si="17"/>
        <v>1.2290305143788078E-2</v>
      </c>
      <c r="W68" s="2"/>
      <c r="X68" s="2">
        <f t="shared" si="18"/>
        <v>795.31999999999994</v>
      </c>
      <c r="Y68" s="2"/>
      <c r="Z68" s="6">
        <f t="shared" si="19"/>
        <v>3.0363837666552129</v>
      </c>
    </row>
    <row r="69" spans="1:26" s="69" customFormat="1" ht="15" hidden="1" customHeight="1" outlineLevel="2" x14ac:dyDescent="0.25">
      <c r="A69" s="25"/>
      <c r="B69" s="12" t="str">
        <f>CONCATENATE("          ","6373"," - ","MAINTENANCE CONTRACTS")</f>
        <v xml:space="preserve">          6373 - MAINTENANCE CONTRACTS</v>
      </c>
      <c r="C69" s="12"/>
      <c r="D69" s="7"/>
      <c r="E69" s="3"/>
      <c r="F69" s="8">
        <f t="shared" si="12"/>
        <v>0</v>
      </c>
      <c r="G69" s="3"/>
      <c r="H69" s="7"/>
      <c r="I69" s="3"/>
      <c r="J69" s="8">
        <f t="shared" si="13"/>
        <v>0</v>
      </c>
      <c r="K69" s="3"/>
      <c r="L69" s="7">
        <f t="shared" si="14"/>
        <v>0</v>
      </c>
      <c r="M69" s="3"/>
      <c r="N69" s="8">
        <f t="shared" si="15"/>
        <v>0</v>
      </c>
      <c r="O69" s="12"/>
      <c r="P69" s="7">
        <v>339.23</v>
      </c>
      <c r="Q69" s="3"/>
      <c r="R69" s="8">
        <f t="shared" si="16"/>
        <v>1.4096046504196674E-3</v>
      </c>
      <c r="S69" s="3"/>
      <c r="T69" s="7">
        <v>261.93</v>
      </c>
      <c r="U69" s="3"/>
      <c r="V69" s="8">
        <f t="shared" si="17"/>
        <v>1.2290305143788078E-2</v>
      </c>
      <c r="W69" s="3"/>
      <c r="X69" s="7">
        <f t="shared" si="18"/>
        <v>77.300000000000011</v>
      </c>
      <c r="Y69" s="3"/>
      <c r="Z69" s="8">
        <f t="shared" si="19"/>
        <v>0.29511701599664036</v>
      </c>
    </row>
    <row r="70" spans="1:26" s="69" customFormat="1" ht="15" hidden="1" customHeight="1" outlineLevel="2" x14ac:dyDescent="0.25">
      <c r="A70" s="25"/>
      <c r="B70" s="12" t="str">
        <f>CONCATENATE("          ","6375"," - ","OUTSIDE REPAIRS &amp; MAINTENANCE")</f>
        <v xml:space="preserve">          6375 - OUTSIDE REPAIRS &amp; MAINTENANCE</v>
      </c>
      <c r="C70" s="12"/>
      <c r="D70" s="7"/>
      <c r="E70" s="3"/>
      <c r="F70" s="8">
        <f t="shared" si="12"/>
        <v>0</v>
      </c>
      <c r="G70" s="3"/>
      <c r="H70" s="7"/>
      <c r="I70" s="3"/>
      <c r="J70" s="8">
        <f t="shared" si="13"/>
        <v>0</v>
      </c>
      <c r="K70" s="3"/>
      <c r="L70" s="7">
        <f t="shared" si="14"/>
        <v>0</v>
      </c>
      <c r="M70" s="3"/>
      <c r="N70" s="8">
        <f t="shared" si="15"/>
        <v>0</v>
      </c>
      <c r="O70" s="12"/>
      <c r="P70" s="7">
        <v>718.02</v>
      </c>
      <c r="Q70" s="3"/>
      <c r="R70" s="8">
        <f t="shared" si="16"/>
        <v>2.9835932290609014E-3</v>
      </c>
      <c r="S70" s="3"/>
      <c r="T70" s="7"/>
      <c r="U70" s="3"/>
      <c r="V70" s="8">
        <f t="shared" si="17"/>
        <v>0</v>
      </c>
      <c r="W70" s="3"/>
      <c r="X70" s="7">
        <f t="shared" si="18"/>
        <v>718.02</v>
      </c>
      <c r="Y70" s="3"/>
      <c r="Z70" s="8">
        <f t="shared" si="19"/>
        <v>0</v>
      </c>
    </row>
    <row r="71" spans="1:26" s="68" customFormat="1" ht="15" customHeight="1" outlineLevel="1" collapsed="1" x14ac:dyDescent="0.25">
      <c r="A71" s="26"/>
      <c r="B71" s="14" t="str">
        <f>CONCATENATE("     ","Services                                          ")</f>
        <v xml:space="preserve">     Services                                          </v>
      </c>
      <c r="C71" s="14"/>
      <c r="D71" s="2">
        <f>SUM(OSRRefD22_9x_0)</f>
        <v>250.08</v>
      </c>
      <c r="E71" s="2"/>
      <c r="F71" s="6">
        <f t="shared" si="12"/>
        <v>1.7918815042403852E-2</v>
      </c>
      <c r="G71" s="2"/>
      <c r="H71" s="2">
        <f>SUM(OSRRefH22_9x_0)</f>
        <v>0</v>
      </c>
      <c r="I71" s="2"/>
      <c r="J71" s="6">
        <f t="shared" si="13"/>
        <v>0</v>
      </c>
      <c r="K71" s="2"/>
      <c r="L71" s="2">
        <f t="shared" si="14"/>
        <v>250.08</v>
      </c>
      <c r="M71" s="2"/>
      <c r="N71" s="6">
        <f t="shared" si="15"/>
        <v>0</v>
      </c>
      <c r="O71" s="14"/>
      <c r="P71" s="2">
        <f>SUM(OSRRefP22_9x_0)</f>
        <v>4635</v>
      </c>
      <c r="Q71" s="2"/>
      <c r="R71" s="6">
        <f t="shared" si="16"/>
        <v>1.9259845988548061E-2</v>
      </c>
      <c r="S71" s="2"/>
      <c r="T71" s="2">
        <f>SUM(OSRRefT22_9x_0)</f>
        <v>18.5</v>
      </c>
      <c r="U71" s="2"/>
      <c r="V71" s="6">
        <f t="shared" si="17"/>
        <v>8.6805881403458724E-4</v>
      </c>
      <c r="W71" s="2"/>
      <c r="X71" s="2">
        <f t="shared" si="18"/>
        <v>4616.5</v>
      </c>
      <c r="Y71" s="2"/>
      <c r="Z71" s="6">
        <f t="shared" si="19"/>
        <v>249.54054054054055</v>
      </c>
    </row>
    <row r="72" spans="1:26" s="69" customFormat="1" ht="15" hidden="1" customHeight="1" outlineLevel="2" x14ac:dyDescent="0.25">
      <c r="A72" s="25"/>
      <c r="B72" s="12" t="str">
        <f>CONCATENATE("          ","6282"," - ","JANITORIAL/EXTERMINATOR EXPENS")</f>
        <v xml:space="preserve">          6282 - JANITORIAL/EXTERMINATOR EXPENS</v>
      </c>
      <c r="C72" s="12"/>
      <c r="D72" s="7">
        <v>69</v>
      </c>
      <c r="E72" s="3"/>
      <c r="F72" s="8">
        <f t="shared" si="12"/>
        <v>4.9440108682256307E-3</v>
      </c>
      <c r="G72" s="3"/>
      <c r="H72" s="7"/>
      <c r="I72" s="3"/>
      <c r="J72" s="8">
        <f t="shared" si="13"/>
        <v>0</v>
      </c>
      <c r="K72" s="3"/>
      <c r="L72" s="7">
        <f t="shared" si="14"/>
        <v>69</v>
      </c>
      <c r="M72" s="3"/>
      <c r="N72" s="8">
        <f t="shared" si="15"/>
        <v>0</v>
      </c>
      <c r="O72" s="12"/>
      <c r="P72" s="7">
        <v>974.6</v>
      </c>
      <c r="Q72" s="3"/>
      <c r="R72" s="8">
        <f t="shared" si="16"/>
        <v>4.0497617908174625E-3</v>
      </c>
      <c r="S72" s="3"/>
      <c r="T72" s="7">
        <v>176</v>
      </c>
      <c r="U72" s="3"/>
      <c r="V72" s="8">
        <f t="shared" si="17"/>
        <v>8.2582892578425601E-3</v>
      </c>
      <c r="W72" s="3"/>
      <c r="X72" s="7">
        <f t="shared" si="18"/>
        <v>798.6</v>
      </c>
      <c r="Y72" s="3"/>
      <c r="Z72" s="8">
        <f t="shared" si="19"/>
        <v>4.5375000000000005</v>
      </c>
    </row>
    <row r="73" spans="1:26" s="69" customFormat="1" ht="15" hidden="1" customHeight="1" outlineLevel="2" x14ac:dyDescent="0.25">
      <c r="A73" s="25"/>
      <c r="B73" s="12" t="str">
        <f>CONCATENATE("          ","6285"," - ","JANITORIAL SERVICES")</f>
        <v xml:space="preserve">          6285 - JANITORIAL SERVICES</v>
      </c>
      <c r="C73" s="12"/>
      <c r="D73" s="7">
        <v>181.08</v>
      </c>
      <c r="E73" s="3"/>
      <c r="F73" s="8">
        <f t="shared" si="12"/>
        <v>1.2974804174178222E-2</v>
      </c>
      <c r="G73" s="3"/>
      <c r="H73" s="7"/>
      <c r="I73" s="3"/>
      <c r="J73" s="8">
        <f t="shared" si="13"/>
        <v>0</v>
      </c>
      <c r="K73" s="3"/>
      <c r="L73" s="7">
        <f t="shared" si="14"/>
        <v>181.08</v>
      </c>
      <c r="M73" s="3"/>
      <c r="N73" s="8">
        <f t="shared" si="15"/>
        <v>0</v>
      </c>
      <c r="O73" s="12"/>
      <c r="P73" s="7">
        <v>3660.4</v>
      </c>
      <c r="Q73" s="3"/>
      <c r="R73" s="8">
        <f t="shared" si="16"/>
        <v>1.5210084197730598E-2</v>
      </c>
      <c r="S73" s="3"/>
      <c r="T73" s="7">
        <v>-157.5</v>
      </c>
      <c r="U73" s="3"/>
      <c r="V73" s="8">
        <f t="shared" si="17"/>
        <v>-7.3902304438079732E-3</v>
      </c>
      <c r="W73" s="3"/>
      <c r="X73" s="7">
        <f t="shared" si="18"/>
        <v>3817.9</v>
      </c>
      <c r="Y73" s="3"/>
      <c r="Z73" s="8">
        <f t="shared" si="19"/>
        <v>-24.240634920634921</v>
      </c>
    </row>
    <row r="74" spans="1:26" s="68" customFormat="1" ht="15" customHeight="1" outlineLevel="1" collapsed="1" x14ac:dyDescent="0.25">
      <c r="A74" s="26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2">
        <f>SUM(OSRRefD22_10x_0)</f>
        <v>0</v>
      </c>
      <c r="E74" s="2"/>
      <c r="F74" s="6">
        <f t="shared" si="12"/>
        <v>0</v>
      </c>
      <c r="G74" s="2"/>
      <c r="H74" s="2">
        <f>SUM(OSRRefH22_10x_0)</f>
        <v>0</v>
      </c>
      <c r="I74" s="2"/>
      <c r="J74" s="6">
        <f t="shared" si="13"/>
        <v>0</v>
      </c>
      <c r="K74" s="2"/>
      <c r="L74" s="2">
        <f t="shared" si="14"/>
        <v>0</v>
      </c>
      <c r="M74" s="2"/>
      <c r="N74" s="6">
        <f t="shared" si="15"/>
        <v>0</v>
      </c>
      <c r="O74" s="14"/>
      <c r="P74" s="2">
        <f>SUM(OSRRefP22_10x_0)</f>
        <v>45.27</v>
      </c>
      <c r="Q74" s="2"/>
      <c r="R74" s="6">
        <f t="shared" si="16"/>
        <v>1.8811072878135291E-4</v>
      </c>
      <c r="S74" s="2"/>
      <c r="T74" s="2">
        <f>SUM(OSRRefT22_10x_0)</f>
        <v>0</v>
      </c>
      <c r="U74" s="2"/>
      <c r="V74" s="6">
        <f t="shared" si="17"/>
        <v>0</v>
      </c>
      <c r="W74" s="2"/>
      <c r="X74" s="2">
        <f t="shared" si="18"/>
        <v>45.27</v>
      </c>
      <c r="Y74" s="2"/>
      <c r="Z74" s="6">
        <f t="shared" si="19"/>
        <v>0</v>
      </c>
    </row>
    <row r="75" spans="1:26" s="69" customFormat="1" ht="15" hidden="1" customHeight="1" outlineLevel="2" x14ac:dyDescent="0.25">
      <c r="A75" s="25"/>
      <c r="B75" s="12" t="str">
        <f>CONCATENATE("          ","6258"," - ","MEMBERSHIP DUES")</f>
        <v xml:space="preserve">          6258 - MEMBERSHIP DUES</v>
      </c>
      <c r="C75" s="12"/>
      <c r="D75" s="7"/>
      <c r="E75" s="3"/>
      <c r="F75" s="8">
        <f t="shared" si="12"/>
        <v>0</v>
      </c>
      <c r="G75" s="3"/>
      <c r="H75" s="7"/>
      <c r="I75" s="3"/>
      <c r="J75" s="8">
        <f t="shared" si="13"/>
        <v>0</v>
      </c>
      <c r="K75" s="3"/>
      <c r="L75" s="7">
        <f t="shared" si="14"/>
        <v>0</v>
      </c>
      <c r="M75" s="3"/>
      <c r="N75" s="8">
        <f t="shared" si="15"/>
        <v>0</v>
      </c>
      <c r="O75" s="12"/>
      <c r="P75" s="7">
        <v>45.27</v>
      </c>
      <c r="Q75" s="3"/>
      <c r="R75" s="8">
        <f t="shared" si="16"/>
        <v>1.8811072878135291E-4</v>
      </c>
      <c r="S75" s="3"/>
      <c r="T75" s="7"/>
      <c r="U75" s="3"/>
      <c r="V75" s="8">
        <f t="shared" si="17"/>
        <v>0</v>
      </c>
      <c r="W75" s="3"/>
      <c r="X75" s="7">
        <f t="shared" si="18"/>
        <v>45.27</v>
      </c>
      <c r="Y75" s="3"/>
      <c r="Z75" s="8">
        <f t="shared" si="19"/>
        <v>0</v>
      </c>
    </row>
    <row r="76" spans="1:26" s="68" customFormat="1" ht="15" customHeight="1" outlineLevel="1" collapsed="1" x14ac:dyDescent="0.25">
      <c r="A76" s="26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SUM(OSRRefD22_11x_0)</f>
        <v>3.87</v>
      </c>
      <c r="E76" s="2"/>
      <c r="F76" s="6">
        <f t="shared" si="12"/>
        <v>2.7729452260917667E-4</v>
      </c>
      <c r="G76" s="2"/>
      <c r="H76" s="2">
        <f>SUM(OSRRefH22_11x_0)</f>
        <v>0</v>
      </c>
      <c r="I76" s="2"/>
      <c r="J76" s="6">
        <f t="shared" si="13"/>
        <v>0</v>
      </c>
      <c r="K76" s="2"/>
      <c r="L76" s="2">
        <f t="shared" si="14"/>
        <v>3.87</v>
      </c>
      <c r="M76" s="2"/>
      <c r="N76" s="6">
        <f t="shared" si="15"/>
        <v>0</v>
      </c>
      <c r="O76" s="14"/>
      <c r="P76" s="2">
        <f>SUM(OSRRefP22_11x_0)</f>
        <v>1922.34</v>
      </c>
      <c r="Q76" s="2"/>
      <c r="R76" s="6">
        <f t="shared" si="16"/>
        <v>7.9879120469526377E-3</v>
      </c>
      <c r="S76" s="2"/>
      <c r="T76" s="2">
        <f>SUM(OSRRefT22_11x_0)</f>
        <v>1892.27</v>
      </c>
      <c r="U76" s="2"/>
      <c r="V76" s="6">
        <f t="shared" si="17"/>
        <v>8.8789278488282622E-2</v>
      </c>
      <c r="W76" s="2"/>
      <c r="X76" s="2">
        <f t="shared" si="18"/>
        <v>30.069999999999936</v>
      </c>
      <c r="Y76" s="2"/>
      <c r="Z76" s="6">
        <f t="shared" si="19"/>
        <v>1.5890966933894177E-2</v>
      </c>
    </row>
    <row r="77" spans="1:26" s="69" customFormat="1" ht="15" hidden="1" customHeight="1" outlineLevel="2" x14ac:dyDescent="0.25">
      <c r="A77" s="25"/>
      <c r="B77" s="12" t="str">
        <f>CONCATENATE("          ","6234"," - ","EXPENDABLE SUPPLIES &amp; EQUIPMEN")</f>
        <v xml:space="preserve">          6234 - EXPENDABLE SUPPLIES &amp; EQUIPMEN</v>
      </c>
      <c r="C77" s="12"/>
      <c r="D77" s="7"/>
      <c r="E77" s="3"/>
      <c r="F77" s="8">
        <f t="shared" si="12"/>
        <v>0</v>
      </c>
      <c r="G77" s="3"/>
      <c r="H77" s="7"/>
      <c r="I77" s="3"/>
      <c r="J77" s="8">
        <f t="shared" si="13"/>
        <v>0</v>
      </c>
      <c r="K77" s="3"/>
      <c r="L77" s="7">
        <f t="shared" si="14"/>
        <v>0</v>
      </c>
      <c r="M77" s="3"/>
      <c r="N77" s="8">
        <f t="shared" si="15"/>
        <v>0</v>
      </c>
      <c r="O77" s="12"/>
      <c r="P77" s="7">
        <v>1393.55</v>
      </c>
      <c r="Q77" s="3"/>
      <c r="R77" s="8">
        <f t="shared" si="16"/>
        <v>5.7906274816270009E-3</v>
      </c>
      <c r="S77" s="3"/>
      <c r="T77" s="7"/>
      <c r="U77" s="3"/>
      <c r="V77" s="8">
        <f t="shared" si="17"/>
        <v>0</v>
      </c>
      <c r="W77" s="3"/>
      <c r="X77" s="7">
        <f t="shared" si="18"/>
        <v>1393.55</v>
      </c>
      <c r="Y77" s="3"/>
      <c r="Z77" s="8">
        <f t="shared" si="19"/>
        <v>0</v>
      </c>
    </row>
    <row r="78" spans="1:26" s="69" customFormat="1" ht="15" hidden="1" customHeight="1" outlineLevel="2" x14ac:dyDescent="0.25">
      <c r="A78" s="25"/>
      <c r="B78" s="12" t="str">
        <f>CONCATENATE("          ","6235"," - ","COVID-19 EXPENSES")</f>
        <v xml:space="preserve">          6235 - COVID-19 EXPENSES</v>
      </c>
      <c r="C78" s="12"/>
      <c r="D78" s="7"/>
      <c r="E78" s="3"/>
      <c r="F78" s="8">
        <f t="shared" si="12"/>
        <v>0</v>
      </c>
      <c r="G78" s="3"/>
      <c r="H78" s="7"/>
      <c r="I78" s="3"/>
      <c r="J78" s="8">
        <f t="shared" si="13"/>
        <v>0</v>
      </c>
      <c r="K78" s="3"/>
      <c r="L78" s="7">
        <f t="shared" si="14"/>
        <v>0</v>
      </c>
      <c r="M78" s="3"/>
      <c r="N78" s="8">
        <f t="shared" si="15"/>
        <v>0</v>
      </c>
      <c r="O78" s="12"/>
      <c r="P78" s="7"/>
      <c r="Q78" s="3"/>
      <c r="R78" s="8">
        <f t="shared" si="16"/>
        <v>0</v>
      </c>
      <c r="S78" s="3"/>
      <c r="T78" s="7">
        <v>444.3</v>
      </c>
      <c r="U78" s="3"/>
      <c r="V78" s="8">
        <f t="shared" si="17"/>
        <v>2.0847488166246871E-2</v>
      </c>
      <c r="W78" s="3"/>
      <c r="X78" s="7">
        <f t="shared" si="18"/>
        <v>-444.3</v>
      </c>
      <c r="Y78" s="3"/>
      <c r="Z78" s="8">
        <f t="shared" si="19"/>
        <v>-1</v>
      </c>
    </row>
    <row r="79" spans="1:26" s="69" customFormat="1" ht="15" hidden="1" customHeight="1" outlineLevel="2" x14ac:dyDescent="0.25">
      <c r="A79" s="25"/>
      <c r="B79" s="12" t="str">
        <f>CONCATENATE("          ","6241"," - ","OFFICE EXPENSE")</f>
        <v xml:space="preserve">          6241 - OFFICE EXPENSE</v>
      </c>
      <c r="C79" s="12"/>
      <c r="D79" s="7">
        <v>3.87</v>
      </c>
      <c r="E79" s="3"/>
      <c r="F79" s="8">
        <f t="shared" si="12"/>
        <v>2.7729452260917667E-4</v>
      </c>
      <c r="G79" s="3"/>
      <c r="H79" s="7"/>
      <c r="I79" s="3"/>
      <c r="J79" s="8">
        <f t="shared" si="13"/>
        <v>0</v>
      </c>
      <c r="K79" s="3"/>
      <c r="L79" s="7">
        <f t="shared" si="14"/>
        <v>3.87</v>
      </c>
      <c r="M79" s="3"/>
      <c r="N79" s="8">
        <f t="shared" si="15"/>
        <v>0</v>
      </c>
      <c r="O79" s="12"/>
      <c r="P79" s="7">
        <v>319.20999999999998</v>
      </c>
      <c r="Q79" s="3"/>
      <c r="R79" s="8">
        <f t="shared" si="16"/>
        <v>1.3264154127301891E-3</v>
      </c>
      <c r="S79" s="3"/>
      <c r="T79" s="7">
        <v>225.24</v>
      </c>
      <c r="U79" s="3"/>
      <c r="V79" s="8">
        <f t="shared" si="17"/>
        <v>1.056873336611624E-2</v>
      </c>
      <c r="W79" s="3"/>
      <c r="X79" s="7">
        <f t="shared" si="18"/>
        <v>93.96999999999997</v>
      </c>
      <c r="Y79" s="3"/>
      <c r="Z79" s="8">
        <f t="shared" si="19"/>
        <v>0.41719943171727919</v>
      </c>
    </row>
    <row r="80" spans="1:26" s="69" customFormat="1" ht="15" hidden="1" customHeight="1" outlineLevel="2" x14ac:dyDescent="0.25">
      <c r="A80" s="25"/>
      <c r="B80" s="12" t="str">
        <f>CONCATENATE("          ","6247"," - ","STORE SUPPLIES")</f>
        <v xml:space="preserve">          6247 - STORE SUPPLIES</v>
      </c>
      <c r="C80" s="12"/>
      <c r="D80" s="7"/>
      <c r="E80" s="3"/>
      <c r="F80" s="8">
        <f t="shared" si="12"/>
        <v>0</v>
      </c>
      <c r="G80" s="3"/>
      <c r="H80" s="7"/>
      <c r="I80" s="3"/>
      <c r="J80" s="8">
        <f t="shared" si="13"/>
        <v>0</v>
      </c>
      <c r="K80" s="3"/>
      <c r="L80" s="7">
        <f t="shared" si="14"/>
        <v>0</v>
      </c>
      <c r="M80" s="3"/>
      <c r="N80" s="8">
        <f t="shared" si="15"/>
        <v>0</v>
      </c>
      <c r="O80" s="12"/>
      <c r="P80" s="7">
        <v>209.58</v>
      </c>
      <c r="Q80" s="3"/>
      <c r="R80" s="8">
        <f t="shared" si="16"/>
        <v>8.7086915259544824E-4</v>
      </c>
      <c r="S80" s="3"/>
      <c r="T80" s="7">
        <v>1222.73</v>
      </c>
      <c r="U80" s="3"/>
      <c r="V80" s="8">
        <f t="shared" si="17"/>
        <v>5.7373056955919509E-2</v>
      </c>
      <c r="W80" s="3"/>
      <c r="X80" s="7">
        <f t="shared" si="18"/>
        <v>-1013.15</v>
      </c>
      <c r="Y80" s="3"/>
      <c r="Z80" s="8">
        <f t="shared" si="19"/>
        <v>-0.82859666484015271</v>
      </c>
    </row>
    <row r="81" spans="1:26" s="68" customFormat="1" ht="15" customHeight="1" outlineLevel="1" collapsed="1" x14ac:dyDescent="0.25">
      <c r="A81" s="26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SUM(OSRRefD22_12x_0)</f>
        <v>37</v>
      </c>
      <c r="E81" s="2"/>
      <c r="F81" s="6">
        <f t="shared" si="12"/>
        <v>2.6511362626717152E-3</v>
      </c>
      <c r="G81" s="2"/>
      <c r="H81" s="2">
        <f>SUM(OSRRefH22_12x_0)</f>
        <v>53</v>
      </c>
      <c r="I81" s="2"/>
      <c r="J81" s="6">
        <f t="shared" si="13"/>
        <v>0</v>
      </c>
      <c r="K81" s="2"/>
      <c r="L81" s="2">
        <f t="shared" si="14"/>
        <v>-16</v>
      </c>
      <c r="M81" s="2"/>
      <c r="N81" s="6">
        <f t="shared" si="15"/>
        <v>-0.30188679245283018</v>
      </c>
      <c r="O81" s="14"/>
      <c r="P81" s="2">
        <f>SUM(OSRRefP22_12x_0)</f>
        <v>466.94</v>
      </c>
      <c r="Q81" s="2"/>
      <c r="R81" s="6">
        <f t="shared" si="16"/>
        <v>1.9402788534827683E-3</v>
      </c>
      <c r="S81" s="2"/>
      <c r="T81" s="2">
        <f>SUM(OSRRefT22_12x_0)</f>
        <v>631.04999999999995</v>
      </c>
      <c r="U81" s="2"/>
      <c r="V81" s="6">
        <f t="shared" si="17"/>
        <v>2.961018997819061E-2</v>
      </c>
      <c r="W81" s="2"/>
      <c r="X81" s="2">
        <f t="shared" si="18"/>
        <v>-164.10999999999996</v>
      </c>
      <c r="Y81" s="2"/>
      <c r="Z81" s="6">
        <f t="shared" si="19"/>
        <v>-0.26005863243800009</v>
      </c>
    </row>
    <row r="82" spans="1:26" s="69" customFormat="1" ht="15" hidden="1" customHeight="1" outlineLevel="2" x14ac:dyDescent="0.25">
      <c r="A82" s="25"/>
      <c r="B82" s="12" t="str">
        <f>CONCATENATE("          ","6309"," - ","TELEPHONE")</f>
        <v xml:space="preserve">          6309 - TELEPHONE</v>
      </c>
      <c r="C82" s="12"/>
      <c r="D82" s="7">
        <v>37</v>
      </c>
      <c r="E82" s="3"/>
      <c r="F82" s="8">
        <f t="shared" si="12"/>
        <v>2.6511362626717152E-3</v>
      </c>
      <c r="G82" s="3"/>
      <c r="H82" s="7">
        <v>53</v>
      </c>
      <c r="I82" s="3"/>
      <c r="J82" s="8">
        <f t="shared" si="13"/>
        <v>0</v>
      </c>
      <c r="K82" s="3"/>
      <c r="L82" s="7">
        <f t="shared" si="14"/>
        <v>-16</v>
      </c>
      <c r="M82" s="3"/>
      <c r="N82" s="8">
        <f t="shared" si="15"/>
        <v>-0.30188679245283018</v>
      </c>
      <c r="O82" s="12"/>
      <c r="P82" s="7">
        <v>466.94</v>
      </c>
      <c r="Q82" s="3"/>
      <c r="R82" s="8">
        <f t="shared" si="16"/>
        <v>1.9402788534827683E-3</v>
      </c>
      <c r="S82" s="3"/>
      <c r="T82" s="7">
        <v>631.04999999999995</v>
      </c>
      <c r="U82" s="3"/>
      <c r="V82" s="8">
        <f t="shared" si="17"/>
        <v>2.961018997819061E-2</v>
      </c>
      <c r="W82" s="3"/>
      <c r="X82" s="7">
        <f t="shared" si="18"/>
        <v>-164.10999999999996</v>
      </c>
      <c r="Y82" s="3"/>
      <c r="Z82" s="8">
        <f t="shared" si="19"/>
        <v>-0.26005863243800009</v>
      </c>
    </row>
    <row r="83" spans="1:26" s="68" customFormat="1" ht="15" customHeight="1" outlineLevel="1" collapsed="1" x14ac:dyDescent="0.25">
      <c r="A83" s="26"/>
      <c r="B83" s="14" t="str">
        <f>CONCATENATE("     ","Training                                          ")</f>
        <v xml:space="preserve">     Training                                          </v>
      </c>
      <c r="C83" s="14"/>
      <c r="D83" s="2">
        <f>SUM(OSRRefD22_13x_0)</f>
        <v>0</v>
      </c>
      <c r="E83" s="2"/>
      <c r="F83" s="6">
        <f t="shared" si="12"/>
        <v>0</v>
      </c>
      <c r="G83" s="2"/>
      <c r="H83" s="2">
        <f>SUM(OSRRefH22_13x_0)</f>
        <v>0</v>
      </c>
      <c r="I83" s="2"/>
      <c r="J83" s="6">
        <f t="shared" si="13"/>
        <v>0</v>
      </c>
      <c r="K83" s="2"/>
      <c r="L83" s="2">
        <f t="shared" si="14"/>
        <v>0</v>
      </c>
      <c r="M83" s="2"/>
      <c r="N83" s="6">
        <f t="shared" si="15"/>
        <v>0</v>
      </c>
      <c r="O83" s="14"/>
      <c r="P83" s="2">
        <f>SUM(OSRRefP22_13x_0)</f>
        <v>0</v>
      </c>
      <c r="Q83" s="2"/>
      <c r="R83" s="6">
        <f t="shared" si="16"/>
        <v>0</v>
      </c>
      <c r="S83" s="2"/>
      <c r="T83" s="2">
        <f>SUM(OSRRefT22_13x_0)</f>
        <v>14</v>
      </c>
      <c r="U83" s="2"/>
      <c r="V83" s="6">
        <f t="shared" si="17"/>
        <v>6.5690937278293094E-4</v>
      </c>
      <c r="W83" s="2"/>
      <c r="X83" s="2">
        <f t="shared" si="18"/>
        <v>-14</v>
      </c>
      <c r="Y83" s="2"/>
      <c r="Z83" s="6">
        <f t="shared" si="19"/>
        <v>-1</v>
      </c>
    </row>
    <row r="84" spans="1:26" s="69" customFormat="1" ht="15" hidden="1" customHeight="1" outlineLevel="2" x14ac:dyDescent="0.25">
      <c r="A84" s="25"/>
      <c r="B84" s="12" t="str">
        <f>CONCATENATE("          ","6376"," - ","TRAINING")</f>
        <v xml:space="preserve">          6376 - TRAINING</v>
      </c>
      <c r="C84" s="12"/>
      <c r="D84" s="7"/>
      <c r="E84" s="3"/>
      <c r="F84" s="8">
        <f t="shared" si="12"/>
        <v>0</v>
      </c>
      <c r="G84" s="3"/>
      <c r="H84" s="7"/>
      <c r="I84" s="3"/>
      <c r="J84" s="8">
        <f t="shared" si="13"/>
        <v>0</v>
      </c>
      <c r="K84" s="3"/>
      <c r="L84" s="7">
        <f t="shared" si="14"/>
        <v>0</v>
      </c>
      <c r="M84" s="3"/>
      <c r="N84" s="8">
        <f t="shared" si="15"/>
        <v>0</v>
      </c>
      <c r="O84" s="12"/>
      <c r="P84" s="7"/>
      <c r="Q84" s="3"/>
      <c r="R84" s="8">
        <f t="shared" si="16"/>
        <v>0</v>
      </c>
      <c r="S84" s="3"/>
      <c r="T84" s="7">
        <v>14</v>
      </c>
      <c r="U84" s="3"/>
      <c r="V84" s="8">
        <f t="shared" si="17"/>
        <v>6.5690937278293094E-4</v>
      </c>
      <c r="W84" s="3"/>
      <c r="X84" s="7">
        <f t="shared" si="18"/>
        <v>-14</v>
      </c>
      <c r="Y84" s="3"/>
      <c r="Z84" s="8">
        <f t="shared" si="19"/>
        <v>-1</v>
      </c>
    </row>
    <row r="85" spans="1:26" s="64" customFormat="1" ht="15" customHeight="1" x14ac:dyDescent="0.25">
      <c r="A85" s="36"/>
      <c r="B85" s="36"/>
      <c r="C85" s="36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3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62" customFormat="1" ht="15" customHeight="1" x14ac:dyDescent="0.25">
      <c r="A86" s="11"/>
      <c r="B86" s="28" t="s">
        <v>290</v>
      </c>
      <c r="C86" s="11"/>
      <c r="D86" s="5">
        <f>SUM(0)</f>
        <v>0</v>
      </c>
      <c r="E86" s="5"/>
      <c r="F86" s="13">
        <f>IF(D$12=0,0,D86/D$12)</f>
        <v>0</v>
      </c>
      <c r="G86" s="5"/>
      <c r="H86" s="5">
        <f>SUM(0)</f>
        <v>0</v>
      </c>
      <c r="I86" s="5"/>
      <c r="J86" s="13">
        <f>IF(H$12=0,0,H86/H$12)</f>
        <v>0</v>
      </c>
      <c r="K86" s="5"/>
      <c r="L86" s="5">
        <f>+D86-H86</f>
        <v>0</v>
      </c>
      <c r="M86" s="5"/>
      <c r="N86" s="13">
        <f>IF(H86=0,0,L86/H86)</f>
        <v>0</v>
      </c>
      <c r="O86" s="11"/>
      <c r="P86" s="5">
        <f>SUM(0)</f>
        <v>0</v>
      </c>
      <c r="Q86" s="5"/>
      <c r="R86" s="13">
        <f>IF(P$12=0,0,P86/P$12)</f>
        <v>0</v>
      </c>
      <c r="S86" s="5"/>
      <c r="T86" s="5">
        <f>SUM(0)</f>
        <v>0</v>
      </c>
      <c r="U86" s="5"/>
      <c r="V86" s="13">
        <f>IF(T$12=0,0,T86/T$12)</f>
        <v>0</v>
      </c>
      <c r="W86" s="5"/>
      <c r="X86" s="5">
        <f>+P86-T86</f>
        <v>0</v>
      </c>
      <c r="Y86" s="5"/>
      <c r="Z86" s="13">
        <f>IF(T86=0,0,X86/T86)</f>
        <v>0</v>
      </c>
    </row>
    <row r="87" spans="1:26" ht="15" customHeight="1" x14ac:dyDescent="0.25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25">
      <c r="A88" s="11"/>
      <c r="B88" s="27" t="s">
        <v>291</v>
      </c>
      <c r="C88" s="27"/>
      <c r="D88" s="22">
        <f>+D39-D41+D86</f>
        <v>-1554.0500000000011</v>
      </c>
      <c r="E88" s="15"/>
      <c r="F88" s="23">
        <f>IF(D$12=0,0,D88/D$12)</f>
        <v>-0.11135130564878329</v>
      </c>
      <c r="G88" s="15"/>
      <c r="H88" s="22">
        <f>+H39-H41+H86</f>
        <v>-81.53</v>
      </c>
      <c r="I88" s="15"/>
      <c r="J88" s="23">
        <f>IF(H$12=0,0,H88/H$12)</f>
        <v>0</v>
      </c>
      <c r="K88" s="16"/>
      <c r="L88" s="22">
        <f>+D88-H88</f>
        <v>-1472.5200000000011</v>
      </c>
      <c r="M88" s="16"/>
      <c r="N88" s="23">
        <f>IF(H88=0,0,L88/H88)</f>
        <v>18.06108181037656</v>
      </c>
      <c r="O88" s="28"/>
      <c r="P88" s="22">
        <f>+P39-P41+P86</f>
        <v>39024.219999999972</v>
      </c>
      <c r="Q88" s="15"/>
      <c r="R88" s="23">
        <f>IF(P$12=0,0,P88/P$12)</f>
        <v>0.16215759806326135</v>
      </c>
      <c r="S88" s="15"/>
      <c r="T88" s="22">
        <f>+T39-T41+T86</f>
        <v>-5263.4599999999919</v>
      </c>
      <c r="U88" s="15"/>
      <c r="V88" s="23">
        <f>IF(T$12=0,0,T88/T$12)</f>
        <v>-0.24697258623343143</v>
      </c>
      <c r="W88" s="16"/>
      <c r="X88" s="22">
        <f>+P88-T88</f>
        <v>44287.679999999964</v>
      </c>
      <c r="Y88" s="16"/>
      <c r="Z88" s="23">
        <f>IF(T88=0,0,X88/T88)</f>
        <v>-8.4141762262846171</v>
      </c>
    </row>
    <row r="89" spans="1:26" ht="15" customHeight="1" x14ac:dyDescent="0.25">
      <c r="A89" s="10"/>
      <c r="B89" s="11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25">
      <c r="A90" s="48"/>
      <c r="B90" s="11" t="s">
        <v>292</v>
      </c>
      <c r="C90" s="11"/>
      <c r="D90" s="5">
        <v>1374.41</v>
      </c>
      <c r="E90" s="5"/>
      <c r="F90" s="13">
        <f>IF(D$12=0,0,D90/D$12)</f>
        <v>9.8479680831854918E-2</v>
      </c>
      <c r="G90" s="5"/>
      <c r="H90" s="5">
        <v>95.62</v>
      </c>
      <c r="I90" s="5"/>
      <c r="J90" s="13">
        <f>IF(H$12=0,0,H90/H$12)</f>
        <v>0</v>
      </c>
      <c r="K90" s="5"/>
      <c r="L90" s="5">
        <f>+D90-H90</f>
        <v>1278.79</v>
      </c>
      <c r="M90" s="5"/>
      <c r="N90" s="13">
        <f>IF(H90=0,0,L90/H90)</f>
        <v>13.373666596946245</v>
      </c>
      <c r="O90" s="11"/>
      <c r="P90" s="5">
        <v>27055.85</v>
      </c>
      <c r="Q90" s="5"/>
      <c r="R90" s="13">
        <f>IF(P$12=0,0,P90/P$12)</f>
        <v>0.11242535147556806</v>
      </c>
      <c r="S90" s="5"/>
      <c r="T90" s="5">
        <v>4554.16</v>
      </c>
      <c r="U90" s="5"/>
      <c r="V90" s="13">
        <f>IF(T$12=0,0,T90/T$12)</f>
        <v>0.21369074208236519</v>
      </c>
      <c r="W90" s="5"/>
      <c r="X90" s="5">
        <f>+P90-T90</f>
        <v>22501.69</v>
      </c>
      <c r="Y90" s="5"/>
      <c r="Z90" s="13">
        <f>IF(T90=0,0,X90/T90)</f>
        <v>4.9409089711384757</v>
      </c>
    </row>
    <row r="91" spans="1:26" ht="15" customHeight="1" x14ac:dyDescent="0.25">
      <c r="A91" s="10"/>
      <c r="B91" s="11"/>
      <c r="C91" s="11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O91" s="11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25">
      <c r="A92" s="11"/>
      <c r="B92" s="27" t="s">
        <v>293</v>
      </c>
      <c r="C92" s="27"/>
      <c r="D92" s="35">
        <f>+D88-D90</f>
        <v>-2928.4600000000009</v>
      </c>
      <c r="E92" s="15"/>
      <c r="F92" s="30">
        <f>IF(D$12=0,0,D92/D$12)</f>
        <v>-0.20983098648063819</v>
      </c>
      <c r="G92" s="15"/>
      <c r="H92" s="35">
        <f>+H88-H90</f>
        <v>-177.15</v>
      </c>
      <c r="I92" s="15"/>
      <c r="J92" s="30">
        <f>IF(H$12=0,0,H92/H$12)</f>
        <v>0</v>
      </c>
      <c r="K92" s="16"/>
      <c r="L92" s="35">
        <f>D92-H92</f>
        <v>-2751.3100000000009</v>
      </c>
      <c r="M92" s="16"/>
      <c r="N92" s="30">
        <f>IF(H92=0,0,L92/H92)</f>
        <v>15.530962461191086</v>
      </c>
      <c r="O92" s="28"/>
      <c r="P92" s="35">
        <f>+P88-P90</f>
        <v>11968.369999999974</v>
      </c>
      <c r="Q92" s="15"/>
      <c r="R92" s="30">
        <f>IF(P$12=0,0,P92/P$12)</f>
        <v>4.9732246587693298E-2</v>
      </c>
      <c r="S92" s="15"/>
      <c r="T92" s="35">
        <f>+T88-T90</f>
        <v>-9817.6199999999917</v>
      </c>
      <c r="U92" s="15"/>
      <c r="V92" s="30">
        <f>IF(T$12=0,0,T92/T$12)</f>
        <v>-0.46066332831579665</v>
      </c>
      <c r="W92" s="16"/>
      <c r="X92" s="35">
        <f>P92-T92</f>
        <v>21785.989999999965</v>
      </c>
      <c r="Y92" s="16"/>
      <c r="Z92" s="30">
        <f>IF(T92=0,0,X92/T92)</f>
        <v>-2.2190704060658271</v>
      </c>
    </row>
    <row r="93" spans="1:26" ht="15" customHeight="1" x14ac:dyDescent="0.25">
      <c r="A93" s="10"/>
      <c r="B93" s="10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ht="15" customHeight="1" x14ac:dyDescent="0.25">
      <c r="A94" s="10"/>
      <c r="B94" s="10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2" customFormat="1" ht="15" customHeight="1" x14ac:dyDescent="0.25">
      <c r="A95" s="11"/>
      <c r="B95" s="27" t="s">
        <v>296</v>
      </c>
      <c r="C95" s="27"/>
      <c r="D95" s="32">
        <f>SUM(D92:D94)</f>
        <v>-2928.4600000000009</v>
      </c>
      <c r="E95" s="15"/>
      <c r="F95" s="34">
        <f>IF(D$12=0,0,D95/D$12)</f>
        <v>-0.20983098648063819</v>
      </c>
      <c r="G95" s="15"/>
      <c r="H95" s="32">
        <f>SUM(H92:H94)</f>
        <v>-177.15</v>
      </c>
      <c r="I95" s="15"/>
      <c r="J95" s="34">
        <f>IF(H$12=0,0,H95/H$12)</f>
        <v>0</v>
      </c>
      <c r="K95" s="16"/>
      <c r="L95" s="32">
        <f>+D95-H95</f>
        <v>-2751.3100000000009</v>
      </c>
      <c r="M95" s="16"/>
      <c r="N95" s="34">
        <f>IF(H95=0,0,L95/H95)</f>
        <v>15.530962461191086</v>
      </c>
      <c r="O95" s="28"/>
      <c r="P95" s="32">
        <f>SUM(P92:P94)</f>
        <v>11968.369999999974</v>
      </c>
      <c r="Q95" s="15"/>
      <c r="R95" s="34">
        <f>IF(P$12=0,0,P95/P$12)</f>
        <v>4.9732246587693298E-2</v>
      </c>
      <c r="S95" s="15"/>
      <c r="T95" s="32">
        <f>SUM(T92:T94)</f>
        <v>-9817.6199999999917</v>
      </c>
      <c r="U95" s="15"/>
      <c r="V95" s="34">
        <f>IF(T$12=0,0,T95/T$12)</f>
        <v>-0.46066332831579665</v>
      </c>
      <c r="W95" s="16"/>
      <c r="X95" s="32">
        <f>+P95-T95</f>
        <v>21785.989999999965</v>
      </c>
      <c r="Y95" s="16"/>
      <c r="Z95" s="34">
        <f>IF(T95=0,0,X95/T95)</f>
        <v>-2.2190704060658271</v>
      </c>
    </row>
    <row r="96" spans="1:26" ht="15" customHeight="1" x14ac:dyDescent="0.25">
      <c r="A96" s="10"/>
      <c r="C96" s="10"/>
      <c r="D96" s="18"/>
      <c r="E96" s="18"/>
      <c r="G96" s="18"/>
      <c r="H96" s="18"/>
      <c r="I96" s="18"/>
      <c r="J96" s="41"/>
      <c r="K96" s="18"/>
      <c r="L96" s="18"/>
      <c r="M96" s="18"/>
      <c r="P96" s="18"/>
      <c r="Q96" s="18"/>
      <c r="R96" s="41"/>
      <c r="S96" s="18"/>
      <c r="T96" s="18"/>
      <c r="U96" s="18"/>
      <c r="V96" s="41"/>
      <c r="W96" s="18"/>
      <c r="X96" s="18"/>
    </row>
    <row r="97" spans="1:24" ht="15" customHeight="1" x14ac:dyDescent="0.25">
      <c r="A97" s="10"/>
      <c r="B97" s="50">
        <v>44727.879654085649</v>
      </c>
      <c r="D97" s="18"/>
      <c r="E97" s="18"/>
      <c r="G97" s="18"/>
      <c r="H97" s="18"/>
      <c r="I97" s="18"/>
      <c r="J97" s="41"/>
      <c r="K97" s="18"/>
      <c r="L97" s="18"/>
      <c r="M97" s="18"/>
      <c r="P97" s="18"/>
      <c r="Q97" s="18"/>
      <c r="R97" s="41"/>
      <c r="S97" s="18"/>
      <c r="T97" s="18"/>
      <c r="U97" s="18"/>
      <c r="V97" s="41"/>
      <c r="W97" s="18"/>
      <c r="X97" s="18"/>
    </row>
    <row r="98" spans="1:24" ht="15" customHeight="1" x14ac:dyDescent="0.25">
      <c r="A98" s="10"/>
      <c r="B98" s="53" t="s">
        <v>297</v>
      </c>
      <c r="D98" s="18"/>
      <c r="E98" s="18"/>
      <c r="G98" s="18"/>
      <c r="H98" s="18"/>
      <c r="I98" s="18"/>
      <c r="J98" s="41"/>
      <c r="K98" s="18"/>
      <c r="L98" s="18"/>
      <c r="M98" s="18"/>
      <c r="P98" s="18"/>
      <c r="Q98" s="18"/>
      <c r="R98" s="41"/>
      <c r="S98" s="18"/>
      <c r="T98" s="18"/>
      <c r="U98" s="18"/>
      <c r="V98" s="41"/>
      <c r="W98" s="18"/>
      <c r="X98" s="18"/>
    </row>
    <row r="99" spans="1:24" ht="15" customHeight="1" x14ac:dyDescent="0.25">
      <c r="A99" s="10"/>
      <c r="B99" s="55"/>
      <c r="D99" s="18"/>
      <c r="E99" s="18"/>
      <c r="G99" s="18"/>
      <c r="H99" s="18"/>
      <c r="I99" s="18"/>
      <c r="J99" s="41"/>
      <c r="K99" s="18"/>
      <c r="L99" s="18"/>
      <c r="M99" s="18"/>
      <c r="P99" s="18"/>
      <c r="Q99" s="18"/>
      <c r="R99" s="41"/>
      <c r="S99" s="18"/>
      <c r="T99" s="18"/>
      <c r="U99" s="18"/>
      <c r="V99" s="41"/>
      <c r="W99" s="18"/>
      <c r="X99" s="18"/>
    </row>
    <row r="100" spans="1:24" ht="15" customHeight="1" x14ac:dyDescent="0.25">
      <c r="D100" s="18"/>
      <c r="E100" s="18"/>
      <c r="G100" s="18"/>
      <c r="H100" s="18"/>
      <c r="I100" s="18"/>
      <c r="J100" s="41"/>
      <c r="K100" s="18"/>
      <c r="L100" s="18"/>
      <c r="M100" s="18"/>
      <c r="P100" s="18"/>
      <c r="Q100" s="18"/>
      <c r="R100" s="41"/>
      <c r="S100" s="18"/>
      <c r="T100" s="18"/>
      <c r="U100" s="18"/>
      <c r="V100" s="41"/>
      <c r="W100" s="18"/>
      <c r="X10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CA50D-07F2-2D59-6D7E-C0633432B217}">
  <sheetPr>
    <tabColor rgb="FFFFFF00"/>
    <outlinePr summaryBelow="0" summaryRight="0"/>
  </sheetPr>
  <dimension ref="A2:Z17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306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782084.00999999989</v>
      </c>
      <c r="E12" s="5"/>
      <c r="F12" s="13"/>
      <c r="G12" s="5"/>
      <c r="H12" s="5">
        <f>SUM(OSRRefH13x_0)</f>
        <v>430122.32000000012</v>
      </c>
      <c r="I12" s="5"/>
      <c r="J12" s="13"/>
      <c r="K12" s="5"/>
      <c r="L12" s="5">
        <f t="shared" ref="L12:L55" si="0">+D12-H12</f>
        <v>351961.68999999977</v>
      </c>
      <c r="M12" s="5"/>
      <c r="N12" s="13">
        <f t="shared" ref="N12:N55" si="1">IF(H12=0,0,L12/H12)</f>
        <v>0.81828278523188391</v>
      </c>
      <c r="O12" s="11"/>
      <c r="P12" s="5">
        <f>SUM(OSRRefP13x_0)</f>
        <v>4819825.0799999991</v>
      </c>
      <c r="Q12" s="5"/>
      <c r="R12" s="13"/>
      <c r="S12" s="5"/>
      <c r="T12" s="5">
        <f>SUM(OSRRefT13x_0)</f>
        <v>2317115.8200000008</v>
      </c>
      <c r="U12" s="5"/>
      <c r="V12" s="13"/>
      <c r="W12" s="5"/>
      <c r="X12" s="5">
        <f t="shared" ref="X12:X55" si="2">+P12-T12</f>
        <v>2502709.2599999984</v>
      </c>
      <c r="Y12" s="5"/>
      <c r="Z12" s="13">
        <f t="shared" ref="Z12:Z55" si="3">IF(T12=0,0,X12/T12)</f>
        <v>1.0800967471707985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--788379.4</f>
        <v>788379.4</v>
      </c>
      <c r="E13" s="3"/>
      <c r="F13" s="20"/>
      <c r="G13" s="3"/>
      <c r="H13" s="3">
        <f>-10651.2</f>
        <v>-10651.2</v>
      </c>
      <c r="I13" s="3"/>
      <c r="J13" s="20"/>
      <c r="K13" s="3"/>
      <c r="L13" s="3">
        <f t="shared" si="0"/>
        <v>799030.6</v>
      </c>
      <c r="M13" s="3"/>
      <c r="N13" s="20">
        <f t="shared" si="1"/>
        <v>-75.017894697311093</v>
      </c>
      <c r="O13" s="12"/>
      <c r="P13" s="3">
        <f>--4542953.27</f>
        <v>4542953.2699999996</v>
      </c>
      <c r="Q13" s="3"/>
      <c r="R13" s="20"/>
      <c r="S13" s="3"/>
      <c r="T13" s="3">
        <f>-134061.95</f>
        <v>-134061.95000000001</v>
      </c>
      <c r="U13" s="3"/>
      <c r="V13" s="20"/>
      <c r="W13" s="3"/>
      <c r="X13" s="3">
        <f t="shared" si="2"/>
        <v>4677015.22</v>
      </c>
      <c r="Y13" s="3"/>
      <c r="Z13" s="20">
        <f t="shared" si="3"/>
        <v>-34.88696994188134</v>
      </c>
    </row>
    <row r="14" spans="1:26" s="69" customFormat="1" ht="15" hidden="1" customHeight="1" outlineLevel="1" x14ac:dyDescent="0.25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--36.37</f>
        <v>36.369999999999997</v>
      </c>
      <c r="I14" s="3"/>
      <c r="J14" s="20"/>
      <c r="K14" s="3"/>
      <c r="L14" s="3">
        <f t="shared" si="0"/>
        <v>-36.369999999999997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--505.03</f>
        <v>505.03</v>
      </c>
      <c r="U14" s="3"/>
      <c r="V14" s="20"/>
      <c r="W14" s="3"/>
      <c r="X14" s="3">
        <f t="shared" si="2"/>
        <v>-505.03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--6033.32</f>
        <v>6033.32</v>
      </c>
      <c r="I15" s="3"/>
      <c r="J15" s="20"/>
      <c r="K15" s="3"/>
      <c r="L15" s="3">
        <f t="shared" si="0"/>
        <v>-6033.32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--62113.97</f>
        <v>62113.97</v>
      </c>
      <c r="U15" s="3"/>
      <c r="V15" s="20"/>
      <c r="W15" s="3"/>
      <c r="X15" s="3">
        <f t="shared" si="2"/>
        <v>-62113.97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--1495.15</f>
        <v>1495.15</v>
      </c>
      <c r="I16" s="3"/>
      <c r="J16" s="20"/>
      <c r="K16" s="3"/>
      <c r="L16" s="3">
        <f t="shared" si="0"/>
        <v>-1495.15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--35916.27</f>
        <v>35916.269999999997</v>
      </c>
      <c r="U16" s="3"/>
      <c r="V16" s="20"/>
      <c r="W16" s="3"/>
      <c r="X16" s="3">
        <f t="shared" si="2"/>
        <v>-35916.269999999997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--490.12</f>
        <v>490.12</v>
      </c>
      <c r="I17" s="3"/>
      <c r="J17" s="20"/>
      <c r="K17" s="3"/>
      <c r="L17" s="3">
        <f t="shared" si="0"/>
        <v>-490.12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--4326.16</f>
        <v>4326.16</v>
      </c>
      <c r="U17" s="3"/>
      <c r="V17" s="20"/>
      <c r="W17" s="3"/>
      <c r="X17" s="3">
        <f t="shared" si="2"/>
        <v>-4326.16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--187399.42</f>
        <v>187399.42</v>
      </c>
      <c r="I19" s="3"/>
      <c r="J19" s="20"/>
      <c r="K19" s="3"/>
      <c r="L19" s="3">
        <f t="shared" si="0"/>
        <v>-187399.42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--1100580.15</f>
        <v>1100580.1499999999</v>
      </c>
      <c r="U19" s="3"/>
      <c r="V19" s="20"/>
      <c r="W19" s="3"/>
      <c r="X19" s="3">
        <f t="shared" si="2"/>
        <v>-1100580.1499999999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--190934.06</f>
        <v>190934.06</v>
      </c>
      <c r="I20" s="3"/>
      <c r="J20" s="20"/>
      <c r="K20" s="3"/>
      <c r="L20" s="3">
        <f t="shared" si="0"/>
        <v>-190934.06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--538470.87</f>
        <v>538470.87</v>
      </c>
      <c r="U20" s="3"/>
      <c r="V20" s="20"/>
      <c r="W20" s="3"/>
      <c r="X20" s="3">
        <f t="shared" si="2"/>
        <v>-538470.87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--7002.2</f>
        <v>7002.2</v>
      </c>
      <c r="I21" s="3"/>
      <c r="J21" s="20"/>
      <c r="K21" s="3"/>
      <c r="L21" s="3">
        <f t="shared" si="0"/>
        <v>-7002.2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--90580.88</f>
        <v>90580.88</v>
      </c>
      <c r="U21" s="3"/>
      <c r="V21" s="20"/>
      <c r="W21" s="3"/>
      <c r="X21" s="3">
        <f t="shared" si="2"/>
        <v>-90580.88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--7208.82</f>
        <v>7208.82</v>
      </c>
      <c r="I22" s="3"/>
      <c r="J22" s="20"/>
      <c r="K22" s="3"/>
      <c r="L22" s="3">
        <f t="shared" si="0"/>
        <v>-7208.82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--144015.52</f>
        <v>144015.51999999999</v>
      </c>
      <c r="U22" s="3"/>
      <c r="V22" s="20"/>
      <c r="W22" s="3"/>
      <c r="X22" s="3">
        <f t="shared" si="2"/>
        <v>-144015.51999999999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--5024.1</f>
        <v>5024.1000000000004</v>
      </c>
      <c r="I23" s="3"/>
      <c r="J23" s="20"/>
      <c r="K23" s="3"/>
      <c r="L23" s="3">
        <f t="shared" si="0"/>
        <v>-5024.1000000000004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--41116.33</f>
        <v>41116.33</v>
      </c>
      <c r="U23" s="3"/>
      <c r="V23" s="20"/>
      <c r="W23" s="3"/>
      <c r="X23" s="3">
        <f t="shared" si="2"/>
        <v>-41116.33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--26335.59</f>
        <v>26335.59</v>
      </c>
      <c r="I24" s="3"/>
      <c r="J24" s="20"/>
      <c r="K24" s="3"/>
      <c r="L24" s="3">
        <f t="shared" si="0"/>
        <v>-26335.59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--233577.93</f>
        <v>233577.93</v>
      </c>
      <c r="U24" s="3"/>
      <c r="V24" s="20"/>
      <c r="W24" s="3"/>
      <c r="X24" s="3">
        <f t="shared" si="2"/>
        <v>-233577.93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","4100"," - ","NON-TAXABLE SALES")</f>
        <v xml:space="preserve">          4100 - NON-TAXABLE SALES</v>
      </c>
      <c r="C25" s="12"/>
      <c r="D25" s="3">
        <f>--53283.85</f>
        <v>53283.85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53283.85</v>
      </c>
      <c r="M25" s="3"/>
      <c r="N25" s="20">
        <f t="shared" si="1"/>
        <v>0</v>
      </c>
      <c r="O25" s="12"/>
      <c r="P25" s="3">
        <f>--552088</f>
        <v>552088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552088</v>
      </c>
      <c r="Y25" s="3"/>
      <c r="Z25" s="20">
        <f t="shared" si="3"/>
        <v>0</v>
      </c>
    </row>
    <row r="26" spans="1:26" s="69" customFormat="1" ht="15" hidden="1" customHeight="1" outlineLevel="1" x14ac:dyDescent="0.25">
      <c r="A26" s="42"/>
      <c r="B26" s="12" t="str">
        <f>CONCATENATE("          ","4126"," - ","NON-TAXABLE SALES-WRITING INST")</f>
        <v xml:space="preserve">          4126 - NON-TAXABLE SALES-WRITING INST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--52.68</f>
        <v>52.68</v>
      </c>
      <c r="U26" s="3"/>
      <c r="V26" s="20"/>
      <c r="W26" s="3"/>
      <c r="X26" s="3">
        <f t="shared" si="2"/>
        <v>-52.68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","4127"," - ","NON-TAXABLE SALES-SCHOOL SUPPL")</f>
        <v xml:space="preserve">          4127 - NON-TAXABLE SALES-SCHOOL SUPPL</v>
      </c>
      <c r="C27" s="12"/>
      <c r="D27" s="3">
        <f>0</f>
        <v>0</v>
      </c>
      <c r="E27" s="3"/>
      <c r="F27" s="20"/>
      <c r="G27" s="3"/>
      <c r="H27" s="3">
        <f>--548.05</f>
        <v>548.04999999999995</v>
      </c>
      <c r="I27" s="3"/>
      <c r="J27" s="20"/>
      <c r="K27" s="3"/>
      <c r="L27" s="3">
        <f t="shared" si="0"/>
        <v>-548.04999999999995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--7648.73</f>
        <v>7648.73</v>
      </c>
      <c r="U27" s="3"/>
      <c r="V27" s="20"/>
      <c r="W27" s="3"/>
      <c r="X27" s="3">
        <f t="shared" si="2"/>
        <v>-7648.73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","4128"," - ","NON-TAXABLE SALES-ART/TECH")</f>
        <v xml:space="preserve">          4128 - NON-TAXABLE SALES-ART/TECH</v>
      </c>
      <c r="C28" s="12"/>
      <c r="D28" s="3">
        <f>0</f>
        <v>0</v>
      </c>
      <c r="E28" s="3"/>
      <c r="F28" s="20"/>
      <c r="G28" s="3"/>
      <c r="H28" s="3">
        <f>--45.96</f>
        <v>45.96</v>
      </c>
      <c r="I28" s="3"/>
      <c r="J28" s="20"/>
      <c r="K28" s="3"/>
      <c r="L28" s="3">
        <f t="shared" si="0"/>
        <v>-45.96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--115.91</f>
        <v>115.91</v>
      </c>
      <c r="U28" s="3"/>
      <c r="V28" s="20"/>
      <c r="W28" s="3"/>
      <c r="X28" s="3">
        <f t="shared" si="2"/>
        <v>-115.91</v>
      </c>
      <c r="Y28" s="3"/>
      <c r="Z28" s="20">
        <f t="shared" si="3"/>
        <v>-1</v>
      </c>
    </row>
    <row r="29" spans="1:26" s="69" customFormat="1" ht="15" hidden="1" customHeight="1" outlineLevel="1" x14ac:dyDescent="0.25">
      <c r="A29" s="42"/>
      <c r="B29" s="12" t="str">
        <f>CONCATENATE("          ","4131"," - ","NON-TAXABLE SALES-FOOD")</f>
        <v xml:space="preserve">          4131 - NON-TAXABLE SALES-FOOD</v>
      </c>
      <c r="C29" s="12"/>
      <c r="D29" s="3">
        <f>0</f>
        <v>0</v>
      </c>
      <c r="E29" s="3"/>
      <c r="F29" s="20"/>
      <c r="G29" s="3"/>
      <c r="H29" s="3">
        <f>--775.78</f>
        <v>775.78</v>
      </c>
      <c r="I29" s="3"/>
      <c r="J29" s="20"/>
      <c r="K29" s="3"/>
      <c r="L29" s="3">
        <f t="shared" si="0"/>
        <v>-775.78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--10308.98</f>
        <v>10308.98</v>
      </c>
      <c r="U29" s="3"/>
      <c r="V29" s="20"/>
      <c r="W29" s="3"/>
      <c r="X29" s="3">
        <f t="shared" si="2"/>
        <v>-10308.98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","4132"," - ","NON-TAXABLE SALES-JUICE")</f>
        <v xml:space="preserve">          4132 - NON-TAXABLE SALES-JUICE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--22.49</f>
        <v>22.49</v>
      </c>
      <c r="U30" s="3"/>
      <c r="V30" s="20"/>
      <c r="W30" s="3"/>
      <c r="X30" s="3">
        <f t="shared" si="2"/>
        <v>-22.49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","4133"," - ","NON-TAXABLE SALES-CANDY")</f>
        <v xml:space="preserve">          4133 - NON-TAXABLE SALES-CANDY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--80.71</f>
        <v>80.709999999999994</v>
      </c>
      <c r="U31" s="3"/>
      <c r="V31" s="20"/>
      <c r="W31" s="3"/>
      <c r="X31" s="3">
        <f t="shared" si="2"/>
        <v>-80.709999999999994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","4134"," - ","NON-TAXABLE SALES-SODA")</f>
        <v xml:space="preserve">          4134 - NON-TAXABLE SALES-SODA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--45.53</f>
        <v>45.53</v>
      </c>
      <c r="U32" s="3"/>
      <c r="V32" s="20"/>
      <c r="W32" s="3"/>
      <c r="X32" s="3">
        <f t="shared" si="2"/>
        <v>-45.53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","4137"," - ","NON-TAXABLE SALES-WATER")</f>
        <v xml:space="preserve">          4137 - NON-TAXABLE SALES-WATER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--68.25</f>
        <v>68.25</v>
      </c>
      <c r="U33" s="3"/>
      <c r="V33" s="20"/>
      <c r="W33" s="3"/>
      <c r="X33" s="3">
        <f t="shared" si="2"/>
        <v>-68.25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","4140"," - ","NON-TAXABLE SALES-LOGO CLOTHIN")</f>
        <v xml:space="preserve">          4140 - NON-TAXABLE SALES-LOGO CLOTHIN</v>
      </c>
      <c r="C34" s="12"/>
      <c r="D34" s="3">
        <f>0</f>
        <v>0</v>
      </c>
      <c r="E34" s="3"/>
      <c r="F34" s="20"/>
      <c r="G34" s="3"/>
      <c r="H34" s="3">
        <f>--16733.37</f>
        <v>16733.37</v>
      </c>
      <c r="I34" s="3"/>
      <c r="J34" s="20"/>
      <c r="K34" s="3"/>
      <c r="L34" s="3">
        <f t="shared" si="0"/>
        <v>-16733.37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--171525.76</f>
        <v>171525.76000000001</v>
      </c>
      <c r="U34" s="3"/>
      <c r="V34" s="20"/>
      <c r="W34" s="3"/>
      <c r="X34" s="3">
        <f t="shared" si="2"/>
        <v>-171525.76000000001</v>
      </c>
      <c r="Y34" s="3"/>
      <c r="Z34" s="20">
        <f t="shared" si="3"/>
        <v>-1</v>
      </c>
    </row>
    <row r="35" spans="1:26" s="69" customFormat="1" ht="15" hidden="1" customHeight="1" outlineLevel="1" x14ac:dyDescent="0.25">
      <c r="A35" s="42"/>
      <c r="B35" s="12" t="str">
        <f>CONCATENATE("          ","4141"," - ","NON-TAXABLE SALES-LOGO GIFTS")</f>
        <v xml:space="preserve">          4141 - NON-TAXABLE SALES-LOGO GIFTS</v>
      </c>
      <c r="C35" s="12"/>
      <c r="D35" s="3">
        <f>0</f>
        <v>0</v>
      </c>
      <c r="E35" s="3"/>
      <c r="F35" s="20"/>
      <c r="G35" s="3"/>
      <c r="H35" s="3">
        <f>--1882.42</f>
        <v>1882.42</v>
      </c>
      <c r="I35" s="3"/>
      <c r="J35" s="20"/>
      <c r="K35" s="3"/>
      <c r="L35" s="3">
        <f t="shared" si="0"/>
        <v>-1882.42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--37399.99</f>
        <v>37399.99</v>
      </c>
      <c r="U35" s="3"/>
      <c r="V35" s="20"/>
      <c r="W35" s="3"/>
      <c r="X35" s="3">
        <f t="shared" si="2"/>
        <v>-37399.99</v>
      </c>
      <c r="Y35" s="3"/>
      <c r="Z35" s="20">
        <f t="shared" si="3"/>
        <v>-1</v>
      </c>
    </row>
    <row r="36" spans="1:26" s="69" customFormat="1" ht="15" hidden="1" customHeight="1" outlineLevel="1" x14ac:dyDescent="0.25">
      <c r="A36" s="42"/>
      <c r="B36" s="12" t="str">
        <f>CONCATENATE("          ","4142"," - ","NON-TAXABLE SALES-EVERYDAY GIF")</f>
        <v xml:space="preserve">          4142 - NON-TAXABLE SALES-EVERYDAY GIF</v>
      </c>
      <c r="C36" s="12"/>
      <c r="D36" s="3">
        <f>0</f>
        <v>0</v>
      </c>
      <c r="E36" s="3"/>
      <c r="F36" s="20"/>
      <c r="G36" s="3"/>
      <c r="H36" s="3">
        <f>--11.96</f>
        <v>11.96</v>
      </c>
      <c r="I36" s="3"/>
      <c r="J36" s="20"/>
      <c r="K36" s="3"/>
      <c r="L36" s="3">
        <f t="shared" si="0"/>
        <v>-11.96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--1467.37</f>
        <v>1467.37</v>
      </c>
      <c r="U36" s="3"/>
      <c r="V36" s="20"/>
      <c r="W36" s="3"/>
      <c r="X36" s="3">
        <f t="shared" si="2"/>
        <v>-1467.37</v>
      </c>
      <c r="Y36" s="3"/>
      <c r="Z36" s="20">
        <f t="shared" si="3"/>
        <v>-1</v>
      </c>
    </row>
    <row r="37" spans="1:26" s="69" customFormat="1" ht="15" hidden="1" customHeight="1" outlineLevel="1" x14ac:dyDescent="0.25">
      <c r="A37" s="42"/>
      <c r="B37" s="12" t="str">
        <f>CONCATENATE("          ","4143"," - ","NON-TAXABLE SALES-CARDS")</f>
        <v xml:space="preserve">          4143 - NON-TAXABLE SALES-CARDS</v>
      </c>
      <c r="C37" s="12"/>
      <c r="D37" s="3">
        <f>0</f>
        <v>0</v>
      </c>
      <c r="E37" s="3"/>
      <c r="F37" s="20"/>
      <c r="G37" s="3"/>
      <c r="H37" s="3">
        <f>--120.71</f>
        <v>120.71</v>
      </c>
      <c r="I37" s="3"/>
      <c r="J37" s="20"/>
      <c r="K37" s="3"/>
      <c r="L37" s="3">
        <f t="shared" si="0"/>
        <v>-120.71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--2552.16</f>
        <v>2552.16</v>
      </c>
      <c r="U37" s="3"/>
      <c r="V37" s="20"/>
      <c r="W37" s="3"/>
      <c r="X37" s="3">
        <f t="shared" si="2"/>
        <v>-2552.16</v>
      </c>
      <c r="Y37" s="3"/>
      <c r="Z37" s="20">
        <f t="shared" si="3"/>
        <v>-1</v>
      </c>
    </row>
    <row r="38" spans="1:26" s="69" customFormat="1" ht="15" hidden="1" customHeight="1" outlineLevel="1" x14ac:dyDescent="0.25">
      <c r="A38" s="42"/>
      <c r="B38" s="12" t="str">
        <f>CONCATENATE("          ","4144"," - ","NON-TAXABLE SALES-ACCESSORIES")</f>
        <v xml:space="preserve">          4144 - NON-TAXABLE SALES-ACCESSORIES</v>
      </c>
      <c r="C38" s="12"/>
      <c r="D38" s="3">
        <f>0</f>
        <v>0</v>
      </c>
      <c r="E38" s="3"/>
      <c r="F38" s="20"/>
      <c r="G38" s="3"/>
      <c r="H38" s="3">
        <f>--164.7</f>
        <v>164.7</v>
      </c>
      <c r="I38" s="3"/>
      <c r="J38" s="20"/>
      <c r="K38" s="3"/>
      <c r="L38" s="3">
        <f t="shared" si="0"/>
        <v>-164.7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--873.8</f>
        <v>873.8</v>
      </c>
      <c r="U38" s="3"/>
      <c r="V38" s="20"/>
      <c r="W38" s="3"/>
      <c r="X38" s="3">
        <f t="shared" si="2"/>
        <v>-873.8</v>
      </c>
      <c r="Y38" s="3"/>
      <c r="Z38" s="20">
        <f t="shared" si="3"/>
        <v>-1</v>
      </c>
    </row>
    <row r="39" spans="1:26" s="69" customFormat="1" ht="15" hidden="1" customHeight="1" outlineLevel="1" x14ac:dyDescent="0.25">
      <c r="A39" s="42"/>
      <c r="B39" s="12" t="str">
        <f>CONCATENATE("          ","4145"," - ","NON-TAXABLE SALES-SPECIAL ORDE")</f>
        <v xml:space="preserve">          4145 - NON-TAXABLE SALES-SPECIAL ORDE</v>
      </c>
      <c r="C39" s="12"/>
      <c r="D39" s="3">
        <f>0</f>
        <v>0</v>
      </c>
      <c r="E39" s="3"/>
      <c r="F39" s="20"/>
      <c r="G39" s="3"/>
      <c r="H39" s="3">
        <f>0</f>
        <v>0</v>
      </c>
      <c r="I39" s="3"/>
      <c r="J39" s="20"/>
      <c r="K39" s="3"/>
      <c r="L39" s="3">
        <f t="shared" si="0"/>
        <v>0</v>
      </c>
      <c r="M39" s="3"/>
      <c r="N39" s="20">
        <f t="shared" si="1"/>
        <v>0</v>
      </c>
      <c r="O39" s="12"/>
      <c r="P39" s="3">
        <f>0</f>
        <v>0</v>
      </c>
      <c r="Q39" s="3"/>
      <c r="R39" s="20"/>
      <c r="S39" s="3"/>
      <c r="T39" s="3">
        <f>--74066.89</f>
        <v>74066.89</v>
      </c>
      <c r="U39" s="3"/>
      <c r="V39" s="20"/>
      <c r="W39" s="3"/>
      <c r="X39" s="3">
        <f t="shared" si="2"/>
        <v>-74066.89</v>
      </c>
      <c r="Y39" s="3"/>
      <c r="Z39" s="20">
        <f t="shared" si="3"/>
        <v>-1</v>
      </c>
    </row>
    <row r="40" spans="1:26" s="69" customFormat="1" ht="15" hidden="1" customHeight="1" outlineLevel="1" x14ac:dyDescent="0.25">
      <c r="A40" s="42"/>
      <c r="B40" s="12" t="str">
        <f>CONCATENATE("          ","4200"," - ","TAXABLE RETURNS")</f>
        <v xml:space="preserve">          4200 - TAXABLE RETURNS</v>
      </c>
      <c r="C40" s="12"/>
      <c r="D40" s="3">
        <f>-38326.92</f>
        <v>-38326.92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-38326.92</v>
      </c>
      <c r="M40" s="3"/>
      <c r="N40" s="20">
        <f t="shared" si="1"/>
        <v>0</v>
      </c>
      <c r="O40" s="12"/>
      <c r="P40" s="3">
        <f>-153876.36</f>
        <v>-153876.35999999999</v>
      </c>
      <c r="Q40" s="3"/>
      <c r="R40" s="20"/>
      <c r="S40" s="3"/>
      <c r="T40" s="3">
        <f>0</f>
        <v>0</v>
      </c>
      <c r="U40" s="3"/>
      <c r="V40" s="20"/>
      <c r="W40" s="3"/>
      <c r="X40" s="3">
        <f t="shared" si="2"/>
        <v>-153876.35999999999</v>
      </c>
      <c r="Y40" s="3"/>
      <c r="Z40" s="20">
        <f t="shared" si="3"/>
        <v>0</v>
      </c>
    </row>
    <row r="41" spans="1:26" s="69" customFormat="1" ht="15" hidden="1" customHeight="1" outlineLevel="1" x14ac:dyDescent="0.25">
      <c r="A41" s="42"/>
      <c r="B41" s="12" t="str">
        <f>CONCATENATE("          ","4226"," - ","SALES RETURN TAXABLE-WRITING I")</f>
        <v xml:space="preserve">          4226 - SALES RETURN TAXABLE-WRITING I</v>
      </c>
      <c r="C41" s="12"/>
      <c r="D41" s="3">
        <f>0</f>
        <v>0</v>
      </c>
      <c r="E41" s="3"/>
      <c r="F41" s="20"/>
      <c r="G41" s="3"/>
      <c r="H41" s="3">
        <f>-0.79</f>
        <v>-0.79</v>
      </c>
      <c r="I41" s="3"/>
      <c r="J41" s="20"/>
      <c r="K41" s="3"/>
      <c r="L41" s="3">
        <f t="shared" si="0"/>
        <v>0.79</v>
      </c>
      <c r="M41" s="3"/>
      <c r="N41" s="20">
        <f t="shared" si="1"/>
        <v>-1</v>
      </c>
      <c r="O41" s="12"/>
      <c r="P41" s="3">
        <f>0</f>
        <v>0</v>
      </c>
      <c r="Q41" s="3"/>
      <c r="R41" s="20"/>
      <c r="S41" s="3"/>
      <c r="T41" s="3">
        <f>-35.02</f>
        <v>-35.020000000000003</v>
      </c>
      <c r="U41" s="3"/>
      <c r="V41" s="20"/>
      <c r="W41" s="3"/>
      <c r="X41" s="3">
        <f t="shared" si="2"/>
        <v>35.020000000000003</v>
      </c>
      <c r="Y41" s="3"/>
      <c r="Z41" s="20">
        <f t="shared" si="3"/>
        <v>-1</v>
      </c>
    </row>
    <row r="42" spans="1:26" s="69" customFormat="1" ht="15" hidden="1" customHeight="1" outlineLevel="1" x14ac:dyDescent="0.25">
      <c r="A42" s="42"/>
      <c r="B42" s="12" t="str">
        <f>CONCATENATE("          ","4227"," - ","SALES RETURN TAXABLE-SCHOOL SU")</f>
        <v xml:space="preserve">          4227 - SALES RETURN TAXABLE-SCHOOL SU</v>
      </c>
      <c r="C42" s="12"/>
      <c r="D42" s="3">
        <f>0</f>
        <v>0</v>
      </c>
      <c r="E42" s="3"/>
      <c r="F42" s="20"/>
      <c r="G42" s="3"/>
      <c r="H42" s="3">
        <f>-137.82</f>
        <v>-137.82</v>
      </c>
      <c r="I42" s="3"/>
      <c r="J42" s="20"/>
      <c r="K42" s="3"/>
      <c r="L42" s="3">
        <f t="shared" si="0"/>
        <v>137.82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-1324.51</f>
        <v>-1324.51</v>
      </c>
      <c r="U42" s="3"/>
      <c r="V42" s="20"/>
      <c r="W42" s="3"/>
      <c r="X42" s="3">
        <f t="shared" si="2"/>
        <v>1324.51</v>
      </c>
      <c r="Y42" s="3"/>
      <c r="Z42" s="20">
        <f t="shared" si="3"/>
        <v>-1</v>
      </c>
    </row>
    <row r="43" spans="1:26" s="69" customFormat="1" ht="15" hidden="1" customHeight="1" outlineLevel="1" x14ac:dyDescent="0.25">
      <c r="A43" s="42"/>
      <c r="B43" s="12" t="str">
        <f>CONCATENATE("          ","4228"," - ","SALES RETURN TAXABLE-ART/TECH")</f>
        <v xml:space="preserve">          4228 - SALES RETURN TAXABLE-ART/TECH</v>
      </c>
      <c r="C43" s="12"/>
      <c r="D43" s="3">
        <f>0</f>
        <v>0</v>
      </c>
      <c r="E43" s="3"/>
      <c r="F43" s="20"/>
      <c r="G43" s="3"/>
      <c r="H43" s="3">
        <f>0</f>
        <v>0</v>
      </c>
      <c r="I43" s="3"/>
      <c r="J43" s="20"/>
      <c r="K43" s="3"/>
      <c r="L43" s="3">
        <f t="shared" si="0"/>
        <v>0</v>
      </c>
      <c r="M43" s="3"/>
      <c r="N43" s="20">
        <f t="shared" si="1"/>
        <v>0</v>
      </c>
      <c r="O43" s="12"/>
      <c r="P43" s="3">
        <f>0</f>
        <v>0</v>
      </c>
      <c r="Q43" s="3"/>
      <c r="R43" s="20"/>
      <c r="S43" s="3"/>
      <c r="T43" s="3">
        <f>-12751.53</f>
        <v>-12751.53</v>
      </c>
      <c r="U43" s="3"/>
      <c r="V43" s="20"/>
      <c r="W43" s="3"/>
      <c r="X43" s="3">
        <f t="shared" si="2"/>
        <v>12751.53</v>
      </c>
      <c r="Y43" s="3"/>
      <c r="Z43" s="20">
        <f t="shared" si="3"/>
        <v>-1</v>
      </c>
    </row>
    <row r="44" spans="1:26" s="69" customFormat="1" ht="15" hidden="1" customHeight="1" outlineLevel="1" x14ac:dyDescent="0.25">
      <c r="A44" s="42"/>
      <c r="B44" s="12" t="str">
        <f>CONCATENATE("          ","4240"," - ","SALES RETURN TAXABLE-LOGO CLOT")</f>
        <v xml:space="preserve">          4240 - SALES RETURN TAXABLE-LOGO CLOT</v>
      </c>
      <c r="C44" s="12"/>
      <c r="D44" s="3">
        <f>0</f>
        <v>0</v>
      </c>
      <c r="E44" s="3"/>
      <c r="F44" s="20"/>
      <c r="G44" s="3"/>
      <c r="H44" s="3">
        <f>-6427.17</f>
        <v>-6427.17</v>
      </c>
      <c r="I44" s="3"/>
      <c r="J44" s="20"/>
      <c r="K44" s="3"/>
      <c r="L44" s="3">
        <f t="shared" si="0"/>
        <v>6427.17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-47093.44</f>
        <v>-47093.440000000002</v>
      </c>
      <c r="U44" s="3"/>
      <c r="V44" s="20"/>
      <c r="W44" s="3"/>
      <c r="X44" s="3">
        <f t="shared" si="2"/>
        <v>47093.440000000002</v>
      </c>
      <c r="Y44" s="3"/>
      <c r="Z44" s="20">
        <f t="shared" si="3"/>
        <v>-1</v>
      </c>
    </row>
    <row r="45" spans="1:26" s="69" customFormat="1" ht="15" hidden="1" customHeight="1" outlineLevel="1" x14ac:dyDescent="0.25">
      <c r="A45" s="42"/>
      <c r="B45" s="12" t="str">
        <f>CONCATENATE("          ","4241"," - ","SALES RETURN TAXABLE-LOGO GIFT")</f>
        <v xml:space="preserve">          4241 - SALES RETURN TAXABLE-LOGO GIFT</v>
      </c>
      <c r="C45" s="12"/>
      <c r="D45" s="3">
        <f>0</f>
        <v>0</v>
      </c>
      <c r="E45" s="3"/>
      <c r="F45" s="20"/>
      <c r="G45" s="3"/>
      <c r="H45" s="3">
        <f>-4497.34</f>
        <v>-4497.34</v>
      </c>
      <c r="I45" s="3"/>
      <c r="J45" s="20"/>
      <c r="K45" s="3"/>
      <c r="L45" s="3">
        <f t="shared" si="0"/>
        <v>4497.34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-15387.54</f>
        <v>-15387.54</v>
      </c>
      <c r="U45" s="3"/>
      <c r="V45" s="20"/>
      <c r="W45" s="3"/>
      <c r="X45" s="3">
        <f t="shared" si="2"/>
        <v>15387.54</v>
      </c>
      <c r="Y45" s="3"/>
      <c r="Z45" s="20">
        <f t="shared" si="3"/>
        <v>-1</v>
      </c>
    </row>
    <row r="46" spans="1:26" s="69" customFormat="1" ht="15" hidden="1" customHeight="1" outlineLevel="1" x14ac:dyDescent="0.25">
      <c r="A46" s="42"/>
      <c r="B46" s="12" t="str">
        <f>CONCATENATE("          ","4242"," - ","SALES RETURN TAXABLE-EVERYDAY")</f>
        <v xml:space="preserve">          4242 - SALES RETURN TAXABLE-EVERYDAY</v>
      </c>
      <c r="C46" s="12"/>
      <c r="D46" s="3">
        <f>0</f>
        <v>0</v>
      </c>
      <c r="E46" s="3"/>
      <c r="F46" s="20"/>
      <c r="G46" s="3"/>
      <c r="H46" s="3">
        <f>-107</f>
        <v>-107</v>
      </c>
      <c r="I46" s="3"/>
      <c r="J46" s="20"/>
      <c r="K46" s="3"/>
      <c r="L46" s="3">
        <f t="shared" si="0"/>
        <v>107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-2743.09</f>
        <v>-2743.09</v>
      </c>
      <c r="U46" s="3"/>
      <c r="V46" s="20"/>
      <c r="W46" s="3"/>
      <c r="X46" s="3">
        <f t="shared" si="2"/>
        <v>2743.09</v>
      </c>
      <c r="Y46" s="3"/>
      <c r="Z46" s="20">
        <f t="shared" si="3"/>
        <v>-1</v>
      </c>
    </row>
    <row r="47" spans="1:26" s="69" customFormat="1" ht="15" hidden="1" customHeight="1" outlineLevel="1" x14ac:dyDescent="0.25">
      <c r="A47" s="42"/>
      <c r="B47" s="12" t="str">
        <f>CONCATENATE("          ","4243"," - ","SALES RETURN TAXABLE-CARDS")</f>
        <v xml:space="preserve">          4243 - SALES RETURN TAXABLE-CARDS</v>
      </c>
      <c r="C47" s="12"/>
      <c r="D47" s="3">
        <f>0</f>
        <v>0</v>
      </c>
      <c r="E47" s="3"/>
      <c r="F47" s="20"/>
      <c r="G47" s="3"/>
      <c r="H47" s="3">
        <f>-76.9</f>
        <v>-76.900000000000006</v>
      </c>
      <c r="I47" s="3"/>
      <c r="J47" s="20"/>
      <c r="K47" s="3"/>
      <c r="L47" s="3">
        <f t="shared" si="0"/>
        <v>76.900000000000006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-6218.99</f>
        <v>-6218.99</v>
      </c>
      <c r="U47" s="3"/>
      <c r="V47" s="20"/>
      <c r="W47" s="3"/>
      <c r="X47" s="3">
        <f t="shared" si="2"/>
        <v>6218.99</v>
      </c>
      <c r="Y47" s="3"/>
      <c r="Z47" s="20">
        <f t="shared" si="3"/>
        <v>-1</v>
      </c>
    </row>
    <row r="48" spans="1:26" s="69" customFormat="1" ht="15" hidden="1" customHeight="1" outlineLevel="1" x14ac:dyDescent="0.25">
      <c r="A48" s="42"/>
      <c r="B48" s="12" t="str">
        <f>CONCATENATE("          ","4244"," - ","SALES RETURN TAXABLE-ACCESSORI")</f>
        <v xml:space="preserve">          4244 - SALES RETURN TAXABLE-ACCESSORI</v>
      </c>
      <c r="C48" s="12"/>
      <c r="D48" s="3">
        <f>0</f>
        <v>0</v>
      </c>
      <c r="E48" s="3"/>
      <c r="F48" s="20"/>
      <c r="G48" s="3"/>
      <c r="H48" s="3">
        <f>-24.41</f>
        <v>-24.41</v>
      </c>
      <c r="I48" s="3"/>
      <c r="J48" s="20"/>
      <c r="K48" s="3"/>
      <c r="L48" s="3">
        <f t="shared" si="0"/>
        <v>24.41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-1267.91</f>
        <v>-1267.9100000000001</v>
      </c>
      <c r="U48" s="3"/>
      <c r="V48" s="20"/>
      <c r="W48" s="3"/>
      <c r="X48" s="3">
        <f t="shared" si="2"/>
        <v>1267.9100000000001</v>
      </c>
      <c r="Y48" s="3"/>
      <c r="Z48" s="20">
        <f t="shared" si="3"/>
        <v>-1</v>
      </c>
    </row>
    <row r="49" spans="1:26" s="69" customFormat="1" ht="15" hidden="1" customHeight="1" outlineLevel="1" x14ac:dyDescent="0.25">
      <c r="A49" s="42"/>
      <c r="B49" s="12" t="str">
        <f>CONCATENATE("          ","4245"," - ","SALES RETURN TAXABLE-SPECIAL O")</f>
        <v xml:space="preserve">          4245 - SALES RETURN TAXABLE-SPECIAL O</v>
      </c>
      <c r="C49" s="12"/>
      <c r="D49" s="3">
        <f>0</f>
        <v>0</v>
      </c>
      <c r="E49" s="3"/>
      <c r="F49" s="20"/>
      <c r="G49" s="3"/>
      <c r="H49" s="3">
        <f>-36</f>
        <v>-36</v>
      </c>
      <c r="I49" s="3"/>
      <c r="J49" s="20"/>
      <c r="K49" s="3"/>
      <c r="L49" s="3">
        <f t="shared" si="0"/>
        <v>36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-15460.73</f>
        <v>-15460.73</v>
      </c>
      <c r="U49" s="3"/>
      <c r="V49" s="20"/>
      <c r="W49" s="3"/>
      <c r="X49" s="3">
        <f t="shared" si="2"/>
        <v>15460.73</v>
      </c>
      <c r="Y49" s="3"/>
      <c r="Z49" s="20">
        <f t="shared" si="3"/>
        <v>-1</v>
      </c>
    </row>
    <row r="50" spans="1:26" s="69" customFormat="1" ht="15" hidden="1" customHeight="1" outlineLevel="1" x14ac:dyDescent="0.25">
      <c r="A50" s="42"/>
      <c r="B50" s="12" t="str">
        <f>CONCATENATE("          ","4300"," - ","NON-TAX RETURNS")</f>
        <v xml:space="preserve">          4300 - NON-TAX RETURNS</v>
      </c>
      <c r="C50" s="12"/>
      <c r="D50" s="3">
        <f>-346.55</f>
        <v>-346.55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0"/>
        <v>-346.55</v>
      </c>
      <c r="M50" s="3"/>
      <c r="N50" s="20">
        <f t="shared" si="1"/>
        <v>0</v>
      </c>
      <c r="O50" s="12"/>
      <c r="P50" s="3">
        <f>-3496.69</f>
        <v>-3496.69</v>
      </c>
      <c r="Q50" s="3"/>
      <c r="R50" s="20"/>
      <c r="S50" s="3"/>
      <c r="T50" s="3">
        <f>0</f>
        <v>0</v>
      </c>
      <c r="U50" s="3"/>
      <c r="V50" s="20"/>
      <c r="W50" s="3"/>
      <c r="X50" s="3">
        <f t="shared" si="2"/>
        <v>-3496.69</v>
      </c>
      <c r="Y50" s="3"/>
      <c r="Z50" s="20">
        <f t="shared" si="3"/>
        <v>0</v>
      </c>
    </row>
    <row r="51" spans="1:26" s="69" customFormat="1" ht="15" hidden="1" customHeight="1" outlineLevel="1" x14ac:dyDescent="0.25">
      <c r="A51" s="42"/>
      <c r="B51" s="12" t="str">
        <f>CONCATENATE("          ","4327"," - ","SALES RETURN NON TAXABLE-SCHOO")</f>
        <v xml:space="preserve">          4327 - SALES RETURN NON TAXABLE-SCHOO</v>
      </c>
      <c r="C51" s="12"/>
      <c r="D51" s="3">
        <f>0</f>
        <v>0</v>
      </c>
      <c r="E51" s="3"/>
      <c r="F51" s="20"/>
      <c r="G51" s="3"/>
      <c r="H51" s="3">
        <f>-17.41</f>
        <v>-17.41</v>
      </c>
      <c r="I51" s="3"/>
      <c r="J51" s="20"/>
      <c r="K51" s="3"/>
      <c r="L51" s="3">
        <f t="shared" si="0"/>
        <v>17.41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-17.41</f>
        <v>-17.41</v>
      </c>
      <c r="U51" s="3"/>
      <c r="V51" s="20"/>
      <c r="W51" s="3"/>
      <c r="X51" s="3">
        <f t="shared" si="2"/>
        <v>17.41</v>
      </c>
      <c r="Y51" s="3"/>
      <c r="Z51" s="20">
        <f t="shared" si="3"/>
        <v>-1</v>
      </c>
    </row>
    <row r="52" spans="1:26" s="69" customFormat="1" ht="15" hidden="1" customHeight="1" outlineLevel="1" x14ac:dyDescent="0.25">
      <c r="A52" s="42"/>
      <c r="B52" s="12" t="str">
        <f>CONCATENATE("          ","4340"," - ","SALES RETURN NON TAXABLE-LOGO")</f>
        <v xml:space="preserve">          4340 - SALES RETURN NON TAXABLE-LOGO</v>
      </c>
      <c r="C52" s="12"/>
      <c r="D52" s="3">
        <f>0</f>
        <v>0</v>
      </c>
      <c r="E52" s="3"/>
      <c r="F52" s="20"/>
      <c r="G52" s="3"/>
      <c r="H52" s="3">
        <f>-143.74</f>
        <v>-143.74</v>
      </c>
      <c r="I52" s="3"/>
      <c r="J52" s="20"/>
      <c r="K52" s="3"/>
      <c r="L52" s="3">
        <f t="shared" si="0"/>
        <v>143.74</v>
      </c>
      <c r="M52" s="3"/>
      <c r="N52" s="20">
        <f t="shared" si="1"/>
        <v>-1</v>
      </c>
      <c r="O52" s="12"/>
      <c r="P52" s="3">
        <f>0</f>
        <v>0</v>
      </c>
      <c r="Q52" s="3"/>
      <c r="R52" s="20"/>
      <c r="S52" s="3"/>
      <c r="T52" s="3">
        <f>-3451.26</f>
        <v>-3451.26</v>
      </c>
      <c r="U52" s="3"/>
      <c r="V52" s="20"/>
      <c r="W52" s="3"/>
      <c r="X52" s="3">
        <f t="shared" si="2"/>
        <v>3451.26</v>
      </c>
      <c r="Y52" s="3"/>
      <c r="Z52" s="20">
        <f t="shared" si="3"/>
        <v>-1</v>
      </c>
    </row>
    <row r="53" spans="1:26" s="69" customFormat="1" ht="15" hidden="1" customHeight="1" outlineLevel="1" x14ac:dyDescent="0.25">
      <c r="A53" s="42"/>
      <c r="B53" s="12" t="str">
        <f>CONCATENATE("          ","4341"," - ","SALES RETURN NON TAXABLE-LOGO")</f>
        <v xml:space="preserve">          4341 - SALES RETURN NON TAXABLE-LOGO</v>
      </c>
      <c r="C53" s="12"/>
      <c r="D53" s="3">
        <f>0</f>
        <v>0</v>
      </c>
      <c r="E53" s="3"/>
      <c r="F53" s="20"/>
      <c r="G53" s="3"/>
      <c r="H53" s="3">
        <f>0</f>
        <v>0</v>
      </c>
      <c r="I53" s="3"/>
      <c r="J53" s="20"/>
      <c r="K53" s="3"/>
      <c r="L53" s="3">
        <f t="shared" si="0"/>
        <v>0</v>
      </c>
      <c r="M53" s="3"/>
      <c r="N53" s="20">
        <f t="shared" si="1"/>
        <v>0</v>
      </c>
      <c r="O53" s="12"/>
      <c r="P53" s="3">
        <f>0</f>
        <v>0</v>
      </c>
      <c r="Q53" s="3"/>
      <c r="R53" s="20"/>
      <c r="S53" s="3"/>
      <c r="T53" s="3">
        <f>-391.24</f>
        <v>-391.24</v>
      </c>
      <c r="U53" s="3"/>
      <c r="V53" s="20"/>
      <c r="W53" s="3"/>
      <c r="X53" s="3">
        <f t="shared" si="2"/>
        <v>391.24</v>
      </c>
      <c r="Y53" s="3"/>
      <c r="Z53" s="20">
        <f t="shared" si="3"/>
        <v>-1</v>
      </c>
    </row>
    <row r="54" spans="1:26" s="69" customFormat="1" ht="15" hidden="1" customHeight="1" outlineLevel="1" x14ac:dyDescent="0.25">
      <c r="A54" s="42"/>
      <c r="B54" s="12" t="str">
        <f>CONCATENATE("          ","4342"," - ","SALES RETURN NON TAXABLE-EVERY")</f>
        <v xml:space="preserve">          4342 - SALES RETURN NON TAXABLE-EVERY</v>
      </c>
      <c r="C54" s="12"/>
      <c r="D54" s="3">
        <f>0</f>
        <v>0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0"/>
        <v>0</v>
      </c>
      <c r="M54" s="3"/>
      <c r="N54" s="20">
        <f t="shared" si="1"/>
        <v>0</v>
      </c>
      <c r="O54" s="12"/>
      <c r="P54" s="3">
        <f>0</f>
        <v>0</v>
      </c>
      <c r="Q54" s="3"/>
      <c r="R54" s="20"/>
      <c r="S54" s="3"/>
      <c r="T54" s="3">
        <f>-118.7</f>
        <v>-118.7</v>
      </c>
      <c r="U54" s="3"/>
      <c r="V54" s="20"/>
      <c r="W54" s="3"/>
      <c r="X54" s="3">
        <f t="shared" si="2"/>
        <v>118.7</v>
      </c>
      <c r="Y54" s="3"/>
      <c r="Z54" s="20">
        <f t="shared" si="3"/>
        <v>-1</v>
      </c>
    </row>
    <row r="55" spans="1:26" s="69" customFormat="1" ht="15" hidden="1" customHeight="1" outlineLevel="1" x14ac:dyDescent="0.25">
      <c r="A55" s="42"/>
      <c r="B55" s="12" t="str">
        <f>CONCATENATE("          ","4500"," - ","SALES DISCOUNT")</f>
        <v xml:space="preserve">          4500 - SALES DISCOUNT</v>
      </c>
      <c r="C55" s="12"/>
      <c r="D55" s="3">
        <f>-20905.77</f>
        <v>-20905.77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0"/>
        <v>-20905.77</v>
      </c>
      <c r="M55" s="3"/>
      <c r="N55" s="20">
        <f t="shared" si="1"/>
        <v>0</v>
      </c>
      <c r="O55" s="12"/>
      <c r="P55" s="3">
        <f>-117843.14</f>
        <v>-117843.14</v>
      </c>
      <c r="Q55" s="3"/>
      <c r="R55" s="20"/>
      <c r="S55" s="3"/>
      <c r="T55" s="3">
        <f>0</f>
        <v>0</v>
      </c>
      <c r="U55" s="3"/>
      <c r="V55" s="20"/>
      <c r="W55" s="3"/>
      <c r="X55" s="3">
        <f t="shared" si="2"/>
        <v>-117843.14</v>
      </c>
      <c r="Y55" s="3"/>
      <c r="Z55" s="20">
        <f t="shared" si="3"/>
        <v>0</v>
      </c>
    </row>
    <row r="56" spans="1:26" ht="15" customHeight="1" x14ac:dyDescent="0.25">
      <c r="A56" s="10"/>
      <c r="B56" s="11"/>
      <c r="C56" s="10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2" customFormat="1" ht="15" customHeight="1" collapsed="1" x14ac:dyDescent="0.25">
      <c r="A57" s="11"/>
      <c r="B57" s="28" t="s">
        <v>287</v>
      </c>
      <c r="C57" s="11"/>
      <c r="D57" s="5">
        <f>SUM(OSRRefD16x_0)</f>
        <v>342424.29</v>
      </c>
      <c r="E57" s="5"/>
      <c r="F57" s="13">
        <f t="shared" ref="F57:F83" si="4">IF(D$12=0,0,D57/D$12)</f>
        <v>0.43783568724285776</v>
      </c>
      <c r="G57" s="5"/>
      <c r="H57" s="5">
        <f>SUM(OSRRefH16x_0)</f>
        <v>195650</v>
      </c>
      <c r="I57" s="5"/>
      <c r="J57" s="13">
        <f t="shared" ref="J57:J83" si="5">IF(H$12=0,0,H57/H$12)</f>
        <v>0.45487060518040529</v>
      </c>
      <c r="K57" s="5"/>
      <c r="L57" s="5">
        <f t="shared" ref="L57:L83" si="6">+D57-H57</f>
        <v>146774.28999999998</v>
      </c>
      <c r="M57" s="5"/>
      <c r="N57" s="13">
        <f t="shared" ref="N57:N83" si="7">IF(H57=0,0,L57/H57)</f>
        <v>0.75018803986710958</v>
      </c>
      <c r="O57" s="11"/>
      <c r="P57" s="5">
        <f>SUM(OSRRefP16x_0)</f>
        <v>2234680.06</v>
      </c>
      <c r="Q57" s="5"/>
      <c r="R57" s="13">
        <f t="shared" ref="R57:R83" si="8">IF(P$12=0,0,P57/P$12)</f>
        <v>0.4636433942951308</v>
      </c>
      <c r="S57" s="5"/>
      <c r="T57" s="5">
        <f>SUM(OSRRefT16x_0)</f>
        <v>1221495.5399999998</v>
      </c>
      <c r="U57" s="5"/>
      <c r="V57" s="13">
        <f t="shared" ref="V57:V83" si="9">IF(T$12=0,0,T57/T$12)</f>
        <v>0.52716205614616163</v>
      </c>
      <c r="W57" s="5"/>
      <c r="X57" s="5">
        <f t="shared" ref="X57:X83" si="10">+P57-T57</f>
        <v>1013184.5200000003</v>
      </c>
      <c r="Y57" s="5"/>
      <c r="Z57" s="13">
        <f t="shared" ref="Z57:Z83" si="11">IF(T57=0,0,X57/T57)</f>
        <v>0.82946231633395928</v>
      </c>
    </row>
    <row r="58" spans="1:26" s="69" customFormat="1" ht="15" hidden="1" customHeight="1" outlineLevel="1" x14ac:dyDescent="0.25">
      <c r="A58" s="42"/>
      <c r="B58" s="12" t="str">
        <f>CONCATENATE("          ","5000"," - ","PURCHASES @ COST")</f>
        <v xml:space="preserve">          5000 - PURCHASES @ COST</v>
      </c>
      <c r="C58" s="12"/>
      <c r="D58" s="3">
        <v>244550.01</v>
      </c>
      <c r="E58" s="3"/>
      <c r="F58" s="20">
        <f t="shared" si="4"/>
        <v>0.31269020574912409</v>
      </c>
      <c r="G58" s="3"/>
      <c r="H58" s="3"/>
      <c r="I58" s="3"/>
      <c r="J58" s="20">
        <f t="shared" si="5"/>
        <v>0</v>
      </c>
      <c r="K58" s="3"/>
      <c r="L58" s="3">
        <f t="shared" si="6"/>
        <v>244550.01</v>
      </c>
      <c r="M58" s="3"/>
      <c r="N58" s="20">
        <f t="shared" si="7"/>
        <v>0</v>
      </c>
      <c r="O58" s="12"/>
      <c r="P58" s="3">
        <v>2356088.9</v>
      </c>
      <c r="Q58" s="3"/>
      <c r="R58" s="20">
        <f t="shared" si="8"/>
        <v>0.48883286444909746</v>
      </c>
      <c r="S58" s="3"/>
      <c r="T58" s="3"/>
      <c r="U58" s="3"/>
      <c r="V58" s="20">
        <f t="shared" si="9"/>
        <v>0</v>
      </c>
      <c r="W58" s="3"/>
      <c r="X58" s="3">
        <f t="shared" si="10"/>
        <v>2356088.9</v>
      </c>
      <c r="Y58" s="3"/>
      <c r="Z58" s="20">
        <f t="shared" si="11"/>
        <v>0</v>
      </c>
    </row>
    <row r="59" spans="1:26" s="69" customFormat="1" ht="15" hidden="1" customHeight="1" outlineLevel="1" x14ac:dyDescent="0.25">
      <c r="A59" s="42"/>
      <c r="B59" s="12" t="str">
        <f>CONCATENATE("          ","5025"," - ","PURCHASES @ COST-TEST FORMS")</f>
        <v xml:space="preserve">          5025 - PURCHASES @ COST-TEST FORMS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/>
      <c r="Q59" s="3"/>
      <c r="R59" s="20">
        <f t="shared" si="8"/>
        <v>0</v>
      </c>
      <c r="S59" s="3"/>
      <c r="T59" s="3">
        <v>599.29</v>
      </c>
      <c r="U59" s="3"/>
      <c r="V59" s="20">
        <f t="shared" si="9"/>
        <v>2.5863618677464287E-4</v>
      </c>
      <c r="W59" s="3"/>
      <c r="X59" s="3">
        <f t="shared" si="10"/>
        <v>-599.29</v>
      </c>
      <c r="Y59" s="3"/>
      <c r="Z59" s="20">
        <f t="shared" si="11"/>
        <v>-1</v>
      </c>
    </row>
    <row r="60" spans="1:26" s="69" customFormat="1" ht="15" hidden="1" customHeight="1" outlineLevel="1" x14ac:dyDescent="0.25">
      <c r="A60" s="42"/>
      <c r="B60" s="12" t="str">
        <f>CONCATENATE("          ","5026"," - ","PURCHASES @ COST-WRITING INSTR")</f>
        <v xml:space="preserve">          5026 - PURCHASES @ COST-WRITING INSTR</v>
      </c>
      <c r="C60" s="12"/>
      <c r="D60" s="3"/>
      <c r="E60" s="3"/>
      <c r="F60" s="20">
        <f t="shared" si="4"/>
        <v>0</v>
      </c>
      <c r="G60" s="3"/>
      <c r="H60" s="3">
        <v>-2.0499999999999998</v>
      </c>
      <c r="I60" s="3"/>
      <c r="J60" s="20">
        <f t="shared" si="5"/>
        <v>-4.7660860752355264E-6</v>
      </c>
      <c r="K60" s="3"/>
      <c r="L60" s="3">
        <f t="shared" si="6"/>
        <v>2.0499999999999998</v>
      </c>
      <c r="M60" s="3"/>
      <c r="N60" s="20">
        <f t="shared" si="7"/>
        <v>-1</v>
      </c>
      <c r="O60" s="12"/>
      <c r="P60" s="3"/>
      <c r="Q60" s="3"/>
      <c r="R60" s="20">
        <f t="shared" si="8"/>
        <v>0</v>
      </c>
      <c r="S60" s="3"/>
      <c r="T60" s="3">
        <v>217.59</v>
      </c>
      <c r="U60" s="3"/>
      <c r="V60" s="20">
        <f t="shared" si="9"/>
        <v>9.3905534683199357E-5</v>
      </c>
      <c r="W60" s="3"/>
      <c r="X60" s="3">
        <f t="shared" si="10"/>
        <v>-217.59</v>
      </c>
      <c r="Y60" s="3"/>
      <c r="Z60" s="20">
        <f t="shared" si="11"/>
        <v>-1</v>
      </c>
    </row>
    <row r="61" spans="1:26" s="69" customFormat="1" ht="15" hidden="1" customHeight="1" outlineLevel="1" x14ac:dyDescent="0.25">
      <c r="A61" s="42"/>
      <c r="B61" s="12" t="str">
        <f>CONCATENATE("          ","5027"," - ","PURCHASES @ COST-SCHOOL SUPPLI")</f>
        <v xml:space="preserve">          5027 - PURCHASES @ COST-SCHOOL SUPPLI</v>
      </c>
      <c r="C61" s="12"/>
      <c r="D61" s="3"/>
      <c r="E61" s="3"/>
      <c r="F61" s="20">
        <f t="shared" si="4"/>
        <v>0</v>
      </c>
      <c r="G61" s="3"/>
      <c r="H61" s="3">
        <v>0.39</v>
      </c>
      <c r="I61" s="3"/>
      <c r="J61" s="20">
        <f t="shared" si="5"/>
        <v>9.0671881431310032E-7</v>
      </c>
      <c r="K61" s="3"/>
      <c r="L61" s="3">
        <f t="shared" si="6"/>
        <v>-0.39</v>
      </c>
      <c r="M61" s="3"/>
      <c r="N61" s="20">
        <f t="shared" si="7"/>
        <v>-1</v>
      </c>
      <c r="O61" s="12"/>
      <c r="P61" s="3">
        <v>0</v>
      </c>
      <c r="Q61" s="3"/>
      <c r="R61" s="20">
        <f t="shared" si="8"/>
        <v>0</v>
      </c>
      <c r="S61" s="3"/>
      <c r="T61" s="3">
        <v>22839.52</v>
      </c>
      <c r="U61" s="3"/>
      <c r="V61" s="20">
        <f t="shared" si="9"/>
        <v>9.856874569178848E-3</v>
      </c>
      <c r="W61" s="3"/>
      <c r="X61" s="3">
        <f t="shared" si="10"/>
        <v>-22839.52</v>
      </c>
      <c r="Y61" s="3"/>
      <c r="Z61" s="20">
        <f t="shared" si="11"/>
        <v>-1</v>
      </c>
    </row>
    <row r="62" spans="1:26" s="69" customFormat="1" ht="15" hidden="1" customHeight="1" outlineLevel="1" x14ac:dyDescent="0.25">
      <c r="A62" s="42"/>
      <c r="B62" s="12" t="str">
        <f>CONCATENATE("          ","5028"," - ","PURCHASES @ COST-ART/TECH")</f>
        <v xml:space="preserve">          5028 - PURCHASES @ COST-ART/TECH</v>
      </c>
      <c r="C62" s="12"/>
      <c r="D62" s="3"/>
      <c r="E62" s="3"/>
      <c r="F62" s="20">
        <f t="shared" si="4"/>
        <v>0</v>
      </c>
      <c r="G62" s="3"/>
      <c r="H62" s="3">
        <v>674.12</v>
      </c>
      <c r="I62" s="3"/>
      <c r="J62" s="20">
        <f t="shared" si="5"/>
        <v>1.5672750951403773E-3</v>
      </c>
      <c r="K62" s="3"/>
      <c r="L62" s="3">
        <f t="shared" si="6"/>
        <v>-674.12</v>
      </c>
      <c r="M62" s="3"/>
      <c r="N62" s="20">
        <f t="shared" si="7"/>
        <v>-1</v>
      </c>
      <c r="O62" s="12"/>
      <c r="P62" s="3">
        <v>0</v>
      </c>
      <c r="Q62" s="3"/>
      <c r="R62" s="20">
        <f t="shared" si="8"/>
        <v>0</v>
      </c>
      <c r="S62" s="3"/>
      <c r="T62" s="3">
        <v>6238.89</v>
      </c>
      <c r="U62" s="3"/>
      <c r="V62" s="20">
        <f t="shared" si="9"/>
        <v>2.6925240189331571E-3</v>
      </c>
      <c r="W62" s="3"/>
      <c r="X62" s="3">
        <f t="shared" si="10"/>
        <v>-6238.89</v>
      </c>
      <c r="Y62" s="3"/>
      <c r="Z62" s="20">
        <f t="shared" si="11"/>
        <v>-1</v>
      </c>
    </row>
    <row r="63" spans="1:26" s="69" customFormat="1" ht="15" hidden="1" customHeight="1" outlineLevel="1" x14ac:dyDescent="0.25">
      <c r="A63" s="42"/>
      <c r="B63" s="12" t="str">
        <f>CONCATENATE("          ","5031"," - ","PURCHASES @ COST-FOOD")</f>
        <v xml:space="preserve">          5031 - PURCHASES @ COST-FOOD</v>
      </c>
      <c r="C63" s="12"/>
      <c r="D63" s="3"/>
      <c r="E63" s="3"/>
      <c r="F63" s="20">
        <f t="shared" si="4"/>
        <v>0</v>
      </c>
      <c r="G63" s="3"/>
      <c r="H63" s="3">
        <v>280.37</v>
      </c>
      <c r="I63" s="3"/>
      <c r="J63" s="20">
        <f t="shared" si="5"/>
        <v>6.5183783068965113E-4</v>
      </c>
      <c r="K63" s="3"/>
      <c r="L63" s="3">
        <f t="shared" si="6"/>
        <v>-280.37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5624.52</v>
      </c>
      <c r="U63" s="3"/>
      <c r="V63" s="20">
        <f t="shared" si="9"/>
        <v>2.4273797414235418E-3</v>
      </c>
      <c r="W63" s="3"/>
      <c r="X63" s="3">
        <f t="shared" si="10"/>
        <v>-5624.52</v>
      </c>
      <c r="Y63" s="3"/>
      <c r="Z63" s="20">
        <f t="shared" si="11"/>
        <v>-1</v>
      </c>
    </row>
    <row r="64" spans="1:26" s="69" customFormat="1" ht="15" hidden="1" customHeight="1" outlineLevel="1" x14ac:dyDescent="0.25">
      <c r="A64" s="42"/>
      <c r="B64" s="12" t="str">
        <f>CONCATENATE("          ","5040"," - ","PURCHASES @ COST-LOGO CLOTHING")</f>
        <v xml:space="preserve">          5040 - PURCHASES @ COST-LOGO CLOTHING</v>
      </c>
      <c r="C64" s="12"/>
      <c r="D64" s="3"/>
      <c r="E64" s="3"/>
      <c r="F64" s="20">
        <f t="shared" si="4"/>
        <v>0</v>
      </c>
      <c r="G64" s="3"/>
      <c r="H64" s="3">
        <v>48288.73</v>
      </c>
      <c r="I64" s="3"/>
      <c r="J64" s="20">
        <f t="shared" si="5"/>
        <v>0.11226743592380881</v>
      </c>
      <c r="K64" s="3"/>
      <c r="L64" s="3">
        <f t="shared" si="6"/>
        <v>-48288.73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327378.98</v>
      </c>
      <c r="U64" s="3"/>
      <c r="V64" s="20">
        <f t="shared" si="9"/>
        <v>0.14128727497100246</v>
      </c>
      <c r="W64" s="3"/>
      <c r="X64" s="3">
        <f t="shared" si="10"/>
        <v>-327378.98</v>
      </c>
      <c r="Y64" s="3"/>
      <c r="Z64" s="20">
        <f t="shared" si="11"/>
        <v>-1</v>
      </c>
    </row>
    <row r="65" spans="1:26" s="69" customFormat="1" ht="15" hidden="1" customHeight="1" outlineLevel="1" x14ac:dyDescent="0.25">
      <c r="A65" s="42"/>
      <c r="B65" s="12" t="str">
        <f>CONCATENATE("          ","5041"," - ","PURCHASES @ COST-LOGO GIFTS")</f>
        <v xml:space="preserve">          5041 - PURCHASES @ COST-LOGO GIFTS</v>
      </c>
      <c r="C65" s="12"/>
      <c r="D65" s="3"/>
      <c r="E65" s="3"/>
      <c r="F65" s="20">
        <f t="shared" si="4"/>
        <v>0</v>
      </c>
      <c r="G65" s="3"/>
      <c r="H65" s="3">
        <v>22136.9</v>
      </c>
      <c r="I65" s="3"/>
      <c r="J65" s="20">
        <f t="shared" si="5"/>
        <v>5.1466522360429923E-2</v>
      </c>
      <c r="K65" s="3"/>
      <c r="L65" s="3">
        <f t="shared" si="6"/>
        <v>-22136.9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106398.85</v>
      </c>
      <c r="U65" s="3"/>
      <c r="V65" s="20">
        <f t="shared" si="9"/>
        <v>4.5918658481214791E-2</v>
      </c>
      <c r="W65" s="3"/>
      <c r="X65" s="3">
        <f t="shared" si="10"/>
        <v>-106398.85</v>
      </c>
      <c r="Y65" s="3"/>
      <c r="Z65" s="20">
        <f t="shared" si="11"/>
        <v>-1</v>
      </c>
    </row>
    <row r="66" spans="1:26" s="69" customFormat="1" ht="15" hidden="1" customHeight="1" outlineLevel="1" x14ac:dyDescent="0.25">
      <c r="A66" s="42"/>
      <c r="B66" s="12" t="str">
        <f>CONCATENATE("          ","5042"," - ","PURCHASES @ COST-EVERYDAY GIFT")</f>
        <v xml:space="preserve">          5042 - PURCHASES @ COST-EVERYDAY GIFT</v>
      </c>
      <c r="C66" s="12"/>
      <c r="D66" s="3"/>
      <c r="E66" s="3"/>
      <c r="F66" s="20">
        <f t="shared" si="4"/>
        <v>0</v>
      </c>
      <c r="G66" s="3"/>
      <c r="H66" s="3">
        <v>-0.11</v>
      </c>
      <c r="I66" s="3"/>
      <c r="J66" s="20">
        <f t="shared" si="5"/>
        <v>-2.5574120403702827E-7</v>
      </c>
      <c r="K66" s="3"/>
      <c r="L66" s="3">
        <f t="shared" si="6"/>
        <v>0.11</v>
      </c>
      <c r="M66" s="3"/>
      <c r="N66" s="20">
        <f t="shared" si="7"/>
        <v>-1</v>
      </c>
      <c r="O66" s="12"/>
      <c r="P66" s="3">
        <v>0</v>
      </c>
      <c r="Q66" s="3"/>
      <c r="R66" s="20">
        <f t="shared" si="8"/>
        <v>0</v>
      </c>
      <c r="S66" s="3"/>
      <c r="T66" s="3">
        <v>18748.07</v>
      </c>
      <c r="U66" s="3"/>
      <c r="V66" s="20">
        <f t="shared" si="9"/>
        <v>8.0911233863139361E-3</v>
      </c>
      <c r="W66" s="3"/>
      <c r="X66" s="3">
        <f t="shared" si="10"/>
        <v>-18748.07</v>
      </c>
      <c r="Y66" s="3"/>
      <c r="Z66" s="20">
        <f t="shared" si="11"/>
        <v>-1</v>
      </c>
    </row>
    <row r="67" spans="1:26" s="69" customFormat="1" ht="15" hidden="1" customHeight="1" outlineLevel="1" x14ac:dyDescent="0.25">
      <c r="A67" s="42"/>
      <c r="B67" s="12" t="str">
        <f>CONCATENATE("          ","5043"," - ","PURCHASES @ COST-CARDS")</f>
        <v xml:space="preserve">          5043 - PURCHASES @ COST-CARDS</v>
      </c>
      <c r="C67" s="12"/>
      <c r="D67" s="3"/>
      <c r="E67" s="3"/>
      <c r="F67" s="20">
        <f t="shared" si="4"/>
        <v>0</v>
      </c>
      <c r="G67" s="3"/>
      <c r="H67" s="3">
        <v>178</v>
      </c>
      <c r="I67" s="3"/>
      <c r="J67" s="20">
        <f t="shared" si="5"/>
        <v>4.1383576653264577E-4</v>
      </c>
      <c r="K67" s="3"/>
      <c r="L67" s="3">
        <f t="shared" si="6"/>
        <v>-178</v>
      </c>
      <c r="M67" s="3"/>
      <c r="N67" s="20">
        <f t="shared" si="7"/>
        <v>-1</v>
      </c>
      <c r="O67" s="12"/>
      <c r="P67" s="3">
        <v>0</v>
      </c>
      <c r="Q67" s="3"/>
      <c r="R67" s="20">
        <f t="shared" si="8"/>
        <v>0</v>
      </c>
      <c r="S67" s="3"/>
      <c r="T67" s="3">
        <v>55583.33</v>
      </c>
      <c r="U67" s="3"/>
      <c r="V67" s="20">
        <f t="shared" si="9"/>
        <v>2.3988153514052649E-2</v>
      </c>
      <c r="W67" s="3"/>
      <c r="X67" s="3">
        <f t="shared" si="10"/>
        <v>-55583.33</v>
      </c>
      <c r="Y67" s="3"/>
      <c r="Z67" s="20">
        <f t="shared" si="11"/>
        <v>-1</v>
      </c>
    </row>
    <row r="68" spans="1:26" s="69" customFormat="1" ht="15" hidden="1" customHeight="1" outlineLevel="1" x14ac:dyDescent="0.25">
      <c r="A68" s="42"/>
      <c r="B68" s="12" t="str">
        <f>CONCATENATE("          ","5044"," - ","PURCHASES @ COST-ACCESSORIES")</f>
        <v xml:space="preserve">          5044 - PURCHASES @ COST-ACCESSORIES</v>
      </c>
      <c r="C68" s="12"/>
      <c r="D68" s="3"/>
      <c r="E68" s="3"/>
      <c r="F68" s="20">
        <f t="shared" si="4"/>
        <v>0</v>
      </c>
      <c r="G68" s="3"/>
      <c r="H68" s="3"/>
      <c r="I68" s="3"/>
      <c r="J68" s="20">
        <f t="shared" si="5"/>
        <v>0</v>
      </c>
      <c r="K68" s="3"/>
      <c r="L68" s="3">
        <f t="shared" si="6"/>
        <v>0</v>
      </c>
      <c r="M68" s="3"/>
      <c r="N68" s="20">
        <f t="shared" si="7"/>
        <v>0</v>
      </c>
      <c r="O68" s="12"/>
      <c r="P68" s="3">
        <v>0</v>
      </c>
      <c r="Q68" s="3"/>
      <c r="R68" s="20">
        <f t="shared" si="8"/>
        <v>0</v>
      </c>
      <c r="S68" s="3"/>
      <c r="T68" s="3">
        <v>2555.71</v>
      </c>
      <c r="U68" s="3"/>
      <c r="V68" s="20">
        <f t="shared" si="9"/>
        <v>1.1029703297265473E-3</v>
      </c>
      <c r="W68" s="3"/>
      <c r="X68" s="3">
        <f t="shared" si="10"/>
        <v>-2555.71</v>
      </c>
      <c r="Y68" s="3"/>
      <c r="Z68" s="20">
        <f t="shared" si="11"/>
        <v>-1</v>
      </c>
    </row>
    <row r="69" spans="1:26" s="69" customFormat="1" ht="15" hidden="1" customHeight="1" outlineLevel="1" x14ac:dyDescent="0.25">
      <c r="A69" s="42"/>
      <c r="B69" s="12" t="str">
        <f>CONCATENATE("          ","5045"," - ","PURCHASES @ COST-SPECIAL ORDER")</f>
        <v xml:space="preserve">          5045 - PURCHASES @ COST-SPECIAL ORDER</v>
      </c>
      <c r="C69" s="12"/>
      <c r="D69" s="3"/>
      <c r="E69" s="3"/>
      <c r="F69" s="20">
        <f t="shared" si="4"/>
        <v>0</v>
      </c>
      <c r="G69" s="3"/>
      <c r="H69" s="3">
        <v>24141.17</v>
      </c>
      <c r="I69" s="3"/>
      <c r="J69" s="20">
        <f t="shared" si="5"/>
        <v>5.6126289842387142E-2</v>
      </c>
      <c r="K69" s="3"/>
      <c r="L69" s="3">
        <f t="shared" si="6"/>
        <v>-24141.17</v>
      </c>
      <c r="M69" s="3"/>
      <c r="N69" s="20">
        <f t="shared" si="7"/>
        <v>-1</v>
      </c>
      <c r="O69" s="12"/>
      <c r="P69" s="3">
        <v>0</v>
      </c>
      <c r="Q69" s="3"/>
      <c r="R69" s="20">
        <f t="shared" si="8"/>
        <v>0</v>
      </c>
      <c r="S69" s="3"/>
      <c r="T69" s="3">
        <v>139139.24</v>
      </c>
      <c r="U69" s="3"/>
      <c r="V69" s="20">
        <f t="shared" si="9"/>
        <v>6.0048461453256118E-2</v>
      </c>
      <c r="W69" s="3"/>
      <c r="X69" s="3">
        <f t="shared" si="10"/>
        <v>-139139.24</v>
      </c>
      <c r="Y69" s="3"/>
      <c r="Z69" s="20">
        <f t="shared" si="11"/>
        <v>-1</v>
      </c>
    </row>
    <row r="70" spans="1:26" s="69" customFormat="1" ht="15" hidden="1" customHeight="1" outlineLevel="1" x14ac:dyDescent="0.25">
      <c r="A70" s="42"/>
      <c r="B70" s="12" t="str">
        <f>CONCATENATE("          ","5086"," - ","PURCHASES @ COST-COMPUTER SUPP")</f>
        <v xml:space="preserve">          5086 - PURCHASES @ COST-COMPUTER SUPP</v>
      </c>
      <c r="C70" s="12"/>
      <c r="D70" s="3"/>
      <c r="E70" s="3"/>
      <c r="F70" s="20">
        <f t="shared" si="4"/>
        <v>0</v>
      </c>
      <c r="G70" s="3"/>
      <c r="H70" s="3"/>
      <c r="I70" s="3"/>
      <c r="J70" s="20">
        <f t="shared" si="5"/>
        <v>0</v>
      </c>
      <c r="K70" s="3"/>
      <c r="L70" s="3">
        <f t="shared" si="6"/>
        <v>0</v>
      </c>
      <c r="M70" s="3"/>
      <c r="N70" s="20">
        <f t="shared" si="7"/>
        <v>0</v>
      </c>
      <c r="O70" s="12"/>
      <c r="P70" s="3"/>
      <c r="Q70" s="3"/>
      <c r="R70" s="20">
        <f t="shared" si="8"/>
        <v>0</v>
      </c>
      <c r="S70" s="3"/>
      <c r="T70" s="3">
        <v>13.21</v>
      </c>
      <c r="U70" s="3"/>
      <c r="V70" s="20">
        <f t="shared" si="9"/>
        <v>5.7010529581555383E-6</v>
      </c>
      <c r="W70" s="3"/>
      <c r="X70" s="3">
        <f t="shared" si="10"/>
        <v>-13.21</v>
      </c>
      <c r="Y70" s="3"/>
      <c r="Z70" s="20">
        <f t="shared" si="11"/>
        <v>-1</v>
      </c>
    </row>
    <row r="71" spans="1:26" s="69" customFormat="1" ht="15" hidden="1" customHeight="1" outlineLevel="1" x14ac:dyDescent="0.25">
      <c r="A71" s="42"/>
      <c r="B71" s="12" t="str">
        <f>CONCATENATE("          ","5200"," - ","PURCHASES OFFSET")</f>
        <v xml:space="preserve">          5200 - PURCHASES OFFSET</v>
      </c>
      <c r="C71" s="12"/>
      <c r="D71" s="3">
        <v>-254377.2</v>
      </c>
      <c r="E71" s="3"/>
      <c r="F71" s="20">
        <f t="shared" si="4"/>
        <v>-0.32525559498397116</v>
      </c>
      <c r="G71" s="3"/>
      <c r="H71" s="3">
        <v>-98976.31</v>
      </c>
      <c r="I71" s="3"/>
      <c r="J71" s="20">
        <f t="shared" si="5"/>
        <v>-0.23011200627765602</v>
      </c>
      <c r="K71" s="3"/>
      <c r="L71" s="3">
        <f t="shared" si="6"/>
        <v>-155400.89000000001</v>
      </c>
      <c r="M71" s="3"/>
      <c r="N71" s="20">
        <f t="shared" si="7"/>
        <v>1.570081669037773</v>
      </c>
      <c r="O71" s="12"/>
      <c r="P71" s="3">
        <v>-2471760.67</v>
      </c>
      <c r="Q71" s="3"/>
      <c r="R71" s="20">
        <f t="shared" si="8"/>
        <v>-0.51283202792081417</v>
      </c>
      <c r="S71" s="3"/>
      <c r="T71" s="3">
        <v>-713602.14</v>
      </c>
      <c r="U71" s="3"/>
      <c r="V71" s="20">
        <f t="shared" si="9"/>
        <v>-0.30796999176329465</v>
      </c>
      <c r="W71" s="3"/>
      <c r="X71" s="3">
        <f t="shared" si="10"/>
        <v>-1758158.5299999998</v>
      </c>
      <c r="Y71" s="3"/>
      <c r="Z71" s="20">
        <f t="shared" si="11"/>
        <v>2.4637797891133002</v>
      </c>
    </row>
    <row r="72" spans="1:26" s="69" customFormat="1" ht="15" hidden="1" customHeight="1" outlineLevel="1" x14ac:dyDescent="0.25">
      <c r="A72" s="42"/>
      <c r="B72" s="12" t="str">
        <f>CONCATENATE("          ","5300"," - ","COG$ OFFSET")</f>
        <v xml:space="preserve">          5300 - COG$ OFFSET</v>
      </c>
      <c r="C72" s="12"/>
      <c r="D72" s="3">
        <v>342424.29</v>
      </c>
      <c r="E72" s="3"/>
      <c r="F72" s="20">
        <f t="shared" si="4"/>
        <v>0.43783568724285776</v>
      </c>
      <c r="G72" s="3"/>
      <c r="H72" s="3">
        <v>195650</v>
      </c>
      <c r="I72" s="3"/>
      <c r="J72" s="20">
        <f t="shared" si="5"/>
        <v>0.45487060518040529</v>
      </c>
      <c r="K72" s="3"/>
      <c r="L72" s="3">
        <f t="shared" si="6"/>
        <v>146774.28999999998</v>
      </c>
      <c r="M72" s="3"/>
      <c r="N72" s="20">
        <f t="shared" si="7"/>
        <v>0.75018803986710958</v>
      </c>
      <c r="O72" s="12"/>
      <c r="P72" s="3">
        <v>2237680.06</v>
      </c>
      <c r="Q72" s="3"/>
      <c r="R72" s="20">
        <f t="shared" si="8"/>
        <v>0.46426582352237572</v>
      </c>
      <c r="S72" s="3"/>
      <c r="T72" s="3">
        <v>1220579</v>
      </c>
      <c r="U72" s="3"/>
      <c r="V72" s="20">
        <f t="shared" si="9"/>
        <v>0.52676650405848058</v>
      </c>
      <c r="W72" s="3"/>
      <c r="X72" s="3">
        <f t="shared" si="10"/>
        <v>1017101.06</v>
      </c>
      <c r="Y72" s="3"/>
      <c r="Z72" s="20">
        <f t="shared" si="11"/>
        <v>0.83329392034436123</v>
      </c>
    </row>
    <row r="73" spans="1:26" s="69" customFormat="1" ht="15" hidden="1" customHeight="1" outlineLevel="1" x14ac:dyDescent="0.25">
      <c r="A73" s="42"/>
      <c r="B73" s="12" t="str">
        <f>CONCATENATE("          ","5500"," - ","FREIGHT-IN")</f>
        <v xml:space="preserve">          5500 - FREIGHT-IN</v>
      </c>
      <c r="C73" s="12"/>
      <c r="D73" s="3">
        <v>9827.19</v>
      </c>
      <c r="E73" s="3"/>
      <c r="F73" s="20">
        <f t="shared" si="4"/>
        <v>1.2565389234847036E-2</v>
      </c>
      <c r="G73" s="3"/>
      <c r="H73" s="3">
        <v>0</v>
      </c>
      <c r="I73" s="3"/>
      <c r="J73" s="20">
        <f t="shared" si="5"/>
        <v>0</v>
      </c>
      <c r="K73" s="3"/>
      <c r="L73" s="3">
        <f t="shared" si="6"/>
        <v>9827.19</v>
      </c>
      <c r="M73" s="3"/>
      <c r="N73" s="20">
        <f t="shared" si="7"/>
        <v>0</v>
      </c>
      <c r="O73" s="12"/>
      <c r="P73" s="3">
        <v>112671.77</v>
      </c>
      <c r="Q73" s="3"/>
      <c r="R73" s="20">
        <f t="shared" si="8"/>
        <v>2.3376734244471797E-2</v>
      </c>
      <c r="S73" s="3"/>
      <c r="T73" s="3">
        <v>0</v>
      </c>
      <c r="U73" s="3"/>
      <c r="V73" s="20">
        <f t="shared" si="9"/>
        <v>0</v>
      </c>
      <c r="W73" s="3"/>
      <c r="X73" s="3">
        <f t="shared" si="10"/>
        <v>112671.77</v>
      </c>
      <c r="Y73" s="3"/>
      <c r="Z73" s="20">
        <f t="shared" si="11"/>
        <v>0</v>
      </c>
    </row>
    <row r="74" spans="1:26" s="69" customFormat="1" ht="15" hidden="1" customHeight="1" outlineLevel="1" x14ac:dyDescent="0.25">
      <c r="A74" s="42"/>
      <c r="B74" s="12" t="str">
        <f>CONCATENATE("          ","5525"," - ","FREIGHT-IN-TEST FORMS")</f>
        <v xml:space="preserve">          5525 - FREIGHT-IN-TEST FORMS</v>
      </c>
      <c r="C74" s="12"/>
      <c r="D74" s="3"/>
      <c r="E74" s="3"/>
      <c r="F74" s="20">
        <f t="shared" si="4"/>
        <v>0</v>
      </c>
      <c r="G74" s="3"/>
      <c r="H74" s="3"/>
      <c r="I74" s="3"/>
      <c r="J74" s="20">
        <f t="shared" si="5"/>
        <v>0</v>
      </c>
      <c r="K74" s="3"/>
      <c r="L74" s="3">
        <f t="shared" si="6"/>
        <v>0</v>
      </c>
      <c r="M74" s="3"/>
      <c r="N74" s="20">
        <f t="shared" si="7"/>
        <v>0</v>
      </c>
      <c r="O74" s="12"/>
      <c r="P74" s="3"/>
      <c r="Q74" s="3"/>
      <c r="R74" s="20">
        <f t="shared" si="8"/>
        <v>0</v>
      </c>
      <c r="S74" s="3"/>
      <c r="T74" s="3">
        <v>48.14</v>
      </c>
      <c r="U74" s="3"/>
      <c r="V74" s="20">
        <f t="shared" si="9"/>
        <v>2.0775828115488841E-5</v>
      </c>
      <c r="W74" s="3"/>
      <c r="X74" s="3">
        <f t="shared" si="10"/>
        <v>-48.14</v>
      </c>
      <c r="Y74" s="3"/>
      <c r="Z74" s="20">
        <f t="shared" si="11"/>
        <v>-1</v>
      </c>
    </row>
    <row r="75" spans="1:26" s="69" customFormat="1" ht="15" hidden="1" customHeight="1" outlineLevel="1" x14ac:dyDescent="0.25">
      <c r="A75" s="42"/>
      <c r="B75" s="12" t="str">
        <f>CONCATENATE("          ","5526"," - ","FREIGHT-IN-WRITING INSTRUMENTS")</f>
        <v xml:space="preserve">          5526 - FREIGHT-IN-WRITING INSTRUMENTS</v>
      </c>
      <c r="C75" s="12"/>
      <c r="D75" s="3"/>
      <c r="E75" s="3"/>
      <c r="F75" s="20">
        <f t="shared" si="4"/>
        <v>0</v>
      </c>
      <c r="G75" s="3"/>
      <c r="H75" s="3"/>
      <c r="I75" s="3"/>
      <c r="J75" s="20">
        <f t="shared" si="5"/>
        <v>0</v>
      </c>
      <c r="K75" s="3"/>
      <c r="L75" s="3">
        <f t="shared" si="6"/>
        <v>0</v>
      </c>
      <c r="M75" s="3"/>
      <c r="N75" s="20">
        <f t="shared" si="7"/>
        <v>0</v>
      </c>
      <c r="O75" s="12"/>
      <c r="P75" s="3"/>
      <c r="Q75" s="3"/>
      <c r="R75" s="20">
        <f t="shared" si="8"/>
        <v>0</v>
      </c>
      <c r="S75" s="3"/>
      <c r="T75" s="3">
        <v>0</v>
      </c>
      <c r="U75" s="3"/>
      <c r="V75" s="20">
        <f t="shared" si="9"/>
        <v>0</v>
      </c>
      <c r="W75" s="3"/>
      <c r="X75" s="3">
        <f t="shared" si="10"/>
        <v>0</v>
      </c>
      <c r="Y75" s="3"/>
      <c r="Z75" s="20">
        <f t="shared" si="11"/>
        <v>0</v>
      </c>
    </row>
    <row r="76" spans="1:26" s="69" customFormat="1" ht="15" hidden="1" customHeight="1" outlineLevel="1" x14ac:dyDescent="0.25">
      <c r="A76" s="42"/>
      <c r="B76" s="12" t="str">
        <f>CONCATENATE("          ","5527"," - ","FREIGHT-IN-SCHOOL SUPPLIES")</f>
        <v xml:space="preserve">          5527 - FREIGHT-IN-SCHOOL SUPPLIES</v>
      </c>
      <c r="C76" s="12"/>
      <c r="D76" s="3"/>
      <c r="E76" s="3"/>
      <c r="F76" s="20">
        <f t="shared" si="4"/>
        <v>0</v>
      </c>
      <c r="G76" s="3"/>
      <c r="H76" s="3"/>
      <c r="I76" s="3"/>
      <c r="J76" s="20">
        <f t="shared" si="5"/>
        <v>0</v>
      </c>
      <c r="K76" s="3"/>
      <c r="L76" s="3">
        <f t="shared" si="6"/>
        <v>0</v>
      </c>
      <c r="M76" s="3"/>
      <c r="N76" s="20">
        <f t="shared" si="7"/>
        <v>0</v>
      </c>
      <c r="O76" s="12"/>
      <c r="P76" s="3">
        <v>0</v>
      </c>
      <c r="Q76" s="3"/>
      <c r="R76" s="20">
        <f t="shared" si="8"/>
        <v>0</v>
      </c>
      <c r="S76" s="3"/>
      <c r="T76" s="3">
        <v>218.62</v>
      </c>
      <c r="U76" s="3"/>
      <c r="V76" s="20">
        <f t="shared" si="9"/>
        <v>9.4350052816954115E-5</v>
      </c>
      <c r="W76" s="3"/>
      <c r="X76" s="3">
        <f t="shared" si="10"/>
        <v>-218.62</v>
      </c>
      <c r="Y76" s="3"/>
      <c r="Z76" s="20">
        <f t="shared" si="11"/>
        <v>-1</v>
      </c>
    </row>
    <row r="77" spans="1:26" s="69" customFormat="1" ht="15" hidden="1" customHeight="1" outlineLevel="1" x14ac:dyDescent="0.25">
      <c r="A77" s="42"/>
      <c r="B77" s="12" t="str">
        <f>CONCATENATE("          ","5528"," - ","FREIGHT-IN-ART/TECH")</f>
        <v xml:space="preserve">          5528 - FREIGHT-IN-ART/TECH</v>
      </c>
      <c r="C77" s="12"/>
      <c r="D77" s="3"/>
      <c r="E77" s="3"/>
      <c r="F77" s="20">
        <f t="shared" si="4"/>
        <v>0</v>
      </c>
      <c r="G77" s="3"/>
      <c r="H77" s="3"/>
      <c r="I77" s="3"/>
      <c r="J77" s="20">
        <f t="shared" si="5"/>
        <v>0</v>
      </c>
      <c r="K77" s="3"/>
      <c r="L77" s="3">
        <f t="shared" si="6"/>
        <v>0</v>
      </c>
      <c r="M77" s="3"/>
      <c r="N77" s="20">
        <f t="shared" si="7"/>
        <v>0</v>
      </c>
      <c r="O77" s="12"/>
      <c r="P77" s="3"/>
      <c r="Q77" s="3"/>
      <c r="R77" s="20">
        <f t="shared" si="8"/>
        <v>0</v>
      </c>
      <c r="S77" s="3"/>
      <c r="T77" s="3">
        <v>176.91</v>
      </c>
      <c r="U77" s="3"/>
      <c r="V77" s="20">
        <f t="shared" si="9"/>
        <v>7.6349226254905094E-5</v>
      </c>
      <c r="W77" s="3"/>
      <c r="X77" s="3">
        <f t="shared" si="10"/>
        <v>-176.91</v>
      </c>
      <c r="Y77" s="3"/>
      <c r="Z77" s="20">
        <f t="shared" si="11"/>
        <v>-1</v>
      </c>
    </row>
    <row r="78" spans="1:26" s="69" customFormat="1" ht="15" hidden="1" customHeight="1" outlineLevel="1" x14ac:dyDescent="0.25">
      <c r="A78" s="42"/>
      <c r="B78" s="12" t="str">
        <f>CONCATENATE("          ","5540"," - ","FREIGHT-IN-LOGO CLOTHING")</f>
        <v xml:space="preserve">          5540 - FREIGHT-IN-LOGO CLOTHING</v>
      </c>
      <c r="C78" s="12"/>
      <c r="D78" s="3"/>
      <c r="E78" s="3"/>
      <c r="F78" s="20">
        <f t="shared" si="4"/>
        <v>0</v>
      </c>
      <c r="G78" s="3"/>
      <c r="H78" s="3">
        <v>1283.68</v>
      </c>
      <c r="I78" s="3"/>
      <c r="J78" s="20">
        <f t="shared" si="5"/>
        <v>2.9844533527113863E-3</v>
      </c>
      <c r="K78" s="3"/>
      <c r="L78" s="3">
        <f t="shared" si="6"/>
        <v>-1283.68</v>
      </c>
      <c r="M78" s="3"/>
      <c r="N78" s="20">
        <f t="shared" si="7"/>
        <v>-1</v>
      </c>
      <c r="O78" s="12"/>
      <c r="P78" s="3">
        <v>0</v>
      </c>
      <c r="Q78" s="3"/>
      <c r="R78" s="20">
        <f t="shared" si="8"/>
        <v>0</v>
      </c>
      <c r="S78" s="3"/>
      <c r="T78" s="3">
        <v>10499.7</v>
      </c>
      <c r="U78" s="3"/>
      <c r="V78" s="20">
        <f t="shared" si="9"/>
        <v>4.5313660669754514E-3</v>
      </c>
      <c r="W78" s="3"/>
      <c r="X78" s="3">
        <f t="shared" si="10"/>
        <v>-10499.7</v>
      </c>
      <c r="Y78" s="3"/>
      <c r="Z78" s="20">
        <f t="shared" si="11"/>
        <v>-1</v>
      </c>
    </row>
    <row r="79" spans="1:26" s="69" customFormat="1" ht="15" hidden="1" customHeight="1" outlineLevel="1" x14ac:dyDescent="0.25">
      <c r="A79" s="42"/>
      <c r="B79" s="12" t="str">
        <f>CONCATENATE("          ","5541"," - ","FREIGHT-IN-LOGO GIFTS")</f>
        <v xml:space="preserve">          5541 - FREIGHT-IN-LOGO GIFTS</v>
      </c>
      <c r="C79" s="12"/>
      <c r="D79" s="3"/>
      <c r="E79" s="3"/>
      <c r="F79" s="20">
        <f t="shared" si="4"/>
        <v>0</v>
      </c>
      <c r="G79" s="3"/>
      <c r="H79" s="3">
        <v>961.21</v>
      </c>
      <c r="I79" s="3"/>
      <c r="J79" s="20">
        <f t="shared" si="5"/>
        <v>2.2347363884766542E-3</v>
      </c>
      <c r="K79" s="3"/>
      <c r="L79" s="3">
        <f t="shared" si="6"/>
        <v>-961.21</v>
      </c>
      <c r="M79" s="3"/>
      <c r="N79" s="20">
        <f t="shared" si="7"/>
        <v>-1</v>
      </c>
      <c r="O79" s="12"/>
      <c r="P79" s="3">
        <v>0</v>
      </c>
      <c r="Q79" s="3"/>
      <c r="R79" s="20">
        <f t="shared" si="8"/>
        <v>0</v>
      </c>
      <c r="S79" s="3"/>
      <c r="T79" s="3">
        <v>5977.2</v>
      </c>
      <c r="U79" s="3"/>
      <c r="V79" s="20">
        <f t="shared" si="9"/>
        <v>2.5795862029891962E-3</v>
      </c>
      <c r="W79" s="3"/>
      <c r="X79" s="3">
        <f t="shared" si="10"/>
        <v>-5977.2</v>
      </c>
      <c r="Y79" s="3"/>
      <c r="Z79" s="20">
        <f t="shared" si="11"/>
        <v>-1</v>
      </c>
    </row>
    <row r="80" spans="1:26" s="69" customFormat="1" ht="15" hidden="1" customHeight="1" outlineLevel="1" x14ac:dyDescent="0.25">
      <c r="A80" s="42"/>
      <c r="B80" s="12" t="str">
        <f>CONCATENATE("          ","5542"," - ","FREIGHT-IN-EVERYDAY GIFTS")</f>
        <v xml:space="preserve">          5542 - FREIGHT-IN-EVERYDAY GIFTS</v>
      </c>
      <c r="C80" s="12"/>
      <c r="D80" s="3"/>
      <c r="E80" s="3"/>
      <c r="F80" s="20">
        <f t="shared" si="4"/>
        <v>0</v>
      </c>
      <c r="G80" s="3"/>
      <c r="H80" s="3"/>
      <c r="I80" s="3"/>
      <c r="J80" s="20">
        <f t="shared" si="5"/>
        <v>0</v>
      </c>
      <c r="K80" s="3"/>
      <c r="L80" s="3">
        <f t="shared" si="6"/>
        <v>0</v>
      </c>
      <c r="M80" s="3"/>
      <c r="N80" s="20">
        <f t="shared" si="7"/>
        <v>0</v>
      </c>
      <c r="O80" s="12"/>
      <c r="P80" s="3">
        <v>0</v>
      </c>
      <c r="Q80" s="3"/>
      <c r="R80" s="20">
        <f t="shared" si="8"/>
        <v>0</v>
      </c>
      <c r="S80" s="3"/>
      <c r="T80" s="3">
        <v>681.72</v>
      </c>
      <c r="U80" s="3"/>
      <c r="V80" s="20">
        <f t="shared" si="9"/>
        <v>2.9421058460513198E-4</v>
      </c>
      <c r="W80" s="3"/>
      <c r="X80" s="3">
        <f t="shared" si="10"/>
        <v>-681.72</v>
      </c>
      <c r="Y80" s="3"/>
      <c r="Z80" s="20">
        <f t="shared" si="11"/>
        <v>-1</v>
      </c>
    </row>
    <row r="81" spans="1:26" s="69" customFormat="1" ht="15" hidden="1" customHeight="1" outlineLevel="1" x14ac:dyDescent="0.25">
      <c r="A81" s="42"/>
      <c r="B81" s="12" t="str">
        <f>CONCATENATE("          ","5543"," - ","FREIGHT-IN-CARDS")</f>
        <v xml:space="preserve">          5543 - FREIGHT-IN-CARDS</v>
      </c>
      <c r="C81" s="12"/>
      <c r="D81" s="3"/>
      <c r="E81" s="3"/>
      <c r="F81" s="20">
        <f t="shared" si="4"/>
        <v>0</v>
      </c>
      <c r="G81" s="3"/>
      <c r="H81" s="3"/>
      <c r="I81" s="3"/>
      <c r="J81" s="20">
        <f t="shared" si="5"/>
        <v>0</v>
      </c>
      <c r="K81" s="3"/>
      <c r="L81" s="3">
        <f t="shared" si="6"/>
        <v>0</v>
      </c>
      <c r="M81" s="3"/>
      <c r="N81" s="20">
        <f t="shared" si="7"/>
        <v>0</v>
      </c>
      <c r="O81" s="12"/>
      <c r="P81" s="3"/>
      <c r="Q81" s="3"/>
      <c r="R81" s="20">
        <f t="shared" si="8"/>
        <v>0</v>
      </c>
      <c r="S81" s="3"/>
      <c r="T81" s="3">
        <v>9110.5300000000007</v>
      </c>
      <c r="U81" s="3"/>
      <c r="V81" s="20">
        <f t="shared" si="9"/>
        <v>3.9318405758413917E-3</v>
      </c>
      <c r="W81" s="3"/>
      <c r="X81" s="3">
        <f t="shared" si="10"/>
        <v>-9110.5300000000007</v>
      </c>
      <c r="Y81" s="3"/>
      <c r="Z81" s="20">
        <f t="shared" si="11"/>
        <v>-1</v>
      </c>
    </row>
    <row r="82" spans="1:26" s="69" customFormat="1" ht="15" hidden="1" customHeight="1" outlineLevel="1" x14ac:dyDescent="0.25">
      <c r="A82" s="42"/>
      <c r="B82" s="12" t="str">
        <f>CONCATENATE("          ","5544"," - ","FREIGHT-IN-ACCESSORIES")</f>
        <v xml:space="preserve">          5544 - FREIGHT-IN-ACCESSORIES</v>
      </c>
      <c r="C82" s="12"/>
      <c r="D82" s="3"/>
      <c r="E82" s="3"/>
      <c r="F82" s="20">
        <f t="shared" si="4"/>
        <v>0</v>
      </c>
      <c r="G82" s="3"/>
      <c r="H82" s="3"/>
      <c r="I82" s="3"/>
      <c r="J82" s="20">
        <f t="shared" si="5"/>
        <v>0</v>
      </c>
      <c r="K82" s="3"/>
      <c r="L82" s="3">
        <f t="shared" si="6"/>
        <v>0</v>
      </c>
      <c r="M82" s="3"/>
      <c r="N82" s="20">
        <f t="shared" si="7"/>
        <v>0</v>
      </c>
      <c r="O82" s="12"/>
      <c r="P82" s="3">
        <v>0</v>
      </c>
      <c r="Q82" s="3"/>
      <c r="R82" s="20">
        <f t="shared" si="8"/>
        <v>0</v>
      </c>
      <c r="S82" s="3"/>
      <c r="T82" s="3"/>
      <c r="U82" s="3"/>
      <c r="V82" s="20">
        <f t="shared" si="9"/>
        <v>0</v>
      </c>
      <c r="W82" s="3"/>
      <c r="X82" s="3">
        <f t="shared" si="10"/>
        <v>0</v>
      </c>
      <c r="Y82" s="3"/>
      <c r="Z82" s="20">
        <f t="shared" si="11"/>
        <v>0</v>
      </c>
    </row>
    <row r="83" spans="1:26" s="69" customFormat="1" ht="15" hidden="1" customHeight="1" outlineLevel="1" x14ac:dyDescent="0.25">
      <c r="A83" s="42"/>
      <c r="B83" s="12" t="str">
        <f>CONCATENATE("          ","5545"," - ","FREIGHT-IN-SPECIAL ORDERS")</f>
        <v xml:space="preserve">          5545 - FREIGHT-IN-SPECIAL ORDERS</v>
      </c>
      <c r="C83" s="12"/>
      <c r="D83" s="3"/>
      <c r="E83" s="3"/>
      <c r="F83" s="20">
        <f t="shared" si="4"/>
        <v>0</v>
      </c>
      <c r="G83" s="3"/>
      <c r="H83" s="3">
        <v>1033.9000000000001</v>
      </c>
      <c r="I83" s="3"/>
      <c r="J83" s="20">
        <f t="shared" si="5"/>
        <v>2.403734825944396E-3</v>
      </c>
      <c r="K83" s="3"/>
      <c r="L83" s="3">
        <f t="shared" si="6"/>
        <v>-1033.9000000000001</v>
      </c>
      <c r="M83" s="3"/>
      <c r="N83" s="20">
        <f t="shared" si="7"/>
        <v>-1</v>
      </c>
      <c r="O83" s="12"/>
      <c r="P83" s="3">
        <v>0</v>
      </c>
      <c r="Q83" s="3"/>
      <c r="R83" s="20">
        <f t="shared" si="8"/>
        <v>0</v>
      </c>
      <c r="S83" s="3"/>
      <c r="T83" s="3">
        <v>2468.66</v>
      </c>
      <c r="U83" s="3"/>
      <c r="V83" s="20">
        <f t="shared" si="9"/>
        <v>1.0654020738592165E-3</v>
      </c>
      <c r="W83" s="3"/>
      <c r="X83" s="3">
        <f t="shared" si="10"/>
        <v>-2468.66</v>
      </c>
      <c r="Y83" s="3"/>
      <c r="Z83" s="20">
        <f t="shared" si="11"/>
        <v>-1</v>
      </c>
    </row>
    <row r="84" spans="1:26" ht="15" customHeight="1" x14ac:dyDescent="0.25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25">
      <c r="A85" s="11"/>
      <c r="B85" s="27" t="s">
        <v>288</v>
      </c>
      <c r="C85" s="27"/>
      <c r="D85" s="22">
        <f>D12-D57</f>
        <v>439659.71999999991</v>
      </c>
      <c r="E85" s="15"/>
      <c r="F85" s="23">
        <f>IF(D$12=0,0,D85/D$12)</f>
        <v>0.56216431275714229</v>
      </c>
      <c r="G85" s="15"/>
      <c r="H85" s="22">
        <f>H12-H57</f>
        <v>234472.32000000012</v>
      </c>
      <c r="I85" s="15"/>
      <c r="J85" s="23">
        <f>IF(H$12=0,0,H85/H$12)</f>
        <v>0.54512939481959466</v>
      </c>
      <c r="K85" s="16"/>
      <c r="L85" s="22">
        <f>+D85-H85</f>
        <v>205187.39999999979</v>
      </c>
      <c r="M85" s="16"/>
      <c r="N85" s="23">
        <f>IF(H85=0,0,L85/H85)</f>
        <v>0.8751028692853795</v>
      </c>
      <c r="O85" s="28"/>
      <c r="P85" s="22">
        <f>P12-P57</f>
        <v>2585145.0199999991</v>
      </c>
      <c r="Q85" s="15"/>
      <c r="R85" s="23">
        <f>IF(P$12=0,0,P85/P$12)</f>
        <v>0.5363566057048692</v>
      </c>
      <c r="S85" s="15"/>
      <c r="T85" s="22">
        <f>T12-T57</f>
        <v>1095620.280000001</v>
      </c>
      <c r="U85" s="15"/>
      <c r="V85" s="23">
        <f>IF(T$12=0,0,T85/T$12)</f>
        <v>0.47283794385383837</v>
      </c>
      <c r="W85" s="16"/>
      <c r="X85" s="22">
        <f>+P85-T85</f>
        <v>1489524.7399999981</v>
      </c>
      <c r="Y85" s="16"/>
      <c r="Z85" s="23">
        <f>IF(T85=0,0,X85/T85)</f>
        <v>1.3595264410403181</v>
      </c>
    </row>
    <row r="86" spans="1:26" ht="15" customHeight="1" x14ac:dyDescent="0.25">
      <c r="A86" s="10"/>
      <c r="B86" s="11"/>
      <c r="C86" s="10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2" customFormat="1" ht="15" customHeight="1" x14ac:dyDescent="0.25">
      <c r="A87" s="11"/>
      <c r="B87" s="28" t="s">
        <v>289</v>
      </c>
      <c r="C87" s="11"/>
      <c r="D87" s="21" cm="1">
        <f t="array" ref="D87">SUM(OSRRefD22x_0)</f>
        <v>108772.76999999999</v>
      </c>
      <c r="E87" s="21"/>
      <c r="F87" s="31">
        <f t="shared" ref="F87:F118" si="12">IF(D$12=0,0,D87/D$12)</f>
        <v>0.13908067242034522</v>
      </c>
      <c r="G87" s="21"/>
      <c r="H87" s="21" cm="1">
        <f t="array" ref="H87">SUM(OSRRefH22x_0)</f>
        <v>64886.429999999993</v>
      </c>
      <c r="I87" s="21"/>
      <c r="J87" s="31">
        <f t="shared" ref="J87:J118" si="13">IF(H$12=0,0,H87/H$12)</f>
        <v>0.15085576121694866</v>
      </c>
      <c r="K87" s="5"/>
      <c r="L87" s="21">
        <f t="shared" ref="L87:L118" si="14">+D87-H87</f>
        <v>43886.34</v>
      </c>
      <c r="M87" s="5"/>
      <c r="N87" s="31">
        <f t="shared" ref="N87:N118" si="15">IF(H87=0,0,L87/H87)</f>
        <v>0.67635621192289364</v>
      </c>
      <c r="O87" s="11"/>
      <c r="P87" s="21" cm="1">
        <f t="array" ref="P87">SUM(OSRRefP22x_0)</f>
        <v>1148771.02</v>
      </c>
      <c r="Q87" s="21"/>
      <c r="R87" s="31">
        <f t="shared" ref="R87:R118" si="16">IF(P$12=0,0,P87/P$12)</f>
        <v>0.23834288608664617</v>
      </c>
      <c r="S87" s="21"/>
      <c r="T87" s="21" cm="1">
        <f t="array" ref="T87">SUM(OSRRefT22x_0)</f>
        <v>754473.89000000036</v>
      </c>
      <c r="U87" s="21"/>
      <c r="V87" s="31">
        <f t="shared" ref="V87:V118" si="17">IF(T$12=0,0,T87/T$12)</f>
        <v>0.32560905393153811</v>
      </c>
      <c r="W87" s="5"/>
      <c r="X87" s="21">
        <f t="shared" ref="X87:X118" si="18">+P87-T87</f>
        <v>394297.12999999966</v>
      </c>
      <c r="Y87" s="5"/>
      <c r="Z87" s="31">
        <f t="shared" ref="Z87:Z118" si="19">IF(T87=0,0,X87/T87)</f>
        <v>0.52261202836323395</v>
      </c>
    </row>
    <row r="88" spans="1:26" s="68" customFormat="1" ht="15" customHeight="1" outlineLevel="1" collapsed="1" x14ac:dyDescent="0.25">
      <c r="A88" s="26"/>
      <c r="B88" s="14" t="str">
        <f>CONCATENATE("     ","*Benefits                                         ")</f>
        <v xml:space="preserve">     *Benefits                                         </v>
      </c>
      <c r="C88" s="14"/>
      <c r="D88" s="2">
        <f>SUM(OSRRefD22_0x_0)</f>
        <v>13509.35</v>
      </c>
      <c r="E88" s="2"/>
      <c r="F88" s="6">
        <f t="shared" si="12"/>
        <v>1.7273527942349827E-2</v>
      </c>
      <c r="G88" s="2"/>
      <c r="H88" s="2">
        <f>SUM(OSRRefH22_0x_0)</f>
        <v>13954.170000000002</v>
      </c>
      <c r="I88" s="2"/>
      <c r="J88" s="6">
        <f t="shared" si="13"/>
        <v>3.2442329428521634E-2</v>
      </c>
      <c r="K88" s="2"/>
      <c r="L88" s="2">
        <f t="shared" si="14"/>
        <v>-444.82000000000153</v>
      </c>
      <c r="M88" s="2"/>
      <c r="N88" s="6">
        <f t="shared" si="15"/>
        <v>-3.1877209464984409E-2</v>
      </c>
      <c r="O88" s="14"/>
      <c r="P88" s="2">
        <f>SUM(OSRRefP22_0x_0)</f>
        <v>159631.48999999996</v>
      </c>
      <c r="Q88" s="2"/>
      <c r="R88" s="6">
        <f t="shared" si="16"/>
        <v>3.3119768321550787E-2</v>
      </c>
      <c r="S88" s="2"/>
      <c r="T88" s="2">
        <f>SUM(OSRRefT22_0x_0)</f>
        <v>163642.91</v>
      </c>
      <c r="U88" s="2"/>
      <c r="V88" s="6">
        <f t="shared" si="17"/>
        <v>7.0623534908151445E-2</v>
      </c>
      <c r="W88" s="2"/>
      <c r="X88" s="2">
        <f t="shared" si="18"/>
        <v>-4011.4200000000419</v>
      </c>
      <c r="Y88" s="2"/>
      <c r="Z88" s="6">
        <f t="shared" si="19"/>
        <v>-2.4513252667042171E-2</v>
      </c>
    </row>
    <row r="89" spans="1:26" s="69" customFormat="1" ht="15" hidden="1" customHeight="1" outlineLevel="2" x14ac:dyDescent="0.25">
      <c r="A89" s="25"/>
      <c r="B89" s="12" t="str">
        <f>CONCATENATE("          ","6111"," - ","F.I.C.A.")</f>
        <v xml:space="preserve">          6111 - F.I.C.A.</v>
      </c>
      <c r="C89" s="12"/>
      <c r="D89" s="7">
        <v>3505.36</v>
      </c>
      <c r="E89" s="3"/>
      <c r="F89" s="8">
        <f t="shared" si="12"/>
        <v>4.4820760368186026E-3</v>
      </c>
      <c r="G89" s="3"/>
      <c r="H89" s="7">
        <v>2716.71</v>
      </c>
      <c r="I89" s="3"/>
      <c r="J89" s="8">
        <f t="shared" si="13"/>
        <v>6.3161335129039552E-3</v>
      </c>
      <c r="K89" s="3"/>
      <c r="L89" s="7">
        <f t="shared" si="14"/>
        <v>788.65000000000009</v>
      </c>
      <c r="M89" s="3"/>
      <c r="N89" s="8">
        <f t="shared" si="15"/>
        <v>0.29029598300886</v>
      </c>
      <c r="O89" s="12"/>
      <c r="P89" s="7">
        <v>30338.66</v>
      </c>
      <c r="Q89" s="3"/>
      <c r="R89" s="8">
        <f t="shared" si="16"/>
        <v>6.2945562331486113E-3</v>
      </c>
      <c r="S89" s="3"/>
      <c r="T89" s="7">
        <v>32585.360000000001</v>
      </c>
      <c r="U89" s="3"/>
      <c r="V89" s="8">
        <f t="shared" si="17"/>
        <v>1.4062896519346189E-2</v>
      </c>
      <c r="W89" s="3"/>
      <c r="X89" s="7">
        <f t="shared" si="18"/>
        <v>-2246.7000000000007</v>
      </c>
      <c r="Y89" s="3"/>
      <c r="Z89" s="8">
        <f t="shared" si="19"/>
        <v>-6.8948141128408608E-2</v>
      </c>
    </row>
    <row r="90" spans="1:26" s="69" customFormat="1" ht="15" hidden="1" customHeight="1" outlineLevel="2" x14ac:dyDescent="0.25">
      <c r="A90" s="25"/>
      <c r="B90" s="12" t="str">
        <f>CONCATENATE("          ","6112"," - ","COMPENSATION INSURANCE")</f>
        <v xml:space="preserve">          6112 - COMPENSATION INSURANCE</v>
      </c>
      <c r="C90" s="12"/>
      <c r="D90" s="7">
        <v>1579.61</v>
      </c>
      <c r="E90" s="3"/>
      <c r="F90" s="8">
        <f t="shared" si="12"/>
        <v>2.0197446563317411E-3</v>
      </c>
      <c r="G90" s="3"/>
      <c r="H90" s="7">
        <v>1119.1099999999999</v>
      </c>
      <c r="I90" s="3"/>
      <c r="J90" s="8">
        <f t="shared" si="13"/>
        <v>2.6018412622716243E-3</v>
      </c>
      <c r="K90" s="3"/>
      <c r="L90" s="7">
        <f t="shared" si="14"/>
        <v>460.5</v>
      </c>
      <c r="M90" s="3"/>
      <c r="N90" s="8">
        <f t="shared" si="15"/>
        <v>0.41148770004735907</v>
      </c>
      <c r="O90" s="12"/>
      <c r="P90" s="7">
        <v>11196.09</v>
      </c>
      <c r="Q90" s="3"/>
      <c r="R90" s="8">
        <f t="shared" si="16"/>
        <v>2.3229245489547936E-3</v>
      </c>
      <c r="S90" s="3"/>
      <c r="T90" s="7">
        <v>11045.23</v>
      </c>
      <c r="U90" s="3"/>
      <c r="V90" s="8">
        <f t="shared" si="17"/>
        <v>4.7668009965941179E-3</v>
      </c>
      <c r="W90" s="3"/>
      <c r="X90" s="7">
        <f t="shared" si="18"/>
        <v>150.86000000000058</v>
      </c>
      <c r="Y90" s="3"/>
      <c r="Z90" s="8">
        <f t="shared" si="19"/>
        <v>1.3658384660165572E-2</v>
      </c>
    </row>
    <row r="91" spans="1:26" s="69" customFormat="1" ht="15" hidden="1" customHeight="1" outlineLevel="2" x14ac:dyDescent="0.25">
      <c r="A91" s="25"/>
      <c r="B91" s="12" t="str">
        <f>CONCATENATE("          ","6113"," - ","GROUP INSURANCE")</f>
        <v xml:space="preserve">          6113 - GROUP INSURANCE</v>
      </c>
      <c r="C91" s="12"/>
      <c r="D91" s="7">
        <v>3834.79</v>
      </c>
      <c r="E91" s="3"/>
      <c r="F91" s="8">
        <f t="shared" si="12"/>
        <v>4.9032967698700303E-3</v>
      </c>
      <c r="G91" s="3"/>
      <c r="H91" s="7">
        <v>4822.38</v>
      </c>
      <c r="I91" s="3"/>
      <c r="J91" s="8">
        <f t="shared" si="13"/>
        <v>1.1211647886582585E-2</v>
      </c>
      <c r="K91" s="3"/>
      <c r="L91" s="7">
        <f t="shared" si="14"/>
        <v>-987.59000000000015</v>
      </c>
      <c r="M91" s="3"/>
      <c r="N91" s="8">
        <f t="shared" si="15"/>
        <v>-0.20479306898253563</v>
      </c>
      <c r="O91" s="12"/>
      <c r="P91" s="7">
        <v>49826.400000000001</v>
      </c>
      <c r="Q91" s="3"/>
      <c r="R91" s="8">
        <f t="shared" si="16"/>
        <v>1.0337802549465137E-2</v>
      </c>
      <c r="S91" s="3"/>
      <c r="T91" s="7">
        <v>58234.559999999998</v>
      </c>
      <c r="U91" s="3"/>
      <c r="V91" s="8">
        <f t="shared" si="17"/>
        <v>2.5132347506047401E-2</v>
      </c>
      <c r="W91" s="3"/>
      <c r="X91" s="7">
        <f t="shared" si="18"/>
        <v>-8408.1599999999962</v>
      </c>
      <c r="Y91" s="3"/>
      <c r="Z91" s="8">
        <f t="shared" si="19"/>
        <v>-0.14438436557260836</v>
      </c>
    </row>
    <row r="92" spans="1:26" s="69" customFormat="1" ht="15" hidden="1" customHeight="1" outlineLevel="2" x14ac:dyDescent="0.25">
      <c r="A92" s="25"/>
      <c r="B92" s="12" t="str">
        <f>CONCATENATE("          ","6114"," - ","STATE UNEMPLOYMENT INSURANCE")</f>
        <v xml:space="preserve">          6114 - STATE UNEMPLOYMENT INSURANCE</v>
      </c>
      <c r="C92" s="12"/>
      <c r="D92" s="7">
        <v>277.5</v>
      </c>
      <c r="E92" s="3"/>
      <c r="F92" s="8">
        <f t="shared" si="12"/>
        <v>3.5482121671302297E-4</v>
      </c>
      <c r="G92" s="3"/>
      <c r="H92" s="7">
        <v>157.28</v>
      </c>
      <c r="I92" s="3"/>
      <c r="J92" s="8">
        <f t="shared" si="13"/>
        <v>3.6566342337221642E-4</v>
      </c>
      <c r="K92" s="3"/>
      <c r="L92" s="7">
        <f t="shared" si="14"/>
        <v>120.22</v>
      </c>
      <c r="M92" s="3"/>
      <c r="N92" s="8">
        <f t="shared" si="15"/>
        <v>0.7643692777212614</v>
      </c>
      <c r="O92" s="12"/>
      <c r="P92" s="7">
        <v>1968.04</v>
      </c>
      <c r="Q92" s="3"/>
      <c r="R92" s="8">
        <f t="shared" si="16"/>
        <v>4.0832187212901929E-4</v>
      </c>
      <c r="S92" s="3"/>
      <c r="T92" s="7">
        <v>1352.19</v>
      </c>
      <c r="U92" s="3"/>
      <c r="V92" s="8">
        <f t="shared" si="17"/>
        <v>5.835659954192534E-4</v>
      </c>
      <c r="W92" s="3"/>
      <c r="X92" s="7">
        <f t="shared" si="18"/>
        <v>615.84999999999991</v>
      </c>
      <c r="Y92" s="3"/>
      <c r="Z92" s="8">
        <f t="shared" si="19"/>
        <v>0.4554463499951929</v>
      </c>
    </row>
    <row r="93" spans="1:26" s="69" customFormat="1" ht="15" hidden="1" customHeight="1" outlineLevel="2" x14ac:dyDescent="0.25">
      <c r="A93" s="25"/>
      <c r="B93" s="12" t="str">
        <f>CONCATENATE("          ","6115"," - ","P.E.R.S.")</f>
        <v xml:space="preserve">          6115 - P.E.R.S.</v>
      </c>
      <c r="C93" s="12"/>
      <c r="D93" s="7">
        <v>1088.73</v>
      </c>
      <c r="E93" s="3"/>
      <c r="F93" s="8">
        <f t="shared" si="12"/>
        <v>1.3920883000791695E-3</v>
      </c>
      <c r="G93" s="3"/>
      <c r="H93" s="7">
        <v>1916.82</v>
      </c>
      <c r="I93" s="3"/>
      <c r="J93" s="8">
        <f t="shared" si="13"/>
        <v>4.4564532247477863E-3</v>
      </c>
      <c r="K93" s="3"/>
      <c r="L93" s="7">
        <f t="shared" si="14"/>
        <v>-828.08999999999992</v>
      </c>
      <c r="M93" s="3"/>
      <c r="N93" s="8">
        <f t="shared" si="15"/>
        <v>-0.43201239553009668</v>
      </c>
      <c r="O93" s="12"/>
      <c r="P93" s="7">
        <v>17223.62</v>
      </c>
      <c r="Q93" s="3"/>
      <c r="R93" s="8">
        <f t="shared" si="16"/>
        <v>3.5734948289866159E-3</v>
      </c>
      <c r="S93" s="3"/>
      <c r="T93" s="7">
        <v>21923.18</v>
      </c>
      <c r="U93" s="3"/>
      <c r="V93" s="8">
        <f t="shared" si="17"/>
        <v>9.4614087956984352E-3</v>
      </c>
      <c r="W93" s="3"/>
      <c r="X93" s="7">
        <f t="shared" si="18"/>
        <v>-4699.5600000000013</v>
      </c>
      <c r="Y93" s="3"/>
      <c r="Z93" s="8">
        <f t="shared" si="19"/>
        <v>-0.21436488684579524</v>
      </c>
    </row>
    <row r="94" spans="1:26" s="69" customFormat="1" ht="15" hidden="1" customHeight="1" outlineLevel="2" x14ac:dyDescent="0.25">
      <c r="A94" s="25"/>
      <c r="B94" s="12" t="str">
        <f>CONCATENATE("          ","6118"," - ","VACATION")</f>
        <v xml:space="preserve">          6118 - VACATION</v>
      </c>
      <c r="C94" s="12"/>
      <c r="D94" s="7">
        <v>1268.58</v>
      </c>
      <c r="E94" s="3"/>
      <c r="F94" s="8">
        <f t="shared" si="12"/>
        <v>1.6220508075596638E-3</v>
      </c>
      <c r="G94" s="3"/>
      <c r="H94" s="7">
        <v>1633.18</v>
      </c>
      <c r="I94" s="3"/>
      <c r="J94" s="8">
        <f t="shared" si="13"/>
        <v>3.797012905538126E-3</v>
      </c>
      <c r="K94" s="3"/>
      <c r="L94" s="7">
        <f t="shared" si="14"/>
        <v>-364.60000000000014</v>
      </c>
      <c r="M94" s="3"/>
      <c r="N94" s="8">
        <f t="shared" si="15"/>
        <v>-0.22324544753180919</v>
      </c>
      <c r="O94" s="12"/>
      <c r="P94" s="7">
        <v>21384.16</v>
      </c>
      <c r="Q94" s="3"/>
      <c r="R94" s="8">
        <f t="shared" si="16"/>
        <v>4.4367087280271179E-3</v>
      </c>
      <c r="S94" s="3"/>
      <c r="T94" s="7">
        <v>19345.54</v>
      </c>
      <c r="U94" s="3"/>
      <c r="V94" s="8">
        <f t="shared" si="17"/>
        <v>8.3489741138619445E-3</v>
      </c>
      <c r="W94" s="3"/>
      <c r="X94" s="7">
        <f t="shared" si="18"/>
        <v>2038.619999999999</v>
      </c>
      <c r="Y94" s="3"/>
      <c r="Z94" s="8">
        <f t="shared" si="19"/>
        <v>0.10537932774169131</v>
      </c>
    </row>
    <row r="95" spans="1:26" s="69" customFormat="1" ht="15" hidden="1" customHeight="1" outlineLevel="2" x14ac:dyDescent="0.25">
      <c r="A95" s="25"/>
      <c r="B95" s="12" t="str">
        <f>CONCATENATE("          ","6119"," - ","SICK LEAVE")</f>
        <v xml:space="preserve">          6119 - SICK LEAVE</v>
      </c>
      <c r="C95" s="12"/>
      <c r="D95" s="7">
        <v>1145.42</v>
      </c>
      <c r="E95" s="3"/>
      <c r="F95" s="8">
        <f t="shared" si="12"/>
        <v>1.4645741190898408E-3</v>
      </c>
      <c r="G95" s="3"/>
      <c r="H95" s="7">
        <v>1105.6199999999999</v>
      </c>
      <c r="I95" s="3"/>
      <c r="J95" s="8">
        <f t="shared" si="13"/>
        <v>2.5704780909765381E-3</v>
      </c>
      <c r="K95" s="3"/>
      <c r="L95" s="7">
        <f t="shared" si="14"/>
        <v>39.800000000000182</v>
      </c>
      <c r="M95" s="3"/>
      <c r="N95" s="8">
        <f t="shared" si="15"/>
        <v>3.599790162985491E-2</v>
      </c>
      <c r="O95" s="12"/>
      <c r="P95" s="7">
        <v>18701.43</v>
      </c>
      <c r="Q95" s="3"/>
      <c r="R95" s="8">
        <f t="shared" si="16"/>
        <v>3.8801055410915457E-3</v>
      </c>
      <c r="S95" s="3"/>
      <c r="T95" s="7">
        <v>14000.69</v>
      </c>
      <c r="U95" s="3"/>
      <c r="V95" s="8">
        <f t="shared" si="17"/>
        <v>6.0422918350279079E-3</v>
      </c>
      <c r="W95" s="3"/>
      <c r="X95" s="7">
        <f t="shared" si="18"/>
        <v>4700.74</v>
      </c>
      <c r="Y95" s="3"/>
      <c r="Z95" s="8">
        <f t="shared" si="19"/>
        <v>0.33575059514923905</v>
      </c>
    </row>
    <row r="96" spans="1:26" s="69" customFormat="1" ht="15" hidden="1" customHeight="1" outlineLevel="2" x14ac:dyDescent="0.25">
      <c r="A96" s="25"/>
      <c r="B96" s="12" t="str">
        <f>CONCATENATE("          ","6156"," - ","EMPLOYEE MEALS")</f>
        <v xml:space="preserve">          6156 - EMPLOYEE MEALS</v>
      </c>
      <c r="C96" s="12"/>
      <c r="D96" s="7">
        <v>809.36</v>
      </c>
      <c r="E96" s="3"/>
      <c r="F96" s="8">
        <f t="shared" si="12"/>
        <v>1.034876035887756E-3</v>
      </c>
      <c r="G96" s="3"/>
      <c r="H96" s="7">
        <v>483.07</v>
      </c>
      <c r="I96" s="3"/>
      <c r="J96" s="8">
        <f t="shared" si="13"/>
        <v>1.1230991221287932E-3</v>
      </c>
      <c r="K96" s="3"/>
      <c r="L96" s="7">
        <f t="shared" si="14"/>
        <v>326.29000000000002</v>
      </c>
      <c r="M96" s="3"/>
      <c r="N96" s="8">
        <f t="shared" si="15"/>
        <v>0.67545076282940364</v>
      </c>
      <c r="O96" s="12"/>
      <c r="P96" s="7">
        <v>8993.09</v>
      </c>
      <c r="Q96" s="3"/>
      <c r="R96" s="8">
        <f t="shared" si="16"/>
        <v>1.8658540197479536E-3</v>
      </c>
      <c r="S96" s="3"/>
      <c r="T96" s="7">
        <v>5156.16</v>
      </c>
      <c r="U96" s="3"/>
      <c r="V96" s="8">
        <f t="shared" si="17"/>
        <v>2.225249146156189E-3</v>
      </c>
      <c r="W96" s="3"/>
      <c r="X96" s="7">
        <f t="shared" si="18"/>
        <v>3836.9300000000003</v>
      </c>
      <c r="Y96" s="3"/>
      <c r="Z96" s="8">
        <f t="shared" si="19"/>
        <v>0.74414486749829334</v>
      </c>
    </row>
    <row r="97" spans="1:26" s="68" customFormat="1" ht="15" customHeight="1" outlineLevel="1" collapsed="1" x14ac:dyDescent="0.25">
      <c r="A97" s="26"/>
      <c r="B97" s="14" t="str">
        <f>CONCATENATE("     ","*Payroll                                          ")</f>
        <v xml:space="preserve">     *Payroll                                          </v>
      </c>
      <c r="C97" s="14"/>
      <c r="D97" s="2">
        <f>SUM(OSRRefD22_1x_0)</f>
        <v>75779.399999999994</v>
      </c>
      <c r="E97" s="2"/>
      <c r="F97" s="6">
        <f t="shared" si="12"/>
        <v>9.6894194269487754E-2</v>
      </c>
      <c r="G97" s="2"/>
      <c r="H97" s="2">
        <f>SUM(OSRRefH22_1x_0)</f>
        <v>41678.82</v>
      </c>
      <c r="I97" s="2"/>
      <c r="J97" s="6">
        <f t="shared" si="13"/>
        <v>9.689992372402341E-2</v>
      </c>
      <c r="K97" s="2"/>
      <c r="L97" s="2">
        <f t="shared" si="14"/>
        <v>34100.579999999994</v>
      </c>
      <c r="M97" s="2"/>
      <c r="N97" s="6">
        <f t="shared" si="15"/>
        <v>0.81817527463589412</v>
      </c>
      <c r="O97" s="14"/>
      <c r="P97" s="2">
        <f>SUM(OSRRefP22_1x_0)</f>
        <v>749368.85</v>
      </c>
      <c r="Q97" s="2"/>
      <c r="R97" s="6">
        <f t="shared" si="16"/>
        <v>0.15547635807563376</v>
      </c>
      <c r="S97" s="2"/>
      <c r="T97" s="2">
        <f>SUM(OSRRefT22_1x_0)</f>
        <v>430618.41000000003</v>
      </c>
      <c r="U97" s="2"/>
      <c r="V97" s="6">
        <f t="shared" si="17"/>
        <v>0.18584241939187998</v>
      </c>
      <c r="W97" s="2"/>
      <c r="X97" s="2">
        <f t="shared" si="18"/>
        <v>318750.43999999994</v>
      </c>
      <c r="Y97" s="2"/>
      <c r="Z97" s="6">
        <f t="shared" si="19"/>
        <v>0.74021554257283129</v>
      </c>
    </row>
    <row r="98" spans="1:26" s="69" customFormat="1" ht="15" hidden="1" customHeight="1" outlineLevel="2" x14ac:dyDescent="0.25">
      <c r="A98" s="25"/>
      <c r="B98" s="12" t="str">
        <f>CONCATENATE("          ","6002"," - ","STAFF SALARIES")</f>
        <v xml:space="preserve">          6002 - STAFF SALARIES</v>
      </c>
      <c r="C98" s="12"/>
      <c r="D98" s="7">
        <v>10399.040000000001</v>
      </c>
      <c r="E98" s="3"/>
      <c r="F98" s="8">
        <f t="shared" si="12"/>
        <v>1.32965766682789E-2</v>
      </c>
      <c r="G98" s="3"/>
      <c r="H98" s="7">
        <v>20908.71</v>
      </c>
      <c r="I98" s="3"/>
      <c r="J98" s="8">
        <f t="shared" si="13"/>
        <v>4.8611078820555029E-2</v>
      </c>
      <c r="K98" s="3"/>
      <c r="L98" s="7">
        <f t="shared" si="14"/>
        <v>-10509.669999999998</v>
      </c>
      <c r="M98" s="3"/>
      <c r="N98" s="8">
        <f t="shared" si="15"/>
        <v>-0.50264554819498664</v>
      </c>
      <c r="O98" s="12"/>
      <c r="P98" s="7">
        <v>168288.56</v>
      </c>
      <c r="Q98" s="3"/>
      <c r="R98" s="8">
        <f t="shared" si="16"/>
        <v>3.4915906118319136E-2</v>
      </c>
      <c r="S98" s="3"/>
      <c r="T98" s="7">
        <v>208039.32</v>
      </c>
      <c r="U98" s="3"/>
      <c r="V98" s="8">
        <f t="shared" si="17"/>
        <v>8.9783738130103458E-2</v>
      </c>
      <c r="W98" s="3"/>
      <c r="X98" s="7">
        <f t="shared" si="18"/>
        <v>-39750.760000000009</v>
      </c>
      <c r="Y98" s="3"/>
      <c r="Z98" s="8">
        <f t="shared" si="19"/>
        <v>-0.1910733028737068</v>
      </c>
    </row>
    <row r="99" spans="1:26" s="69" customFormat="1" ht="15" hidden="1" customHeight="1" outlineLevel="2" x14ac:dyDescent="0.25">
      <c r="A99" s="25"/>
      <c r="B99" s="12" t="str">
        <f>CONCATENATE("          ","6004"," - ","STAFF HOURLY")</f>
        <v xml:space="preserve">          6004 - STAFF HOURLY</v>
      </c>
      <c r="C99" s="12"/>
      <c r="D99" s="7">
        <v>13469.41</v>
      </c>
      <c r="E99" s="3"/>
      <c r="F99" s="8">
        <f t="shared" si="12"/>
        <v>1.7222459259843455E-2</v>
      </c>
      <c r="G99" s="3"/>
      <c r="H99" s="7">
        <v>3964.52</v>
      </c>
      <c r="I99" s="3"/>
      <c r="J99" s="8">
        <f t="shared" si="13"/>
        <v>9.2171919838989029E-3</v>
      </c>
      <c r="K99" s="3"/>
      <c r="L99" s="7">
        <f t="shared" si="14"/>
        <v>9504.89</v>
      </c>
      <c r="M99" s="3"/>
      <c r="N99" s="8">
        <f t="shared" si="15"/>
        <v>2.3974882205159767</v>
      </c>
      <c r="O99" s="12"/>
      <c r="P99" s="7">
        <v>116118.3</v>
      </c>
      <c r="Q99" s="3"/>
      <c r="R99" s="8">
        <f t="shared" si="16"/>
        <v>2.4091807912663923E-2</v>
      </c>
      <c r="S99" s="3"/>
      <c r="T99" s="7">
        <v>62012.27</v>
      </c>
      <c r="U99" s="3"/>
      <c r="V99" s="8">
        <f t="shared" si="17"/>
        <v>2.6762697602228609E-2</v>
      </c>
      <c r="W99" s="3"/>
      <c r="X99" s="7">
        <f t="shared" si="18"/>
        <v>54106.030000000006</v>
      </c>
      <c r="Y99" s="3"/>
      <c r="Z99" s="8">
        <f t="shared" si="19"/>
        <v>0.87250523162593485</v>
      </c>
    </row>
    <row r="100" spans="1:26" s="69" customFormat="1" ht="15" hidden="1" customHeight="1" outlineLevel="2" x14ac:dyDescent="0.25">
      <c r="A100" s="25"/>
      <c r="B100" s="12" t="str">
        <f>CONCATENATE("          ","6005"," - ","TEMPORARY WAGES-HOURLY")</f>
        <v xml:space="preserve">          6005 - TEMPORARY WAGES-HOURLY</v>
      </c>
      <c r="C100" s="12"/>
      <c r="D100" s="7"/>
      <c r="E100" s="3"/>
      <c r="F100" s="8">
        <f t="shared" si="12"/>
        <v>0</v>
      </c>
      <c r="G100" s="3"/>
      <c r="H100" s="7">
        <v>2557.67</v>
      </c>
      <c r="I100" s="3"/>
      <c r="J100" s="8">
        <f t="shared" si="13"/>
        <v>5.9463782302671469E-3</v>
      </c>
      <c r="K100" s="3"/>
      <c r="L100" s="7">
        <f t="shared" si="14"/>
        <v>-2557.67</v>
      </c>
      <c r="M100" s="3"/>
      <c r="N100" s="8">
        <f t="shared" si="15"/>
        <v>-1</v>
      </c>
      <c r="O100" s="12"/>
      <c r="P100" s="7">
        <v>30321.59</v>
      </c>
      <c r="Q100" s="3"/>
      <c r="R100" s="8">
        <f t="shared" si="16"/>
        <v>6.2910146108455878E-3</v>
      </c>
      <c r="S100" s="3"/>
      <c r="T100" s="7">
        <v>61939.74</v>
      </c>
      <c r="U100" s="3"/>
      <c r="V100" s="8">
        <f t="shared" si="17"/>
        <v>2.6731395757334211E-2</v>
      </c>
      <c r="W100" s="3"/>
      <c r="X100" s="7">
        <f t="shared" si="18"/>
        <v>-31618.149999999998</v>
      </c>
      <c r="Y100" s="3"/>
      <c r="Z100" s="8">
        <f t="shared" si="19"/>
        <v>-0.5104663016021701</v>
      </c>
    </row>
    <row r="101" spans="1:26" s="69" customFormat="1" ht="15" hidden="1" customHeight="1" outlineLevel="2" x14ac:dyDescent="0.25">
      <c r="A101" s="25"/>
      <c r="B101" s="12" t="str">
        <f>CONCATENATE("          ","6006"," - ","TEMPORARY PART TIME")</f>
        <v xml:space="preserve">          6006 - TEMPORARY PART TIME</v>
      </c>
      <c r="C101" s="12"/>
      <c r="D101" s="7"/>
      <c r="E101" s="3"/>
      <c r="F101" s="8">
        <f t="shared" si="12"/>
        <v>0</v>
      </c>
      <c r="G101" s="3"/>
      <c r="H101" s="7">
        <v>1314.52</v>
      </c>
      <c r="I101" s="3"/>
      <c r="J101" s="8">
        <f t="shared" si="13"/>
        <v>3.0561538866432218E-3</v>
      </c>
      <c r="K101" s="3"/>
      <c r="L101" s="7">
        <f t="shared" si="14"/>
        <v>-1314.52</v>
      </c>
      <c r="M101" s="3"/>
      <c r="N101" s="8">
        <f t="shared" si="15"/>
        <v>-1</v>
      </c>
      <c r="O101" s="12"/>
      <c r="P101" s="7"/>
      <c r="Q101" s="3"/>
      <c r="R101" s="8">
        <f t="shared" si="16"/>
        <v>0</v>
      </c>
      <c r="S101" s="3"/>
      <c r="T101" s="7">
        <v>6292.6</v>
      </c>
      <c r="U101" s="3"/>
      <c r="V101" s="8">
        <f t="shared" si="17"/>
        <v>2.7157036975389509E-3</v>
      </c>
      <c r="W101" s="3"/>
      <c r="X101" s="7">
        <f t="shared" si="18"/>
        <v>-6292.6</v>
      </c>
      <c r="Y101" s="3"/>
      <c r="Z101" s="8">
        <f t="shared" si="19"/>
        <v>-1</v>
      </c>
    </row>
    <row r="102" spans="1:26" s="69" customFormat="1" ht="15" hidden="1" customHeight="1" outlineLevel="2" x14ac:dyDescent="0.25">
      <c r="A102" s="25"/>
      <c r="B102" s="12" t="str">
        <f>CONCATENATE("          ","6007"," - ","STUDENT HOURLY")</f>
        <v xml:space="preserve">          6007 - STUDENT HOURLY</v>
      </c>
      <c r="C102" s="12"/>
      <c r="D102" s="7">
        <v>43312.19</v>
      </c>
      <c r="E102" s="3"/>
      <c r="F102" s="8">
        <f t="shared" si="12"/>
        <v>5.5380482718218479E-2</v>
      </c>
      <c r="G102" s="3"/>
      <c r="H102" s="7">
        <v>10393.94</v>
      </c>
      <c r="I102" s="3"/>
      <c r="J102" s="8">
        <f t="shared" si="13"/>
        <v>2.4165079366260271E-2</v>
      </c>
      <c r="K102" s="3"/>
      <c r="L102" s="7">
        <f t="shared" si="14"/>
        <v>32918.25</v>
      </c>
      <c r="M102" s="3"/>
      <c r="N102" s="8">
        <f t="shared" si="15"/>
        <v>3.1670617686844449</v>
      </c>
      <c r="O102" s="12"/>
      <c r="P102" s="7">
        <v>346387.29</v>
      </c>
      <c r="Q102" s="3"/>
      <c r="R102" s="8">
        <f t="shared" si="16"/>
        <v>7.1867191080718651E-2</v>
      </c>
      <c r="S102" s="3"/>
      <c r="T102" s="7">
        <v>80760.33</v>
      </c>
      <c r="U102" s="3"/>
      <c r="V102" s="8">
        <f t="shared" si="17"/>
        <v>3.4853816672832508E-2</v>
      </c>
      <c r="W102" s="3"/>
      <c r="X102" s="7">
        <f t="shared" si="18"/>
        <v>265626.95999999996</v>
      </c>
      <c r="Y102" s="3"/>
      <c r="Z102" s="8">
        <f t="shared" si="19"/>
        <v>3.28907719916449</v>
      </c>
    </row>
    <row r="103" spans="1:26" s="69" customFormat="1" ht="15" hidden="1" customHeight="1" outlineLevel="2" x14ac:dyDescent="0.25">
      <c r="A103" s="25"/>
      <c r="B103" s="12" t="str">
        <f>CONCATENATE("          ","6008"," - ","STUDENT HOURLY-FICA EXEMPT")</f>
        <v xml:space="preserve">          6008 - STUDENT HOURLY-FICA EXEMPT</v>
      </c>
      <c r="C103" s="12"/>
      <c r="D103" s="7">
        <v>8598.76</v>
      </c>
      <c r="E103" s="3"/>
      <c r="F103" s="8">
        <f t="shared" si="12"/>
        <v>1.0994675623146932E-2</v>
      </c>
      <c r="G103" s="3"/>
      <c r="H103" s="7">
        <v>2539.46</v>
      </c>
      <c r="I103" s="3"/>
      <c r="J103" s="8">
        <f t="shared" si="13"/>
        <v>5.9040414363988351E-3</v>
      </c>
      <c r="K103" s="3"/>
      <c r="L103" s="7">
        <f t="shared" si="14"/>
        <v>6059.3</v>
      </c>
      <c r="M103" s="3"/>
      <c r="N103" s="8">
        <f t="shared" si="15"/>
        <v>2.3860584533719766</v>
      </c>
      <c r="O103" s="12"/>
      <c r="P103" s="7">
        <v>88253.11</v>
      </c>
      <c r="Q103" s="3"/>
      <c r="R103" s="8">
        <f t="shared" si="16"/>
        <v>1.8310438353086461E-2</v>
      </c>
      <c r="S103" s="3"/>
      <c r="T103" s="7">
        <v>11574.15</v>
      </c>
      <c r="U103" s="3"/>
      <c r="V103" s="8">
        <f t="shared" si="17"/>
        <v>4.9950675318422349E-3</v>
      </c>
      <c r="W103" s="3"/>
      <c r="X103" s="7">
        <f t="shared" si="18"/>
        <v>76678.960000000006</v>
      </c>
      <c r="Y103" s="3"/>
      <c r="Z103" s="8">
        <f t="shared" si="19"/>
        <v>6.6250186838774345</v>
      </c>
    </row>
    <row r="104" spans="1:26" s="68" customFormat="1" ht="15" customHeight="1" outlineLevel="1" collapsed="1" x14ac:dyDescent="0.25">
      <c r="A104" s="26"/>
      <c r="B104" s="14" t="str">
        <f>CONCATENATE("     ","Advertising/Promo                                 ")</f>
        <v xml:space="preserve">     Advertising/Promo                                 </v>
      </c>
      <c r="C104" s="14"/>
      <c r="D104" s="2">
        <f>SUM(OSRRefD22_2x_0)</f>
        <v>1245.48</v>
      </c>
      <c r="E104" s="2"/>
      <c r="F104" s="6">
        <f t="shared" si="12"/>
        <v>1.5925143387089582E-3</v>
      </c>
      <c r="G104" s="2"/>
      <c r="H104" s="2">
        <f>SUM(OSRRefH22_2x_0)</f>
        <v>-340.93</v>
      </c>
      <c r="I104" s="2"/>
      <c r="J104" s="6">
        <f t="shared" si="13"/>
        <v>-7.9263498811221863E-4</v>
      </c>
      <c r="K104" s="2"/>
      <c r="L104" s="2">
        <f t="shared" si="14"/>
        <v>1586.41</v>
      </c>
      <c r="M104" s="2"/>
      <c r="N104" s="6">
        <f t="shared" si="15"/>
        <v>-4.6531839380517992</v>
      </c>
      <c r="O104" s="14"/>
      <c r="P104" s="2">
        <f>SUM(OSRRefP22_2x_0)</f>
        <v>10465.57</v>
      </c>
      <c r="Q104" s="2"/>
      <c r="R104" s="6">
        <f t="shared" si="16"/>
        <v>2.1713588825924782E-3</v>
      </c>
      <c r="S104" s="2"/>
      <c r="T104" s="2">
        <f>SUM(OSRRefT22_2x_0)</f>
        <v>14512.81</v>
      </c>
      <c r="U104" s="2"/>
      <c r="V104" s="6">
        <f t="shared" si="17"/>
        <v>6.263307977414782E-3</v>
      </c>
      <c r="W104" s="2"/>
      <c r="X104" s="2">
        <f t="shared" si="18"/>
        <v>-4047.24</v>
      </c>
      <c r="Y104" s="2"/>
      <c r="Z104" s="6">
        <f t="shared" si="19"/>
        <v>-0.27887362957277051</v>
      </c>
    </row>
    <row r="105" spans="1:26" s="69" customFormat="1" ht="15" hidden="1" customHeight="1" outlineLevel="2" x14ac:dyDescent="0.25">
      <c r="A105" s="25"/>
      <c r="B105" s="12" t="str">
        <f>CONCATENATE("          ","6362"," - ","ADVERTISING EXPENSE")</f>
        <v xml:space="preserve">          6362 - ADVERTISING EXPENSE</v>
      </c>
      <c r="C105" s="12"/>
      <c r="D105" s="7">
        <v>1245.48</v>
      </c>
      <c r="E105" s="3"/>
      <c r="F105" s="8">
        <f t="shared" si="12"/>
        <v>1.5925143387089582E-3</v>
      </c>
      <c r="G105" s="3"/>
      <c r="H105" s="7">
        <v>-340.93</v>
      </c>
      <c r="I105" s="3"/>
      <c r="J105" s="8">
        <f t="shared" si="13"/>
        <v>-7.9263498811221863E-4</v>
      </c>
      <c r="K105" s="3"/>
      <c r="L105" s="7">
        <f t="shared" si="14"/>
        <v>1586.41</v>
      </c>
      <c r="M105" s="3"/>
      <c r="N105" s="8">
        <f t="shared" si="15"/>
        <v>-4.6531839380517992</v>
      </c>
      <c r="O105" s="12"/>
      <c r="P105" s="7">
        <v>10465.57</v>
      </c>
      <c r="Q105" s="3"/>
      <c r="R105" s="8">
        <f t="shared" si="16"/>
        <v>2.1713588825924782E-3</v>
      </c>
      <c r="S105" s="3"/>
      <c r="T105" s="7">
        <v>14512.81</v>
      </c>
      <c r="U105" s="3"/>
      <c r="V105" s="8">
        <f t="shared" si="17"/>
        <v>6.263307977414782E-3</v>
      </c>
      <c r="W105" s="3"/>
      <c r="X105" s="7">
        <f t="shared" si="18"/>
        <v>-4047.24</v>
      </c>
      <c r="Y105" s="3"/>
      <c r="Z105" s="8">
        <f t="shared" si="19"/>
        <v>-0.27887362957277051</v>
      </c>
    </row>
    <row r="106" spans="1:26" s="68" customFormat="1" ht="15" customHeight="1" outlineLevel="1" collapsed="1" x14ac:dyDescent="0.25">
      <c r="A106" s="26"/>
      <c r="B106" s="14" t="str">
        <f>CONCATENATE("     ","Bad Debts/Over/Short                              ")</f>
        <v xml:space="preserve">     Bad Debts/Over/Short                              </v>
      </c>
      <c r="C106" s="14"/>
      <c r="D106" s="2">
        <f>SUM(OSRRefD22_3x_0)</f>
        <v>-4.0199999999999996</v>
      </c>
      <c r="E106" s="2"/>
      <c r="F106" s="6">
        <f t="shared" si="12"/>
        <v>-5.1401127610319003E-6</v>
      </c>
      <c r="G106" s="2"/>
      <c r="H106" s="2">
        <f>SUM(OSRRefH22_3x_0)</f>
        <v>-1.4</v>
      </c>
      <c r="I106" s="2"/>
      <c r="J106" s="6">
        <f t="shared" si="13"/>
        <v>-3.2548880513803596E-6</v>
      </c>
      <c r="K106" s="2"/>
      <c r="L106" s="2">
        <f t="shared" si="14"/>
        <v>-2.6199999999999997</v>
      </c>
      <c r="M106" s="2"/>
      <c r="N106" s="6">
        <f t="shared" si="15"/>
        <v>1.8714285714285712</v>
      </c>
      <c r="O106" s="14"/>
      <c r="P106" s="2">
        <f>SUM(OSRRefP22_3x_0)</f>
        <v>-52.93</v>
      </c>
      <c r="Q106" s="2"/>
      <c r="R106" s="6">
        <f t="shared" si="16"/>
        <v>-1.0981726332690897E-5</v>
      </c>
      <c r="S106" s="2"/>
      <c r="T106" s="2">
        <f>SUM(OSRRefT22_3x_0)</f>
        <v>-24.5</v>
      </c>
      <c r="U106" s="2"/>
      <c r="V106" s="6">
        <f t="shared" si="17"/>
        <v>-1.0573489589311938E-5</v>
      </c>
      <c r="W106" s="2"/>
      <c r="X106" s="2">
        <f t="shared" si="18"/>
        <v>-28.43</v>
      </c>
      <c r="Y106" s="2"/>
      <c r="Z106" s="6">
        <f t="shared" si="19"/>
        <v>1.160408163265306</v>
      </c>
    </row>
    <row r="107" spans="1:26" s="69" customFormat="1" ht="15" hidden="1" customHeight="1" outlineLevel="2" x14ac:dyDescent="0.25">
      <c r="A107" s="25"/>
      <c r="B107" s="12" t="str">
        <f>CONCATENATE("          ","6272"," - ","CASH (OVER/SHORT)")</f>
        <v xml:space="preserve">          6272 - CASH (OVER/SHORT)</v>
      </c>
      <c r="C107" s="12"/>
      <c r="D107" s="7">
        <v>-4.0199999999999996</v>
      </c>
      <c r="E107" s="3"/>
      <c r="F107" s="8">
        <f t="shared" si="12"/>
        <v>-5.1401127610319003E-6</v>
      </c>
      <c r="G107" s="3"/>
      <c r="H107" s="7">
        <v>-1.4</v>
      </c>
      <c r="I107" s="3"/>
      <c r="J107" s="8">
        <f t="shared" si="13"/>
        <v>-3.2548880513803596E-6</v>
      </c>
      <c r="K107" s="3"/>
      <c r="L107" s="7">
        <f t="shared" si="14"/>
        <v>-2.6199999999999997</v>
      </c>
      <c r="M107" s="3"/>
      <c r="N107" s="8">
        <f t="shared" si="15"/>
        <v>1.8714285714285712</v>
      </c>
      <c r="O107" s="12"/>
      <c r="P107" s="7">
        <v>-52.93</v>
      </c>
      <c r="Q107" s="3"/>
      <c r="R107" s="8">
        <f t="shared" si="16"/>
        <v>-1.0981726332690897E-5</v>
      </c>
      <c r="S107" s="3"/>
      <c r="T107" s="7">
        <v>-24.5</v>
      </c>
      <c r="U107" s="3"/>
      <c r="V107" s="8">
        <f t="shared" si="17"/>
        <v>-1.0573489589311938E-5</v>
      </c>
      <c r="W107" s="3"/>
      <c r="X107" s="7">
        <f t="shared" si="18"/>
        <v>-28.43</v>
      </c>
      <c r="Y107" s="3"/>
      <c r="Z107" s="8">
        <f t="shared" si="19"/>
        <v>1.160408163265306</v>
      </c>
    </row>
    <row r="108" spans="1:26" s="68" customFormat="1" ht="15" customHeight="1" outlineLevel="1" collapsed="1" x14ac:dyDescent="0.25">
      <c r="A108" s="26"/>
      <c r="B108" s="14" t="str">
        <f>CONCATENATE("     ","Bank/card Fees                                    ")</f>
        <v xml:space="preserve">     Bank/card Fees                                    </v>
      </c>
      <c r="C108" s="14"/>
      <c r="D108" s="2">
        <f>SUM(OSRRefD22_4x_0)</f>
        <v>855.75</v>
      </c>
      <c r="E108" s="2"/>
      <c r="F108" s="6">
        <f t="shared" si="12"/>
        <v>1.0941919142420521E-3</v>
      </c>
      <c r="G108" s="2"/>
      <c r="H108" s="2">
        <f>SUM(OSRRefH22_4x_0)</f>
        <v>646.5</v>
      </c>
      <c r="I108" s="2"/>
      <c r="J108" s="6">
        <f t="shared" si="13"/>
        <v>1.5030608037267161E-3</v>
      </c>
      <c r="K108" s="2"/>
      <c r="L108" s="2">
        <f t="shared" si="14"/>
        <v>209.25</v>
      </c>
      <c r="M108" s="2"/>
      <c r="N108" s="6">
        <f t="shared" si="15"/>
        <v>0.32366589327146172</v>
      </c>
      <c r="O108" s="14"/>
      <c r="P108" s="2">
        <f>SUM(OSRRefP22_4x_0)</f>
        <v>6201.47</v>
      </c>
      <c r="Q108" s="2"/>
      <c r="R108" s="6">
        <f t="shared" si="16"/>
        <v>1.2866587266274819E-3</v>
      </c>
      <c r="S108" s="2"/>
      <c r="T108" s="2">
        <f>SUM(OSRRefT22_4x_0)</f>
        <v>4478.8500000000004</v>
      </c>
      <c r="U108" s="2"/>
      <c r="V108" s="6">
        <f t="shared" si="17"/>
        <v>1.9329417896771337E-3</v>
      </c>
      <c r="W108" s="2"/>
      <c r="X108" s="2">
        <f t="shared" si="18"/>
        <v>1722.62</v>
      </c>
      <c r="Y108" s="2"/>
      <c r="Z108" s="6">
        <f t="shared" si="19"/>
        <v>0.38461212141509532</v>
      </c>
    </row>
    <row r="109" spans="1:26" s="69" customFormat="1" ht="15" hidden="1" customHeight="1" outlineLevel="2" x14ac:dyDescent="0.25">
      <c r="A109" s="25"/>
      <c r="B109" s="12" t="str">
        <f>CONCATENATE("          ","6381"," - ","BANK/CREDIT CARD FEES")</f>
        <v xml:space="preserve">          6381 - BANK/CREDIT CARD FEES</v>
      </c>
      <c r="C109" s="12"/>
      <c r="D109" s="7">
        <v>855.75</v>
      </c>
      <c r="E109" s="3"/>
      <c r="F109" s="8">
        <f t="shared" si="12"/>
        <v>1.0941919142420521E-3</v>
      </c>
      <c r="G109" s="3"/>
      <c r="H109" s="7">
        <v>646.5</v>
      </c>
      <c r="I109" s="3"/>
      <c r="J109" s="8">
        <f t="shared" si="13"/>
        <v>1.5030608037267161E-3</v>
      </c>
      <c r="K109" s="3"/>
      <c r="L109" s="7">
        <f t="shared" si="14"/>
        <v>209.25</v>
      </c>
      <c r="M109" s="3"/>
      <c r="N109" s="8">
        <f t="shared" si="15"/>
        <v>0.32366589327146172</v>
      </c>
      <c r="O109" s="12"/>
      <c r="P109" s="7">
        <v>6201.47</v>
      </c>
      <c r="Q109" s="3"/>
      <c r="R109" s="8">
        <f t="shared" si="16"/>
        <v>1.2866587266274819E-3</v>
      </c>
      <c r="S109" s="3"/>
      <c r="T109" s="7">
        <v>4478.8500000000004</v>
      </c>
      <c r="U109" s="3"/>
      <c r="V109" s="8">
        <f t="shared" si="17"/>
        <v>1.9329417896771337E-3</v>
      </c>
      <c r="W109" s="3"/>
      <c r="X109" s="7">
        <f t="shared" si="18"/>
        <v>1722.62</v>
      </c>
      <c r="Y109" s="3"/>
      <c r="Z109" s="8">
        <f t="shared" si="19"/>
        <v>0.38461212141509532</v>
      </c>
    </row>
    <row r="110" spans="1:26" s="68" customFormat="1" ht="15" customHeight="1" outlineLevel="1" collapsed="1" x14ac:dyDescent="0.25">
      <c r="A110" s="26"/>
      <c r="B110" s="14" t="str">
        <f>CONCATENATE("     ","Discounts and Markdowns                           ")</f>
        <v xml:space="preserve">     Discounts and Markdowns                           </v>
      </c>
      <c r="C110" s="14"/>
      <c r="D110" s="2">
        <f>SUM(OSRRefD22_5x_0)</f>
        <v>0</v>
      </c>
      <c r="E110" s="2"/>
      <c r="F110" s="6">
        <f t="shared" si="12"/>
        <v>0</v>
      </c>
      <c r="G110" s="2"/>
      <c r="H110" s="2">
        <f>SUM(OSRRefH22_5x_0)</f>
        <v>0</v>
      </c>
      <c r="I110" s="2"/>
      <c r="J110" s="6">
        <f t="shared" si="13"/>
        <v>0</v>
      </c>
      <c r="K110" s="2"/>
      <c r="L110" s="2">
        <f t="shared" si="14"/>
        <v>0</v>
      </c>
      <c r="M110" s="2"/>
      <c r="N110" s="6">
        <f t="shared" si="15"/>
        <v>0</v>
      </c>
      <c r="O110" s="14"/>
      <c r="P110" s="2">
        <f>SUM(OSRRefP22_5x_0)</f>
        <v>0</v>
      </c>
      <c r="Q110" s="2"/>
      <c r="R110" s="6">
        <f t="shared" si="16"/>
        <v>0</v>
      </c>
      <c r="S110" s="2"/>
      <c r="T110" s="2">
        <f>SUM(OSRRefT22_5x_0)</f>
        <v>0</v>
      </c>
      <c r="U110" s="2"/>
      <c r="V110" s="6">
        <f t="shared" si="17"/>
        <v>0</v>
      </c>
      <c r="W110" s="2"/>
      <c r="X110" s="2">
        <f t="shared" si="18"/>
        <v>0</v>
      </c>
      <c r="Y110" s="2"/>
      <c r="Z110" s="6">
        <f t="shared" si="19"/>
        <v>0</v>
      </c>
    </row>
    <row r="111" spans="1:26" s="69" customFormat="1" ht="15" hidden="1" customHeight="1" outlineLevel="2" x14ac:dyDescent="0.25">
      <c r="A111" s="25"/>
      <c r="B111" s="12" t="str">
        <f>CONCATENATE("          ","6382"," - ","DISCOUNTS/MARK DOWNS")</f>
        <v xml:space="preserve">          6382 - DISCOUNTS/MARK DOWNS</v>
      </c>
      <c r="C111" s="12"/>
      <c r="D111" s="7"/>
      <c r="E111" s="3"/>
      <c r="F111" s="8">
        <f t="shared" si="12"/>
        <v>0</v>
      </c>
      <c r="G111" s="3"/>
      <c r="H111" s="7">
        <v>0</v>
      </c>
      <c r="I111" s="3"/>
      <c r="J111" s="8">
        <f t="shared" si="13"/>
        <v>0</v>
      </c>
      <c r="K111" s="3"/>
      <c r="L111" s="7">
        <f t="shared" si="14"/>
        <v>0</v>
      </c>
      <c r="M111" s="3"/>
      <c r="N111" s="8">
        <f t="shared" si="15"/>
        <v>0</v>
      </c>
      <c r="O111" s="12"/>
      <c r="P111" s="7"/>
      <c r="Q111" s="3"/>
      <c r="R111" s="8">
        <f t="shared" si="16"/>
        <v>0</v>
      </c>
      <c r="S111" s="3"/>
      <c r="T111" s="7">
        <v>0</v>
      </c>
      <c r="U111" s="3"/>
      <c r="V111" s="8">
        <f t="shared" si="17"/>
        <v>0</v>
      </c>
      <c r="W111" s="3"/>
      <c r="X111" s="7">
        <f t="shared" si="18"/>
        <v>0</v>
      </c>
      <c r="Y111" s="3"/>
      <c r="Z111" s="8">
        <f t="shared" si="19"/>
        <v>0</v>
      </c>
    </row>
    <row r="112" spans="1:26" s="69" customFormat="1" ht="15" hidden="1" customHeight="1" outlineLevel="2" x14ac:dyDescent="0.25">
      <c r="A112" s="25"/>
      <c r="B112" s="12" t="str">
        <f>CONCATENATE("          ","9175"," - ","EARNED DISCOUNTS")</f>
        <v xml:space="preserve">          9175 - EARNED DISCOUNTS</v>
      </c>
      <c r="C112" s="12"/>
      <c r="D112" s="7"/>
      <c r="E112" s="3"/>
      <c r="F112" s="8">
        <f t="shared" si="12"/>
        <v>0</v>
      </c>
      <c r="G112" s="3"/>
      <c r="H112" s="7"/>
      <c r="I112" s="3"/>
      <c r="J112" s="8">
        <f t="shared" si="13"/>
        <v>0</v>
      </c>
      <c r="K112" s="3"/>
      <c r="L112" s="7">
        <f t="shared" si="14"/>
        <v>0</v>
      </c>
      <c r="M112" s="3"/>
      <c r="N112" s="8">
        <f t="shared" si="15"/>
        <v>0</v>
      </c>
      <c r="O112" s="12"/>
      <c r="P112" s="7">
        <v>0</v>
      </c>
      <c r="Q112" s="3"/>
      <c r="R112" s="8">
        <f t="shared" si="16"/>
        <v>0</v>
      </c>
      <c r="S112" s="3"/>
      <c r="T112" s="7">
        <v>0</v>
      </c>
      <c r="U112" s="3"/>
      <c r="V112" s="8">
        <f t="shared" si="17"/>
        <v>0</v>
      </c>
      <c r="W112" s="3"/>
      <c r="X112" s="7">
        <f t="shared" si="18"/>
        <v>0</v>
      </c>
      <c r="Y112" s="3"/>
      <c r="Z112" s="8">
        <f t="shared" si="19"/>
        <v>0</v>
      </c>
    </row>
    <row r="113" spans="1:26" s="68" customFormat="1" ht="15" customHeight="1" outlineLevel="1" collapsed="1" x14ac:dyDescent="0.25">
      <c r="A113" s="26"/>
      <c r="B113" s="14" t="str">
        <f>CONCATENATE("     ","Employees' Appreciation                           ")</f>
        <v xml:space="preserve">     Employees' Appreciation                           </v>
      </c>
      <c r="C113" s="14"/>
      <c r="D113" s="2">
        <f>SUM(OSRRefD22_6x_0)</f>
        <v>0</v>
      </c>
      <c r="E113" s="2"/>
      <c r="F113" s="6">
        <f t="shared" si="12"/>
        <v>0</v>
      </c>
      <c r="G113" s="2"/>
      <c r="H113" s="2">
        <f>SUM(OSRRefH22_6x_0)</f>
        <v>0</v>
      </c>
      <c r="I113" s="2"/>
      <c r="J113" s="6">
        <f t="shared" si="13"/>
        <v>0</v>
      </c>
      <c r="K113" s="2"/>
      <c r="L113" s="2">
        <f t="shared" si="14"/>
        <v>0</v>
      </c>
      <c r="M113" s="2"/>
      <c r="N113" s="6">
        <f t="shared" si="15"/>
        <v>0</v>
      </c>
      <c r="O113" s="14"/>
      <c r="P113" s="2">
        <f>SUM(OSRRefP22_6x_0)</f>
        <v>291.13</v>
      </c>
      <c r="Q113" s="2"/>
      <c r="R113" s="6">
        <f t="shared" si="16"/>
        <v>6.0402606975936156E-5</v>
      </c>
      <c r="S113" s="2"/>
      <c r="T113" s="2">
        <f>SUM(OSRRefT22_6x_0)</f>
        <v>0</v>
      </c>
      <c r="U113" s="2"/>
      <c r="V113" s="6">
        <f t="shared" si="17"/>
        <v>0</v>
      </c>
      <c r="W113" s="2"/>
      <c r="X113" s="2">
        <f t="shared" si="18"/>
        <v>291.13</v>
      </c>
      <c r="Y113" s="2"/>
      <c r="Z113" s="6">
        <f t="shared" si="19"/>
        <v>0</v>
      </c>
    </row>
    <row r="114" spans="1:26" s="69" customFormat="1" ht="15" hidden="1" customHeight="1" outlineLevel="2" x14ac:dyDescent="0.25">
      <c r="A114" s="25"/>
      <c r="B114" s="12" t="str">
        <f>CONCATENATE("          ","6277"," - ","EMPLOYEE APPRECIATION")</f>
        <v xml:space="preserve">          6277 - EMPLOYEE APPRECIATION</v>
      </c>
      <c r="C114" s="12"/>
      <c r="D114" s="7"/>
      <c r="E114" s="3"/>
      <c r="F114" s="8">
        <f t="shared" si="12"/>
        <v>0</v>
      </c>
      <c r="G114" s="3"/>
      <c r="H114" s="7"/>
      <c r="I114" s="3"/>
      <c r="J114" s="8">
        <f t="shared" si="13"/>
        <v>0</v>
      </c>
      <c r="K114" s="3"/>
      <c r="L114" s="7">
        <f t="shared" si="14"/>
        <v>0</v>
      </c>
      <c r="M114" s="3"/>
      <c r="N114" s="8">
        <f t="shared" si="15"/>
        <v>0</v>
      </c>
      <c r="O114" s="12"/>
      <c r="P114" s="7">
        <v>291.13</v>
      </c>
      <c r="Q114" s="3"/>
      <c r="R114" s="8">
        <f t="shared" si="16"/>
        <v>6.0402606975936156E-5</v>
      </c>
      <c r="S114" s="3"/>
      <c r="T114" s="7"/>
      <c r="U114" s="3"/>
      <c r="V114" s="8">
        <f t="shared" si="17"/>
        <v>0</v>
      </c>
      <c r="W114" s="3"/>
      <c r="X114" s="7">
        <f t="shared" si="18"/>
        <v>291.13</v>
      </c>
      <c r="Y114" s="3"/>
      <c r="Z114" s="8">
        <f t="shared" si="19"/>
        <v>0</v>
      </c>
    </row>
    <row r="115" spans="1:26" s="68" customFormat="1" ht="15" customHeight="1" outlineLevel="1" collapsed="1" x14ac:dyDescent="0.25">
      <c r="A115" s="26"/>
      <c r="B115" s="14" t="str">
        <f>CONCATENATE("     ","Equipment Rental                                  ")</f>
        <v xml:space="preserve">     Equipment Rental                                  </v>
      </c>
      <c r="C115" s="14"/>
      <c r="D115" s="2">
        <f>SUM(OSRRefD22_7x_0)</f>
        <v>0</v>
      </c>
      <c r="E115" s="2"/>
      <c r="F115" s="6">
        <f t="shared" si="12"/>
        <v>0</v>
      </c>
      <c r="G115" s="2"/>
      <c r="H115" s="2">
        <f>SUM(OSRRefH22_7x_0)</f>
        <v>0</v>
      </c>
      <c r="I115" s="2"/>
      <c r="J115" s="6">
        <f t="shared" si="13"/>
        <v>0</v>
      </c>
      <c r="K115" s="2"/>
      <c r="L115" s="2">
        <f t="shared" si="14"/>
        <v>0</v>
      </c>
      <c r="M115" s="2"/>
      <c r="N115" s="6">
        <f t="shared" si="15"/>
        <v>0</v>
      </c>
      <c r="O115" s="14"/>
      <c r="P115" s="2">
        <f>SUM(OSRRefP22_7x_0)</f>
        <v>118.91</v>
      </c>
      <c r="Q115" s="2"/>
      <c r="R115" s="6">
        <f t="shared" si="16"/>
        <v>2.467101980389712E-5</v>
      </c>
      <c r="S115" s="2"/>
      <c r="T115" s="2">
        <f>SUM(OSRRefT22_7x_0)</f>
        <v>0</v>
      </c>
      <c r="U115" s="2"/>
      <c r="V115" s="6">
        <f t="shared" si="17"/>
        <v>0</v>
      </c>
      <c r="W115" s="2"/>
      <c r="X115" s="2">
        <f t="shared" si="18"/>
        <v>118.91</v>
      </c>
      <c r="Y115" s="2"/>
      <c r="Z115" s="6">
        <f t="shared" si="19"/>
        <v>0</v>
      </c>
    </row>
    <row r="116" spans="1:26" s="69" customFormat="1" ht="15" hidden="1" customHeight="1" outlineLevel="2" x14ac:dyDescent="0.25">
      <c r="A116" s="25"/>
      <c r="B116" s="12" t="str">
        <f>CONCATENATE("          ","6351"," - ","EQUIPMENT RENTAL")</f>
        <v xml:space="preserve">          6351 - EQUIPMENT RENTAL</v>
      </c>
      <c r="C116" s="12"/>
      <c r="D116" s="7"/>
      <c r="E116" s="3"/>
      <c r="F116" s="8">
        <f t="shared" si="12"/>
        <v>0</v>
      </c>
      <c r="G116" s="3"/>
      <c r="H116" s="7"/>
      <c r="I116" s="3"/>
      <c r="J116" s="8">
        <f t="shared" si="13"/>
        <v>0</v>
      </c>
      <c r="K116" s="3"/>
      <c r="L116" s="7">
        <f t="shared" si="14"/>
        <v>0</v>
      </c>
      <c r="M116" s="3"/>
      <c r="N116" s="8">
        <f t="shared" si="15"/>
        <v>0</v>
      </c>
      <c r="O116" s="12"/>
      <c r="P116" s="7">
        <v>118.91</v>
      </c>
      <c r="Q116" s="3"/>
      <c r="R116" s="8">
        <f t="shared" si="16"/>
        <v>2.467101980389712E-5</v>
      </c>
      <c r="S116" s="3"/>
      <c r="T116" s="7"/>
      <c r="U116" s="3"/>
      <c r="V116" s="8">
        <f t="shared" si="17"/>
        <v>0</v>
      </c>
      <c r="W116" s="3"/>
      <c r="X116" s="7">
        <f t="shared" si="18"/>
        <v>118.91</v>
      </c>
      <c r="Y116" s="3"/>
      <c r="Z116" s="8">
        <f t="shared" si="19"/>
        <v>0</v>
      </c>
    </row>
    <row r="117" spans="1:26" s="68" customFormat="1" ht="15" customHeight="1" outlineLevel="1" collapsed="1" x14ac:dyDescent="0.25">
      <c r="A117" s="26"/>
      <c r="B117" s="14" t="str">
        <f>CONCATENATE("     ","Freight out/Postage                               ")</f>
        <v xml:space="preserve">     Freight out/Postage                               </v>
      </c>
      <c r="C117" s="14"/>
      <c r="D117" s="2">
        <f>SUM(OSRRefD22_8x_0)</f>
        <v>0</v>
      </c>
      <c r="E117" s="2"/>
      <c r="F117" s="6">
        <f t="shared" si="12"/>
        <v>0</v>
      </c>
      <c r="G117" s="2"/>
      <c r="H117" s="2">
        <f>SUM(OSRRefH22_8x_0)</f>
        <v>29.05</v>
      </c>
      <c r="I117" s="2"/>
      <c r="J117" s="6">
        <f t="shared" si="13"/>
        <v>6.753892706614247E-5</v>
      </c>
      <c r="K117" s="2"/>
      <c r="L117" s="2">
        <f t="shared" si="14"/>
        <v>-29.05</v>
      </c>
      <c r="M117" s="2"/>
      <c r="N117" s="6">
        <f t="shared" si="15"/>
        <v>-1</v>
      </c>
      <c r="O117" s="14"/>
      <c r="P117" s="2">
        <f>SUM(OSRRefP22_8x_0)</f>
        <v>929.29</v>
      </c>
      <c r="Q117" s="2"/>
      <c r="R117" s="6">
        <f t="shared" si="16"/>
        <v>1.9280575219547181E-4</v>
      </c>
      <c r="S117" s="2"/>
      <c r="T117" s="2">
        <f>SUM(OSRRefT22_8x_0)</f>
        <v>-146.84999999999997</v>
      </c>
      <c r="U117" s="2"/>
      <c r="V117" s="6">
        <f t="shared" si="17"/>
        <v>-6.3376201885324794E-5</v>
      </c>
      <c r="W117" s="2"/>
      <c r="X117" s="2">
        <f t="shared" si="18"/>
        <v>1076.1399999999999</v>
      </c>
      <c r="Y117" s="2"/>
      <c r="Z117" s="6">
        <f t="shared" si="19"/>
        <v>-7.3281579843377607</v>
      </c>
    </row>
    <row r="118" spans="1:26" s="69" customFormat="1" ht="15" hidden="1" customHeight="1" outlineLevel="2" x14ac:dyDescent="0.25">
      <c r="A118" s="25"/>
      <c r="B118" s="12" t="str">
        <f>CONCATENATE("          ","6305"," - ","FREIGHT OUT")</f>
        <v xml:space="preserve">          6305 - FREIGHT OUT</v>
      </c>
      <c r="C118" s="12"/>
      <c r="D118" s="7"/>
      <c r="E118" s="3"/>
      <c r="F118" s="8">
        <f t="shared" si="12"/>
        <v>0</v>
      </c>
      <c r="G118" s="3"/>
      <c r="H118" s="7">
        <v>29.05</v>
      </c>
      <c r="I118" s="3"/>
      <c r="J118" s="8">
        <f t="shared" si="13"/>
        <v>6.753892706614247E-5</v>
      </c>
      <c r="K118" s="3"/>
      <c r="L118" s="7">
        <f t="shared" si="14"/>
        <v>-29.05</v>
      </c>
      <c r="M118" s="3"/>
      <c r="N118" s="8">
        <f t="shared" si="15"/>
        <v>-1</v>
      </c>
      <c r="O118" s="12"/>
      <c r="P118" s="7">
        <v>893.87</v>
      </c>
      <c r="Q118" s="3"/>
      <c r="R118" s="8">
        <f t="shared" si="16"/>
        <v>1.8545693778580034E-4</v>
      </c>
      <c r="S118" s="3"/>
      <c r="T118" s="7">
        <v>142.49</v>
      </c>
      <c r="U118" s="3"/>
      <c r="V118" s="8">
        <f t="shared" si="17"/>
        <v>6.1494552309430942E-5</v>
      </c>
      <c r="W118" s="3"/>
      <c r="X118" s="7">
        <f t="shared" si="18"/>
        <v>751.38</v>
      </c>
      <c r="Y118" s="3"/>
      <c r="Z118" s="8">
        <f t="shared" si="19"/>
        <v>5.2732121552389639</v>
      </c>
    </row>
    <row r="119" spans="1:26" s="69" customFormat="1" ht="15" hidden="1" customHeight="1" outlineLevel="2" x14ac:dyDescent="0.25">
      <c r="A119" s="25"/>
      <c r="B119" s="12" t="str">
        <f>CONCATENATE("          ","6307"," - ","POSTAGE")</f>
        <v xml:space="preserve">          6307 - POSTAGE</v>
      </c>
      <c r="C119" s="12"/>
      <c r="D119" s="7"/>
      <c r="E119" s="3"/>
      <c r="F119" s="8">
        <f t="shared" ref="F119:F150" si="20">IF(D$12=0,0,D119/D$12)</f>
        <v>0</v>
      </c>
      <c r="G119" s="3"/>
      <c r="H119" s="7"/>
      <c r="I119" s="3"/>
      <c r="J119" s="8">
        <f t="shared" ref="J119:J150" si="21">IF(H$12=0,0,H119/H$12)</f>
        <v>0</v>
      </c>
      <c r="K119" s="3"/>
      <c r="L119" s="7">
        <f t="shared" ref="L119:L150" si="22">+D119-H119</f>
        <v>0</v>
      </c>
      <c r="M119" s="3"/>
      <c r="N119" s="8">
        <f t="shared" ref="N119:N150" si="23">IF(H119=0,0,L119/H119)</f>
        <v>0</v>
      </c>
      <c r="O119" s="12"/>
      <c r="P119" s="7">
        <v>35.42</v>
      </c>
      <c r="Q119" s="3"/>
      <c r="R119" s="8">
        <f t="shared" ref="R119:R150" si="24">IF(P$12=0,0,P119/P$12)</f>
        <v>7.3488144096714827E-6</v>
      </c>
      <c r="S119" s="3"/>
      <c r="T119" s="7">
        <v>-289.33999999999997</v>
      </c>
      <c r="U119" s="3"/>
      <c r="V119" s="8">
        <f t="shared" ref="V119:V150" si="25">IF(T$12=0,0,T119/T$12)</f>
        <v>-1.2487075419475574E-4</v>
      </c>
      <c r="W119" s="3"/>
      <c r="X119" s="7">
        <f t="shared" ref="X119:X150" si="26">+P119-T119</f>
        <v>324.76</v>
      </c>
      <c r="Y119" s="3"/>
      <c r="Z119" s="8">
        <f t="shared" ref="Z119:Z150" si="27">IF(T119=0,0,X119/T119)</f>
        <v>-1.1224165341812402</v>
      </c>
    </row>
    <row r="120" spans="1:26" s="68" customFormat="1" ht="15" customHeight="1" outlineLevel="1" collapsed="1" x14ac:dyDescent="0.25">
      <c r="A120" s="26"/>
      <c r="B120" s="14" t="str">
        <f>CONCATENATE("     ","General                                           ")</f>
        <v xml:space="preserve">     General                                           </v>
      </c>
      <c r="C120" s="14"/>
      <c r="D120" s="2">
        <f>SUM(OSRRefD22_9x_0)</f>
        <v>0</v>
      </c>
      <c r="E120" s="2"/>
      <c r="F120" s="6">
        <f t="shared" si="20"/>
        <v>0</v>
      </c>
      <c r="G120" s="2"/>
      <c r="H120" s="2">
        <f>SUM(OSRRefH22_9x_0)</f>
        <v>0</v>
      </c>
      <c r="I120" s="2"/>
      <c r="J120" s="6">
        <f t="shared" si="21"/>
        <v>0</v>
      </c>
      <c r="K120" s="2"/>
      <c r="L120" s="2">
        <f t="shared" si="22"/>
        <v>0</v>
      </c>
      <c r="M120" s="2"/>
      <c r="N120" s="6">
        <f t="shared" si="23"/>
        <v>0</v>
      </c>
      <c r="O120" s="14"/>
      <c r="P120" s="2">
        <f>SUM(OSRRefP22_9x_0)</f>
        <v>2402.36</v>
      </c>
      <c r="Q120" s="2"/>
      <c r="R120" s="6">
        <f t="shared" si="24"/>
        <v>4.984330261213547E-4</v>
      </c>
      <c r="S120" s="2"/>
      <c r="T120" s="2">
        <f>SUM(OSRRefT22_9x_0)</f>
        <v>1380.29</v>
      </c>
      <c r="U120" s="2"/>
      <c r="V120" s="6">
        <f t="shared" si="25"/>
        <v>5.9569314062168867E-4</v>
      </c>
      <c r="W120" s="2"/>
      <c r="X120" s="2">
        <f t="shared" si="26"/>
        <v>1022.0700000000002</v>
      </c>
      <c r="Y120" s="2"/>
      <c r="Z120" s="6">
        <f t="shared" si="27"/>
        <v>0.74047482775358819</v>
      </c>
    </row>
    <row r="121" spans="1:26" s="69" customFormat="1" ht="15" hidden="1" customHeight="1" outlineLevel="2" x14ac:dyDescent="0.25">
      <c r="A121" s="25"/>
      <c r="B121" s="12" t="str">
        <f>CONCATENATE("          ","6279"," - ","GENERAL EXPENSE")</f>
        <v xml:space="preserve">          6279 - GENERAL EXPENSE</v>
      </c>
      <c r="C121" s="12"/>
      <c r="D121" s="7"/>
      <c r="E121" s="3"/>
      <c r="F121" s="8">
        <f t="shared" si="20"/>
        <v>0</v>
      </c>
      <c r="G121" s="3"/>
      <c r="H121" s="7"/>
      <c r="I121" s="3"/>
      <c r="J121" s="8">
        <f t="shared" si="21"/>
        <v>0</v>
      </c>
      <c r="K121" s="3"/>
      <c r="L121" s="7">
        <f t="shared" si="22"/>
        <v>0</v>
      </c>
      <c r="M121" s="3"/>
      <c r="N121" s="8">
        <f t="shared" si="23"/>
        <v>0</v>
      </c>
      <c r="O121" s="12"/>
      <c r="P121" s="7">
        <v>2402.36</v>
      </c>
      <c r="Q121" s="3"/>
      <c r="R121" s="8">
        <f t="shared" si="24"/>
        <v>4.984330261213547E-4</v>
      </c>
      <c r="S121" s="3"/>
      <c r="T121" s="7">
        <v>1380.29</v>
      </c>
      <c r="U121" s="3"/>
      <c r="V121" s="8">
        <f t="shared" si="25"/>
        <v>5.9569314062168867E-4</v>
      </c>
      <c r="W121" s="3"/>
      <c r="X121" s="7">
        <f t="shared" si="26"/>
        <v>1022.0700000000002</v>
      </c>
      <c r="Y121" s="3"/>
      <c r="Z121" s="8">
        <f t="shared" si="27"/>
        <v>0.74047482775358819</v>
      </c>
    </row>
    <row r="122" spans="1:26" s="68" customFormat="1" ht="15" customHeight="1" outlineLevel="1" collapsed="1" x14ac:dyDescent="0.25">
      <c r="A122" s="26"/>
      <c r="B122" s="14" t="str">
        <f>CONCATENATE("     ","Insurance                                         ")</f>
        <v xml:space="preserve">     Insurance                                         </v>
      </c>
      <c r="C122" s="14"/>
      <c r="D122" s="2">
        <f>SUM(OSRRefD22_10x_0)</f>
        <v>219.08</v>
      </c>
      <c r="E122" s="2"/>
      <c r="F122" s="6">
        <f t="shared" si="20"/>
        <v>2.8012335912608679E-4</v>
      </c>
      <c r="G122" s="2"/>
      <c r="H122" s="2">
        <f>SUM(OSRRefH22_10x_0)</f>
        <v>161.18</v>
      </c>
      <c r="I122" s="2"/>
      <c r="J122" s="6">
        <f t="shared" si="21"/>
        <v>3.7473061151534746E-4</v>
      </c>
      <c r="K122" s="2"/>
      <c r="L122" s="2">
        <f t="shared" si="22"/>
        <v>57.900000000000006</v>
      </c>
      <c r="M122" s="2"/>
      <c r="N122" s="6">
        <f t="shared" si="23"/>
        <v>0.35922571038590395</v>
      </c>
      <c r="O122" s="14"/>
      <c r="P122" s="2">
        <f>SUM(OSRRefP22_10x_0)</f>
        <v>2409.88</v>
      </c>
      <c r="Q122" s="2"/>
      <c r="R122" s="6">
        <f t="shared" si="24"/>
        <v>4.9999324871764859E-4</v>
      </c>
      <c r="S122" s="2"/>
      <c r="T122" s="2">
        <f>SUM(OSRRefT22_10x_0)</f>
        <v>1772.98</v>
      </c>
      <c r="U122" s="2"/>
      <c r="V122" s="6">
        <f t="shared" si="25"/>
        <v>7.6516675804319501E-4</v>
      </c>
      <c r="W122" s="2"/>
      <c r="X122" s="2">
        <f t="shared" si="26"/>
        <v>636.90000000000009</v>
      </c>
      <c r="Y122" s="2"/>
      <c r="Z122" s="6">
        <f t="shared" si="27"/>
        <v>0.35922571038590401</v>
      </c>
    </row>
    <row r="123" spans="1:26" s="69" customFormat="1" ht="15" hidden="1" customHeight="1" outlineLevel="2" x14ac:dyDescent="0.25">
      <c r="A123" s="25"/>
      <c r="B123" s="12" t="str">
        <f>CONCATENATE("          ","6314"," - ","LIABILITY INSURANCE")</f>
        <v xml:space="preserve">          6314 - LIABILITY INSURANCE</v>
      </c>
      <c r="C123" s="12"/>
      <c r="D123" s="7">
        <v>219.08</v>
      </c>
      <c r="E123" s="3"/>
      <c r="F123" s="8">
        <f t="shared" si="20"/>
        <v>2.8012335912608679E-4</v>
      </c>
      <c r="G123" s="3"/>
      <c r="H123" s="7">
        <v>161.18</v>
      </c>
      <c r="I123" s="3"/>
      <c r="J123" s="8">
        <f t="shared" si="21"/>
        <v>3.7473061151534746E-4</v>
      </c>
      <c r="K123" s="3"/>
      <c r="L123" s="7">
        <f t="shared" si="22"/>
        <v>57.900000000000006</v>
      </c>
      <c r="M123" s="3"/>
      <c r="N123" s="8">
        <f t="shared" si="23"/>
        <v>0.35922571038590395</v>
      </c>
      <c r="O123" s="12"/>
      <c r="P123" s="7">
        <v>2409.88</v>
      </c>
      <c r="Q123" s="3"/>
      <c r="R123" s="8">
        <f t="shared" si="24"/>
        <v>4.9999324871764859E-4</v>
      </c>
      <c r="S123" s="3"/>
      <c r="T123" s="7">
        <v>1772.98</v>
      </c>
      <c r="U123" s="3"/>
      <c r="V123" s="8">
        <f t="shared" si="25"/>
        <v>7.6516675804319501E-4</v>
      </c>
      <c r="W123" s="3"/>
      <c r="X123" s="7">
        <f t="shared" si="26"/>
        <v>636.90000000000009</v>
      </c>
      <c r="Y123" s="3"/>
      <c r="Z123" s="8">
        <f t="shared" si="27"/>
        <v>0.35922571038590401</v>
      </c>
    </row>
    <row r="124" spans="1:26" s="68" customFormat="1" ht="15" customHeight="1" outlineLevel="1" collapsed="1" x14ac:dyDescent="0.25">
      <c r="A124" s="26"/>
      <c r="B124" s="14" t="str">
        <f>CONCATENATE("     ","Inventory Adjustment                              ")</f>
        <v xml:space="preserve">     Inventory Adjustment                              </v>
      </c>
      <c r="C124" s="14"/>
      <c r="D124" s="2">
        <f>SUM(OSRRefD22_11x_0)</f>
        <v>3450</v>
      </c>
      <c r="E124" s="2"/>
      <c r="F124" s="6">
        <f t="shared" si="20"/>
        <v>4.411290802378124E-3</v>
      </c>
      <c r="G124" s="2"/>
      <c r="H124" s="2">
        <f>SUM(OSRRefH22_11x_0)</f>
        <v>1100</v>
      </c>
      <c r="I124" s="2"/>
      <c r="J124" s="6">
        <f t="shared" si="21"/>
        <v>2.5574120403702829E-3</v>
      </c>
      <c r="K124" s="2"/>
      <c r="L124" s="2">
        <f t="shared" si="22"/>
        <v>2350</v>
      </c>
      <c r="M124" s="2"/>
      <c r="N124" s="6">
        <f t="shared" si="23"/>
        <v>2.1363636363636362</v>
      </c>
      <c r="O124" s="14"/>
      <c r="P124" s="2">
        <f>SUM(OSRRefP22_11x_0)</f>
        <v>37950</v>
      </c>
      <c r="Q124" s="2"/>
      <c r="R124" s="6">
        <f t="shared" si="24"/>
        <v>7.8737297246480164E-3</v>
      </c>
      <c r="S124" s="2"/>
      <c r="T124" s="2">
        <f>SUM(OSRRefT22_11x_0)</f>
        <v>12100</v>
      </c>
      <c r="U124" s="2"/>
      <c r="V124" s="6">
        <f t="shared" si="25"/>
        <v>5.2220091441091609E-3</v>
      </c>
      <c r="W124" s="2"/>
      <c r="X124" s="2">
        <f t="shared" si="26"/>
        <v>25850</v>
      </c>
      <c r="Y124" s="2"/>
      <c r="Z124" s="6">
        <f t="shared" si="27"/>
        <v>2.1363636363636362</v>
      </c>
    </row>
    <row r="125" spans="1:26" s="69" customFormat="1" ht="15" hidden="1" customHeight="1" outlineLevel="2" x14ac:dyDescent="0.25">
      <c r="A125" s="25"/>
      <c r="B125" s="12" t="str">
        <f>CONCATENATE("          ","6408"," - ","INVENTORY ADJUSTMENT")</f>
        <v xml:space="preserve">          6408 - INVENTORY ADJUSTMENT</v>
      </c>
      <c r="C125" s="12"/>
      <c r="D125" s="7">
        <v>3450</v>
      </c>
      <c r="E125" s="3"/>
      <c r="F125" s="8">
        <f t="shared" si="20"/>
        <v>4.411290802378124E-3</v>
      </c>
      <c r="G125" s="3"/>
      <c r="H125" s="7">
        <v>1100</v>
      </c>
      <c r="I125" s="3"/>
      <c r="J125" s="8">
        <f t="shared" si="21"/>
        <v>2.5574120403702829E-3</v>
      </c>
      <c r="K125" s="3"/>
      <c r="L125" s="7">
        <f t="shared" si="22"/>
        <v>2350</v>
      </c>
      <c r="M125" s="3"/>
      <c r="N125" s="8">
        <f t="shared" si="23"/>
        <v>2.1363636363636362</v>
      </c>
      <c r="O125" s="12"/>
      <c r="P125" s="7">
        <v>37950</v>
      </c>
      <c r="Q125" s="3"/>
      <c r="R125" s="8">
        <f t="shared" si="24"/>
        <v>7.8737297246480164E-3</v>
      </c>
      <c r="S125" s="3"/>
      <c r="T125" s="7">
        <v>12100</v>
      </c>
      <c r="U125" s="3"/>
      <c r="V125" s="8">
        <f t="shared" si="25"/>
        <v>5.2220091441091609E-3</v>
      </c>
      <c r="W125" s="3"/>
      <c r="X125" s="7">
        <f t="shared" si="26"/>
        <v>25850</v>
      </c>
      <c r="Y125" s="3"/>
      <c r="Z125" s="8">
        <f t="shared" si="27"/>
        <v>2.1363636363636362</v>
      </c>
    </row>
    <row r="126" spans="1:26" s="69" customFormat="1" ht="15" hidden="1" customHeight="1" outlineLevel="2" x14ac:dyDescent="0.25">
      <c r="A126" s="25"/>
      <c r="B126" s="12" t="str">
        <f>CONCATENATE("          ","7741"," - ","INV. SHRINKAGE-LOGO GIFTS")</f>
        <v xml:space="preserve">          7741 - INV. SHRINKAGE-LOGO GIFTS</v>
      </c>
      <c r="C126" s="12"/>
      <c r="D126" s="7"/>
      <c r="E126" s="3"/>
      <c r="F126" s="8">
        <f t="shared" si="20"/>
        <v>0</v>
      </c>
      <c r="G126" s="3"/>
      <c r="H126" s="7"/>
      <c r="I126" s="3"/>
      <c r="J126" s="8">
        <f t="shared" si="21"/>
        <v>0</v>
      </c>
      <c r="K126" s="3"/>
      <c r="L126" s="7">
        <f t="shared" si="22"/>
        <v>0</v>
      </c>
      <c r="M126" s="3"/>
      <c r="N126" s="8">
        <f t="shared" si="23"/>
        <v>0</v>
      </c>
      <c r="O126" s="12"/>
      <c r="P126" s="7"/>
      <c r="Q126" s="3"/>
      <c r="R126" s="8">
        <f t="shared" si="24"/>
        <v>0</v>
      </c>
      <c r="S126" s="3"/>
      <c r="T126" s="7">
        <v>0</v>
      </c>
      <c r="U126" s="3"/>
      <c r="V126" s="8">
        <f t="shared" si="25"/>
        <v>0</v>
      </c>
      <c r="W126" s="3"/>
      <c r="X126" s="7">
        <f t="shared" si="26"/>
        <v>0</v>
      </c>
      <c r="Y126" s="3"/>
      <c r="Z126" s="8">
        <f t="shared" si="27"/>
        <v>0</v>
      </c>
    </row>
    <row r="127" spans="1:26" s="68" customFormat="1" ht="15" customHeight="1" outlineLevel="1" collapsed="1" x14ac:dyDescent="0.25">
      <c r="A127" s="26"/>
      <c r="B127" s="14" t="str">
        <f>CONCATENATE("     ","Professional Services                             ")</f>
        <v xml:space="preserve">     Professional Services                             </v>
      </c>
      <c r="C127" s="14"/>
      <c r="D127" s="2">
        <f>SUM(OSRRefD22_12x_0)</f>
        <v>0</v>
      </c>
      <c r="E127" s="2"/>
      <c r="F127" s="6">
        <f t="shared" si="20"/>
        <v>0</v>
      </c>
      <c r="G127" s="2"/>
      <c r="H127" s="2">
        <f>SUM(OSRRefH22_12x_0)</f>
        <v>0</v>
      </c>
      <c r="I127" s="2"/>
      <c r="J127" s="6">
        <f t="shared" si="21"/>
        <v>0</v>
      </c>
      <c r="K127" s="2"/>
      <c r="L127" s="2">
        <f t="shared" si="22"/>
        <v>0</v>
      </c>
      <c r="M127" s="2"/>
      <c r="N127" s="6">
        <f t="shared" si="23"/>
        <v>0</v>
      </c>
      <c r="O127" s="14"/>
      <c r="P127" s="2">
        <f>SUM(OSRRefP22_12x_0)</f>
        <v>2109.1</v>
      </c>
      <c r="Q127" s="2"/>
      <c r="R127" s="6">
        <f t="shared" si="24"/>
        <v>4.375884943940746E-4</v>
      </c>
      <c r="S127" s="2"/>
      <c r="T127" s="2">
        <f>SUM(OSRRefT22_12x_0)</f>
        <v>0</v>
      </c>
      <c r="U127" s="2"/>
      <c r="V127" s="6">
        <f t="shared" si="25"/>
        <v>0</v>
      </c>
      <c r="W127" s="2"/>
      <c r="X127" s="2">
        <f t="shared" si="26"/>
        <v>2109.1</v>
      </c>
      <c r="Y127" s="2"/>
      <c r="Z127" s="6">
        <f t="shared" si="27"/>
        <v>0</v>
      </c>
    </row>
    <row r="128" spans="1:26" s="69" customFormat="1" ht="15" hidden="1" customHeight="1" outlineLevel="2" x14ac:dyDescent="0.25">
      <c r="A128" s="25"/>
      <c r="B128" s="12" t="str">
        <f>CONCATENATE("          ","6336"," - ","PROFESSIONAL SERVICES")</f>
        <v xml:space="preserve">          6336 - PROFESSIONAL SERVICES</v>
      </c>
      <c r="C128" s="12"/>
      <c r="D128" s="7"/>
      <c r="E128" s="3"/>
      <c r="F128" s="8">
        <f t="shared" si="20"/>
        <v>0</v>
      </c>
      <c r="G128" s="3"/>
      <c r="H128" s="7"/>
      <c r="I128" s="3"/>
      <c r="J128" s="8">
        <f t="shared" si="21"/>
        <v>0</v>
      </c>
      <c r="K128" s="3"/>
      <c r="L128" s="7">
        <f t="shared" si="22"/>
        <v>0</v>
      </c>
      <c r="M128" s="3"/>
      <c r="N128" s="8">
        <f t="shared" si="23"/>
        <v>0</v>
      </c>
      <c r="O128" s="12"/>
      <c r="P128" s="7">
        <v>2109.1</v>
      </c>
      <c r="Q128" s="3"/>
      <c r="R128" s="8">
        <f t="shared" si="24"/>
        <v>4.375884943940746E-4</v>
      </c>
      <c r="S128" s="3"/>
      <c r="T128" s="7"/>
      <c r="U128" s="3"/>
      <c r="V128" s="8">
        <f t="shared" si="25"/>
        <v>0</v>
      </c>
      <c r="W128" s="3"/>
      <c r="X128" s="7">
        <f t="shared" si="26"/>
        <v>2109.1</v>
      </c>
      <c r="Y128" s="3"/>
      <c r="Z128" s="8">
        <f t="shared" si="27"/>
        <v>0</v>
      </c>
    </row>
    <row r="129" spans="1:26" s="68" customFormat="1" ht="15" customHeight="1" outlineLevel="1" collapsed="1" x14ac:dyDescent="0.25">
      <c r="A129" s="26"/>
      <c r="B129" s="14" t="str">
        <f>CONCATENATE("     ","Rent                                              ")</f>
        <v xml:space="preserve">     Rent                                              </v>
      </c>
      <c r="C129" s="14"/>
      <c r="D129" s="2">
        <f>SUM(OSRRefD22_13x_0)</f>
        <v>6900</v>
      </c>
      <c r="E129" s="2"/>
      <c r="F129" s="6">
        <f t="shared" si="20"/>
        <v>8.822581604756248E-3</v>
      </c>
      <c r="G129" s="2"/>
      <c r="H129" s="2">
        <f>SUM(OSRRefH22_13x_0)</f>
        <v>6900</v>
      </c>
      <c r="I129" s="2"/>
      <c r="J129" s="6">
        <f t="shared" si="21"/>
        <v>1.6041948253231773E-2</v>
      </c>
      <c r="K129" s="2"/>
      <c r="L129" s="2">
        <f t="shared" si="22"/>
        <v>0</v>
      </c>
      <c r="M129" s="2"/>
      <c r="N129" s="6">
        <f t="shared" si="23"/>
        <v>0</v>
      </c>
      <c r="O129" s="14"/>
      <c r="P129" s="2">
        <f>SUM(OSRRefP22_13x_0)</f>
        <v>75900</v>
      </c>
      <c r="Q129" s="2"/>
      <c r="R129" s="6">
        <f t="shared" si="24"/>
        <v>1.5747459449296033E-2</v>
      </c>
      <c r="S129" s="2"/>
      <c r="T129" s="2">
        <f>SUM(OSRRefT22_13x_0)</f>
        <v>75900</v>
      </c>
      <c r="U129" s="2"/>
      <c r="V129" s="6">
        <f t="shared" si="25"/>
        <v>3.2756239176684736E-2</v>
      </c>
      <c r="W129" s="2"/>
      <c r="X129" s="2">
        <f t="shared" si="26"/>
        <v>0</v>
      </c>
      <c r="Y129" s="2"/>
      <c r="Z129" s="6">
        <f t="shared" si="27"/>
        <v>0</v>
      </c>
    </row>
    <row r="130" spans="1:26" s="69" customFormat="1" ht="15" hidden="1" customHeight="1" outlineLevel="2" x14ac:dyDescent="0.25">
      <c r="A130" s="25"/>
      <c r="B130" s="12" t="str">
        <f>CONCATENATE("          ","6273"," - ","RENT")</f>
        <v xml:space="preserve">          6273 - RENT</v>
      </c>
      <c r="C130" s="12"/>
      <c r="D130" s="7">
        <v>6900</v>
      </c>
      <c r="E130" s="3"/>
      <c r="F130" s="8">
        <f t="shared" si="20"/>
        <v>8.822581604756248E-3</v>
      </c>
      <c r="G130" s="3"/>
      <c r="H130" s="7">
        <v>6900</v>
      </c>
      <c r="I130" s="3"/>
      <c r="J130" s="8">
        <f t="shared" si="21"/>
        <v>1.6041948253231773E-2</v>
      </c>
      <c r="K130" s="3"/>
      <c r="L130" s="7">
        <f t="shared" si="22"/>
        <v>0</v>
      </c>
      <c r="M130" s="3"/>
      <c r="N130" s="8">
        <f t="shared" si="23"/>
        <v>0</v>
      </c>
      <c r="O130" s="12"/>
      <c r="P130" s="7">
        <v>75900</v>
      </c>
      <c r="Q130" s="3"/>
      <c r="R130" s="8">
        <f t="shared" si="24"/>
        <v>1.5747459449296033E-2</v>
      </c>
      <c r="S130" s="3"/>
      <c r="T130" s="7">
        <v>75900</v>
      </c>
      <c r="U130" s="3"/>
      <c r="V130" s="8">
        <f t="shared" si="25"/>
        <v>3.2756239176684736E-2</v>
      </c>
      <c r="W130" s="3"/>
      <c r="X130" s="7">
        <f t="shared" si="26"/>
        <v>0</v>
      </c>
      <c r="Y130" s="3"/>
      <c r="Z130" s="8">
        <f t="shared" si="27"/>
        <v>0</v>
      </c>
    </row>
    <row r="131" spans="1:26" s="68" customFormat="1" ht="15" customHeight="1" outlineLevel="1" collapsed="1" x14ac:dyDescent="0.25">
      <c r="A131" s="26"/>
      <c r="B131" s="14" t="str">
        <f>CONCATENATE("     ","Repair and Maintenance                            ")</f>
        <v xml:space="preserve">     Repair and Maintenance                            </v>
      </c>
      <c r="C131" s="14"/>
      <c r="D131" s="2">
        <f>SUM(OSRRefD22_14x_0)</f>
        <v>0</v>
      </c>
      <c r="E131" s="2"/>
      <c r="F131" s="6">
        <f t="shared" si="20"/>
        <v>0</v>
      </c>
      <c r="G131" s="2"/>
      <c r="H131" s="2">
        <f>SUM(OSRRefH22_14x_0)</f>
        <v>0</v>
      </c>
      <c r="I131" s="2"/>
      <c r="J131" s="6">
        <f t="shared" si="21"/>
        <v>0</v>
      </c>
      <c r="K131" s="2"/>
      <c r="L131" s="2">
        <f t="shared" si="22"/>
        <v>0</v>
      </c>
      <c r="M131" s="2"/>
      <c r="N131" s="6">
        <f t="shared" si="23"/>
        <v>0</v>
      </c>
      <c r="O131" s="14"/>
      <c r="P131" s="2">
        <f>SUM(OSRRefP22_14x_0)</f>
        <v>5378.62</v>
      </c>
      <c r="Q131" s="2"/>
      <c r="R131" s="6">
        <f t="shared" si="24"/>
        <v>1.1159367634146593E-3</v>
      </c>
      <c r="S131" s="2"/>
      <c r="T131" s="2">
        <f>SUM(OSRRefT22_14x_0)</f>
        <v>309.70999999999998</v>
      </c>
      <c r="U131" s="2"/>
      <c r="V131" s="6">
        <f t="shared" si="25"/>
        <v>1.3366185553901223E-4</v>
      </c>
      <c r="W131" s="2"/>
      <c r="X131" s="2">
        <f t="shared" si="26"/>
        <v>5068.91</v>
      </c>
      <c r="Y131" s="2"/>
      <c r="Z131" s="6">
        <f t="shared" si="27"/>
        <v>16.36663330212134</v>
      </c>
    </row>
    <row r="132" spans="1:26" s="69" customFormat="1" ht="15" hidden="1" customHeight="1" outlineLevel="2" x14ac:dyDescent="0.25">
      <c r="A132" s="25"/>
      <c r="B132" s="12" t="str">
        <f>CONCATENATE("          ","6372"," - ","COMPUTER HARDWARE MAINTENANCE")</f>
        <v xml:space="preserve">          6372 - COMPUTER HARDWARE MAINTENANCE</v>
      </c>
      <c r="C132" s="12"/>
      <c r="D132" s="7"/>
      <c r="E132" s="3"/>
      <c r="F132" s="8">
        <f t="shared" si="20"/>
        <v>0</v>
      </c>
      <c r="G132" s="3"/>
      <c r="H132" s="7"/>
      <c r="I132" s="3"/>
      <c r="J132" s="8">
        <f t="shared" si="21"/>
        <v>0</v>
      </c>
      <c r="K132" s="3"/>
      <c r="L132" s="7">
        <f t="shared" si="22"/>
        <v>0</v>
      </c>
      <c r="M132" s="3"/>
      <c r="N132" s="8">
        <f t="shared" si="23"/>
        <v>0</v>
      </c>
      <c r="O132" s="12"/>
      <c r="P132" s="7"/>
      <c r="Q132" s="3"/>
      <c r="R132" s="8">
        <f t="shared" si="24"/>
        <v>0</v>
      </c>
      <c r="S132" s="3"/>
      <c r="T132" s="7">
        <v>-0.52</v>
      </c>
      <c r="U132" s="3"/>
      <c r="V132" s="8">
        <f t="shared" si="25"/>
        <v>-2.244169218956003E-7</v>
      </c>
      <c r="W132" s="3"/>
      <c r="X132" s="7">
        <f t="shared" si="26"/>
        <v>0.52</v>
      </c>
      <c r="Y132" s="3"/>
      <c r="Z132" s="8">
        <f t="shared" si="27"/>
        <v>-1</v>
      </c>
    </row>
    <row r="133" spans="1:26" s="69" customFormat="1" ht="15" hidden="1" customHeight="1" outlineLevel="2" x14ac:dyDescent="0.25">
      <c r="A133" s="25"/>
      <c r="B133" s="12" t="str">
        <f>CONCATENATE("          ","6373"," - ","MAINTENANCE CONTRACTS")</f>
        <v xml:space="preserve">          6373 - MAINTENANCE CONTRACTS</v>
      </c>
      <c r="C133" s="12"/>
      <c r="D133" s="7"/>
      <c r="E133" s="3"/>
      <c r="F133" s="8">
        <f t="shared" si="20"/>
        <v>0</v>
      </c>
      <c r="G133" s="3"/>
      <c r="H133" s="7"/>
      <c r="I133" s="3"/>
      <c r="J133" s="8">
        <f t="shared" si="21"/>
        <v>0</v>
      </c>
      <c r="K133" s="3"/>
      <c r="L133" s="7">
        <f t="shared" si="22"/>
        <v>0</v>
      </c>
      <c r="M133" s="3"/>
      <c r="N133" s="8">
        <f t="shared" si="23"/>
        <v>0</v>
      </c>
      <c r="O133" s="12"/>
      <c r="P133" s="7">
        <v>714.5</v>
      </c>
      <c r="Q133" s="3"/>
      <c r="R133" s="8">
        <f t="shared" si="24"/>
        <v>1.4824189428882761E-4</v>
      </c>
      <c r="S133" s="3"/>
      <c r="T133" s="7">
        <v>144.66999999999999</v>
      </c>
      <c r="U133" s="3"/>
      <c r="V133" s="8">
        <f t="shared" si="25"/>
        <v>6.2435377097377868E-5</v>
      </c>
      <c r="W133" s="3"/>
      <c r="X133" s="7">
        <f t="shared" si="26"/>
        <v>569.83000000000004</v>
      </c>
      <c r="Y133" s="3"/>
      <c r="Z133" s="8">
        <f t="shared" si="27"/>
        <v>3.9388262943250161</v>
      </c>
    </row>
    <row r="134" spans="1:26" s="69" customFormat="1" ht="15" hidden="1" customHeight="1" outlineLevel="2" x14ac:dyDescent="0.25">
      <c r="A134" s="25"/>
      <c r="B134" s="12" t="str">
        <f>CONCATENATE("          ","6375"," - ","OUTSIDE REPAIRS &amp; MAINTENANCE")</f>
        <v xml:space="preserve">          6375 - OUTSIDE REPAIRS &amp; MAINTENANCE</v>
      </c>
      <c r="C134" s="12"/>
      <c r="D134" s="7"/>
      <c r="E134" s="3"/>
      <c r="F134" s="8">
        <f t="shared" si="20"/>
        <v>0</v>
      </c>
      <c r="G134" s="3"/>
      <c r="H134" s="7"/>
      <c r="I134" s="3"/>
      <c r="J134" s="8">
        <f t="shared" si="21"/>
        <v>0</v>
      </c>
      <c r="K134" s="3"/>
      <c r="L134" s="7">
        <f t="shared" si="22"/>
        <v>0</v>
      </c>
      <c r="M134" s="3"/>
      <c r="N134" s="8">
        <f t="shared" si="23"/>
        <v>0</v>
      </c>
      <c r="O134" s="12"/>
      <c r="P134" s="7">
        <v>4664.12</v>
      </c>
      <c r="Q134" s="3"/>
      <c r="R134" s="8">
        <f t="shared" si="24"/>
        <v>9.6769486912583159E-4</v>
      </c>
      <c r="S134" s="3"/>
      <c r="T134" s="7">
        <v>165.56</v>
      </c>
      <c r="U134" s="3"/>
      <c r="V134" s="8">
        <f t="shared" si="25"/>
        <v>7.145089536352997E-5</v>
      </c>
      <c r="W134" s="3"/>
      <c r="X134" s="7">
        <f t="shared" si="26"/>
        <v>4498.5599999999995</v>
      </c>
      <c r="Y134" s="3"/>
      <c r="Z134" s="8">
        <f t="shared" si="27"/>
        <v>27.171780623338968</v>
      </c>
    </row>
    <row r="135" spans="1:26" s="68" customFormat="1" ht="15" customHeight="1" outlineLevel="1" collapsed="1" x14ac:dyDescent="0.25">
      <c r="A135" s="26"/>
      <c r="B135" s="14" t="str">
        <f>CONCATENATE("     ","Royalty &amp; Commissions                             ")</f>
        <v xml:space="preserve">     Royalty &amp; Commissions                             </v>
      </c>
      <c r="C135" s="14"/>
      <c r="D135" s="2">
        <f>SUM(OSRRefD22_15x_0)</f>
        <v>2584.1300000000006</v>
      </c>
      <c r="E135" s="2"/>
      <c r="F135" s="6">
        <f t="shared" si="20"/>
        <v>3.3041591017824298E-3</v>
      </c>
      <c r="G135" s="2"/>
      <c r="H135" s="2">
        <f>SUM(OSRRefH22_15x_0)</f>
        <v>0</v>
      </c>
      <c r="I135" s="2"/>
      <c r="J135" s="6">
        <f t="shared" si="21"/>
        <v>0</v>
      </c>
      <c r="K135" s="2"/>
      <c r="L135" s="2">
        <f t="shared" si="22"/>
        <v>2584.1300000000006</v>
      </c>
      <c r="M135" s="2"/>
      <c r="N135" s="6">
        <f t="shared" si="23"/>
        <v>0</v>
      </c>
      <c r="O135" s="14"/>
      <c r="P135" s="2">
        <f>SUM(OSRRefP22_15x_0)</f>
        <v>72156.009999999995</v>
      </c>
      <c r="Q135" s="2"/>
      <c r="R135" s="6">
        <f t="shared" si="24"/>
        <v>1.4970669848458485E-2</v>
      </c>
      <c r="S135" s="2"/>
      <c r="T135" s="2">
        <f>SUM(OSRRefT22_15x_0)</f>
        <v>35159.06</v>
      </c>
      <c r="U135" s="2"/>
      <c r="V135" s="6">
        <f t="shared" si="25"/>
        <v>1.5173630811428316E-2</v>
      </c>
      <c r="W135" s="2"/>
      <c r="X135" s="2">
        <f t="shared" si="26"/>
        <v>36996.949999999997</v>
      </c>
      <c r="Y135" s="2"/>
      <c r="Z135" s="6">
        <f t="shared" si="27"/>
        <v>1.0522735818306861</v>
      </c>
    </row>
    <row r="136" spans="1:26" s="69" customFormat="1" ht="15" hidden="1" customHeight="1" outlineLevel="2" x14ac:dyDescent="0.25">
      <c r="A136" s="25"/>
      <c r="B136" s="12" t="str">
        <f>CONCATENATE("          ","6253"," - ","ROYALTY DUE ATHLETICS-LRG")</f>
        <v xml:space="preserve">          6253 - ROYALTY DUE ATHLETICS-LRG</v>
      </c>
      <c r="C136" s="12"/>
      <c r="D136" s="7">
        <v>-3708.97</v>
      </c>
      <c r="E136" s="3"/>
      <c r="F136" s="8">
        <f t="shared" si="20"/>
        <v>-4.7424189122598224E-3</v>
      </c>
      <c r="G136" s="3"/>
      <c r="H136" s="7"/>
      <c r="I136" s="3"/>
      <c r="J136" s="8">
        <f t="shared" si="21"/>
        <v>0</v>
      </c>
      <c r="K136" s="3"/>
      <c r="L136" s="7">
        <f t="shared" si="22"/>
        <v>-3708.97</v>
      </c>
      <c r="M136" s="3"/>
      <c r="N136" s="8">
        <f t="shared" si="23"/>
        <v>0</v>
      </c>
      <c r="O136" s="12"/>
      <c r="P136" s="7">
        <v>51456.52</v>
      </c>
      <c r="Q136" s="3"/>
      <c r="R136" s="8">
        <f t="shared" si="24"/>
        <v>1.0676013993437291E-2</v>
      </c>
      <c r="S136" s="3"/>
      <c r="T136" s="7">
        <v>35159.06</v>
      </c>
      <c r="U136" s="3"/>
      <c r="V136" s="8">
        <f t="shared" si="25"/>
        <v>1.5173630811428316E-2</v>
      </c>
      <c r="W136" s="3"/>
      <c r="X136" s="7">
        <f t="shared" si="26"/>
        <v>16297.46</v>
      </c>
      <c r="Y136" s="3"/>
      <c r="Z136" s="8">
        <f t="shared" si="27"/>
        <v>0.46353514570639831</v>
      </c>
    </row>
    <row r="137" spans="1:26" s="69" customFormat="1" ht="15" hidden="1" customHeight="1" outlineLevel="2" x14ac:dyDescent="0.25">
      <c r="A137" s="25"/>
      <c r="B137" s="12" t="str">
        <f>CONCATENATE("          ","6254"," - ","ROYALTY &amp; COMMISSIONS")</f>
        <v xml:space="preserve">          6254 - ROYALTY &amp; COMMISSIONS</v>
      </c>
      <c r="C137" s="12"/>
      <c r="D137" s="7">
        <v>6293.1</v>
      </c>
      <c r="E137" s="3"/>
      <c r="F137" s="8">
        <f t="shared" si="20"/>
        <v>8.0465780140422521E-3</v>
      </c>
      <c r="G137" s="3"/>
      <c r="H137" s="7"/>
      <c r="I137" s="3"/>
      <c r="J137" s="8">
        <f t="shared" si="21"/>
        <v>0</v>
      </c>
      <c r="K137" s="3"/>
      <c r="L137" s="7">
        <f t="shared" si="22"/>
        <v>6293.1</v>
      </c>
      <c r="M137" s="3"/>
      <c r="N137" s="8">
        <f t="shared" si="23"/>
        <v>0</v>
      </c>
      <c r="O137" s="12"/>
      <c r="P137" s="7">
        <v>20699.490000000002</v>
      </c>
      <c r="Q137" s="3"/>
      <c r="R137" s="8">
        <f t="shared" si="24"/>
        <v>4.2946558550211959E-3</v>
      </c>
      <c r="S137" s="3"/>
      <c r="T137" s="7"/>
      <c r="U137" s="3"/>
      <c r="V137" s="8">
        <f t="shared" si="25"/>
        <v>0</v>
      </c>
      <c r="W137" s="3"/>
      <c r="X137" s="7">
        <f t="shared" si="26"/>
        <v>20699.490000000002</v>
      </c>
      <c r="Y137" s="3"/>
      <c r="Z137" s="8">
        <f t="shared" si="27"/>
        <v>0</v>
      </c>
    </row>
    <row r="138" spans="1:26" s="68" customFormat="1" ht="15" customHeight="1" outlineLevel="1" collapsed="1" x14ac:dyDescent="0.25">
      <c r="A138" s="26"/>
      <c r="B138" s="14" t="str">
        <f>CONCATENATE("     ","Services                                          ")</f>
        <v xml:space="preserve">     Services                                          </v>
      </c>
      <c r="C138" s="14"/>
      <c r="D138" s="2">
        <f>SUM(OSRRefD22_16x_0)</f>
        <v>223.45</v>
      </c>
      <c r="E138" s="2"/>
      <c r="F138" s="6">
        <f t="shared" si="20"/>
        <v>2.8571099414243238E-4</v>
      </c>
      <c r="G138" s="2"/>
      <c r="H138" s="2">
        <f>SUM(OSRRefH22_16x_0)</f>
        <v>155.59</v>
      </c>
      <c r="I138" s="2"/>
      <c r="J138" s="6">
        <f t="shared" si="21"/>
        <v>3.6173430851019298E-4</v>
      </c>
      <c r="K138" s="2"/>
      <c r="L138" s="2">
        <f t="shared" si="22"/>
        <v>67.859999999999985</v>
      </c>
      <c r="M138" s="2"/>
      <c r="N138" s="6">
        <f t="shared" si="23"/>
        <v>0.43614628189472321</v>
      </c>
      <c r="O138" s="14"/>
      <c r="P138" s="2">
        <f>SUM(OSRRefP22_16x_0)</f>
        <v>1876.0099999999998</v>
      </c>
      <c r="Q138" s="2"/>
      <c r="R138" s="6">
        <f t="shared" si="24"/>
        <v>3.8922781820123649E-4</v>
      </c>
      <c r="S138" s="2"/>
      <c r="T138" s="2">
        <f>SUM(OSRRefT22_16x_0)</f>
        <v>918.51999999999987</v>
      </c>
      <c r="U138" s="2"/>
      <c r="V138" s="6">
        <f t="shared" si="25"/>
        <v>3.9640659826835914E-4</v>
      </c>
      <c r="W138" s="2"/>
      <c r="X138" s="2">
        <f t="shared" si="26"/>
        <v>957.4899999999999</v>
      </c>
      <c r="Y138" s="2"/>
      <c r="Z138" s="6">
        <f t="shared" si="27"/>
        <v>1.0424269476984716</v>
      </c>
    </row>
    <row r="139" spans="1:26" s="69" customFormat="1" ht="15" hidden="1" customHeight="1" outlineLevel="2" x14ac:dyDescent="0.25">
      <c r="A139" s="25"/>
      <c r="B139" s="12" t="str">
        <f>CONCATENATE("          ","6283"," - ","PLANT SERVICE")</f>
        <v xml:space="preserve">          6283 - PLANT SERVICE</v>
      </c>
      <c r="C139" s="12"/>
      <c r="D139" s="7"/>
      <c r="E139" s="3"/>
      <c r="F139" s="8">
        <f t="shared" si="20"/>
        <v>0</v>
      </c>
      <c r="G139" s="3"/>
      <c r="H139" s="7"/>
      <c r="I139" s="3"/>
      <c r="J139" s="8">
        <f t="shared" si="21"/>
        <v>0</v>
      </c>
      <c r="K139" s="3"/>
      <c r="L139" s="7">
        <f t="shared" si="22"/>
        <v>0</v>
      </c>
      <c r="M139" s="3"/>
      <c r="N139" s="8">
        <f t="shared" si="23"/>
        <v>0</v>
      </c>
      <c r="O139" s="12"/>
      <c r="P139" s="7"/>
      <c r="Q139" s="3"/>
      <c r="R139" s="8">
        <f t="shared" si="24"/>
        <v>0</v>
      </c>
      <c r="S139" s="3"/>
      <c r="T139" s="7">
        <v>41.31</v>
      </c>
      <c r="U139" s="3"/>
      <c r="V139" s="8">
        <f t="shared" si="25"/>
        <v>1.7828198160590861E-5</v>
      </c>
      <c r="W139" s="3"/>
      <c r="X139" s="7">
        <f t="shared" si="26"/>
        <v>-41.31</v>
      </c>
      <c r="Y139" s="3"/>
      <c r="Z139" s="8">
        <f t="shared" si="27"/>
        <v>-1</v>
      </c>
    </row>
    <row r="140" spans="1:26" s="69" customFormat="1" ht="15" hidden="1" customHeight="1" outlineLevel="2" x14ac:dyDescent="0.25">
      <c r="A140" s="25"/>
      <c r="B140" s="12" t="str">
        <f>CONCATENATE("          ","6284"," - ","TRASH REMOVAL EXPENSE")</f>
        <v xml:space="preserve">          6284 - TRASH REMOVAL EXPENSE</v>
      </c>
      <c r="C140" s="12"/>
      <c r="D140" s="7">
        <v>149.69999999999999</v>
      </c>
      <c r="E140" s="3"/>
      <c r="F140" s="8">
        <f t="shared" si="20"/>
        <v>1.9141166177275509E-4</v>
      </c>
      <c r="G140" s="3"/>
      <c r="H140" s="7">
        <v>142.57</v>
      </c>
      <c r="I140" s="3"/>
      <c r="J140" s="8">
        <f t="shared" si="21"/>
        <v>3.3146384963235562E-4</v>
      </c>
      <c r="K140" s="3"/>
      <c r="L140" s="7">
        <f t="shared" si="22"/>
        <v>7.1299999999999955</v>
      </c>
      <c r="M140" s="3"/>
      <c r="N140" s="8">
        <f t="shared" si="23"/>
        <v>5.0010521147506461E-2</v>
      </c>
      <c r="O140" s="12"/>
      <c r="P140" s="7">
        <v>1489.87</v>
      </c>
      <c r="Q140" s="3"/>
      <c r="R140" s="8">
        <f t="shared" si="24"/>
        <v>3.0911287759845431E-4</v>
      </c>
      <c r="S140" s="3"/>
      <c r="T140" s="7">
        <v>1583.29</v>
      </c>
      <c r="U140" s="3"/>
      <c r="V140" s="8">
        <f t="shared" si="25"/>
        <v>6.8330205436170188E-4</v>
      </c>
      <c r="W140" s="3"/>
      <c r="X140" s="7">
        <f t="shared" si="26"/>
        <v>-93.420000000000073</v>
      </c>
      <c r="Y140" s="3"/>
      <c r="Z140" s="8">
        <f t="shared" si="27"/>
        <v>-5.9003720101813359E-2</v>
      </c>
    </row>
    <row r="141" spans="1:26" s="69" customFormat="1" ht="15" hidden="1" customHeight="1" outlineLevel="2" x14ac:dyDescent="0.25">
      <c r="A141" s="25"/>
      <c r="B141" s="12" t="str">
        <f>CONCATENATE("          ","6285"," - ","JANITORIAL SERVICES")</f>
        <v xml:space="preserve">          6285 - JANITORIAL SERVICES</v>
      </c>
      <c r="C141" s="12"/>
      <c r="D141" s="7">
        <v>73.75</v>
      </c>
      <c r="E141" s="3"/>
      <c r="F141" s="8">
        <f t="shared" si="20"/>
        <v>9.4299332369677285E-5</v>
      </c>
      <c r="G141" s="3"/>
      <c r="H141" s="7">
        <v>13.02</v>
      </c>
      <c r="I141" s="3"/>
      <c r="J141" s="8">
        <f t="shared" si="21"/>
        <v>3.0270458877837346E-5</v>
      </c>
      <c r="K141" s="3"/>
      <c r="L141" s="7">
        <f t="shared" si="22"/>
        <v>60.730000000000004</v>
      </c>
      <c r="M141" s="3"/>
      <c r="N141" s="8">
        <f t="shared" si="23"/>
        <v>4.6643625192012292</v>
      </c>
      <c r="O141" s="12"/>
      <c r="P141" s="7">
        <v>386.14</v>
      </c>
      <c r="Q141" s="3"/>
      <c r="R141" s="8">
        <f t="shared" si="24"/>
        <v>8.0114940602782212E-5</v>
      </c>
      <c r="S141" s="3"/>
      <c r="T141" s="7">
        <v>-706.08</v>
      </c>
      <c r="U141" s="3"/>
      <c r="V141" s="8">
        <f t="shared" si="25"/>
        <v>-3.047236542539336E-4</v>
      </c>
      <c r="W141" s="3"/>
      <c r="X141" s="7">
        <f t="shared" si="26"/>
        <v>1092.22</v>
      </c>
      <c r="Y141" s="3"/>
      <c r="Z141" s="8">
        <f t="shared" si="27"/>
        <v>-1.5468785406752776</v>
      </c>
    </row>
    <row r="142" spans="1:26" s="68" customFormat="1" ht="15" customHeight="1" outlineLevel="1" collapsed="1" x14ac:dyDescent="0.25">
      <c r="A142" s="26"/>
      <c r="B142" s="14" t="str">
        <f>CONCATENATE("     ","Subscriptions &amp; Dues                              ")</f>
        <v xml:space="preserve">     Subscriptions &amp; Dues                              </v>
      </c>
      <c r="C142" s="14"/>
      <c r="D142" s="2">
        <f>SUM(OSRRefD22_17x_0)</f>
        <v>0</v>
      </c>
      <c r="E142" s="2"/>
      <c r="F142" s="6">
        <f t="shared" si="20"/>
        <v>0</v>
      </c>
      <c r="G142" s="2"/>
      <c r="H142" s="2">
        <f>SUM(OSRRefH22_17x_0)</f>
        <v>25.15</v>
      </c>
      <c r="I142" s="2"/>
      <c r="J142" s="6">
        <f t="shared" si="21"/>
        <v>5.8471738923011459E-5</v>
      </c>
      <c r="K142" s="2"/>
      <c r="L142" s="2">
        <f t="shared" si="22"/>
        <v>-25.15</v>
      </c>
      <c r="M142" s="2"/>
      <c r="N142" s="6">
        <f t="shared" si="23"/>
        <v>-1</v>
      </c>
      <c r="O142" s="14"/>
      <c r="P142" s="2">
        <f>SUM(OSRRefP22_17x_0)</f>
        <v>125</v>
      </c>
      <c r="Q142" s="2"/>
      <c r="R142" s="6">
        <f t="shared" si="24"/>
        <v>2.5934551135204273E-5</v>
      </c>
      <c r="S142" s="2"/>
      <c r="T142" s="2">
        <f>SUM(OSRRefT22_17x_0)</f>
        <v>2047.7199999999998</v>
      </c>
      <c r="U142" s="2"/>
      <c r="V142" s="6">
        <f t="shared" si="25"/>
        <v>8.8373657558472808E-4</v>
      </c>
      <c r="W142" s="2"/>
      <c r="X142" s="2">
        <f t="shared" si="26"/>
        <v>-1922.7199999999998</v>
      </c>
      <c r="Y142" s="2"/>
      <c r="Z142" s="6">
        <f t="shared" si="27"/>
        <v>-0.93895649795870528</v>
      </c>
    </row>
    <row r="143" spans="1:26" s="69" customFormat="1" ht="15" hidden="1" customHeight="1" outlineLevel="2" x14ac:dyDescent="0.25">
      <c r="A143" s="25"/>
      <c r="B143" s="12" t="str">
        <f>CONCATENATE("          ","6258"," - ","MEMBERSHIP DUES")</f>
        <v xml:space="preserve">          6258 - MEMBERSHIP DUES</v>
      </c>
      <c r="C143" s="12"/>
      <c r="D143" s="7"/>
      <c r="E143" s="3"/>
      <c r="F143" s="8">
        <f t="shared" si="20"/>
        <v>0</v>
      </c>
      <c r="G143" s="3"/>
      <c r="H143" s="7">
        <v>25.15</v>
      </c>
      <c r="I143" s="3"/>
      <c r="J143" s="8">
        <f t="shared" si="21"/>
        <v>5.8471738923011459E-5</v>
      </c>
      <c r="K143" s="3"/>
      <c r="L143" s="7">
        <f t="shared" si="22"/>
        <v>-25.15</v>
      </c>
      <c r="M143" s="3"/>
      <c r="N143" s="8">
        <f t="shared" si="23"/>
        <v>-1</v>
      </c>
      <c r="O143" s="12"/>
      <c r="P143" s="7">
        <v>125</v>
      </c>
      <c r="Q143" s="3"/>
      <c r="R143" s="8">
        <f t="shared" si="24"/>
        <v>2.5934551135204273E-5</v>
      </c>
      <c r="S143" s="3"/>
      <c r="T143" s="7">
        <v>-342.88</v>
      </c>
      <c r="U143" s="3"/>
      <c r="V143" s="8">
        <f t="shared" si="25"/>
        <v>-1.4797706572992967E-4</v>
      </c>
      <c r="W143" s="3"/>
      <c r="X143" s="7">
        <f t="shared" si="26"/>
        <v>467.88</v>
      </c>
      <c r="Y143" s="3"/>
      <c r="Z143" s="8">
        <f t="shared" si="27"/>
        <v>-1.3645590293980401</v>
      </c>
    </row>
    <row r="144" spans="1:26" s="69" customFormat="1" ht="15" hidden="1" customHeight="1" outlineLevel="2" x14ac:dyDescent="0.25">
      <c r="A144" s="25"/>
      <c r="B144" s="12" t="str">
        <f>CONCATENATE("          ","6275"," - ","SUBSCRIPTIONS")</f>
        <v xml:space="preserve">          6275 - SUBSCRIPTIONS</v>
      </c>
      <c r="C144" s="12"/>
      <c r="D144" s="7"/>
      <c r="E144" s="3"/>
      <c r="F144" s="8">
        <f t="shared" si="20"/>
        <v>0</v>
      </c>
      <c r="G144" s="3"/>
      <c r="H144" s="7"/>
      <c r="I144" s="3"/>
      <c r="J144" s="8">
        <f t="shared" si="21"/>
        <v>0</v>
      </c>
      <c r="K144" s="3"/>
      <c r="L144" s="7">
        <f t="shared" si="22"/>
        <v>0</v>
      </c>
      <c r="M144" s="3"/>
      <c r="N144" s="8">
        <f t="shared" si="23"/>
        <v>0</v>
      </c>
      <c r="O144" s="12"/>
      <c r="P144" s="7"/>
      <c r="Q144" s="3"/>
      <c r="R144" s="8">
        <f t="shared" si="24"/>
        <v>0</v>
      </c>
      <c r="S144" s="3"/>
      <c r="T144" s="7">
        <v>2390.6</v>
      </c>
      <c r="U144" s="3"/>
      <c r="V144" s="8">
        <f t="shared" si="25"/>
        <v>1.0317136413146577E-3</v>
      </c>
      <c r="W144" s="3"/>
      <c r="X144" s="7">
        <f t="shared" si="26"/>
        <v>-2390.6</v>
      </c>
      <c r="Y144" s="3"/>
      <c r="Z144" s="8">
        <f t="shared" si="27"/>
        <v>-1</v>
      </c>
    </row>
    <row r="145" spans="1:26" s="68" customFormat="1" ht="15" customHeight="1" outlineLevel="1" collapsed="1" x14ac:dyDescent="0.25">
      <c r="A145" s="26"/>
      <c r="B145" s="14" t="str">
        <f>CONCATENATE("     ","Supplies                                          ")</f>
        <v xml:space="preserve">     Supplies                                          </v>
      </c>
      <c r="C145" s="14"/>
      <c r="D145" s="2">
        <f>SUM(OSRRefD22_18x_0)</f>
        <v>3180.89</v>
      </c>
      <c r="E145" s="2"/>
      <c r="F145" s="6">
        <f t="shared" si="20"/>
        <v>4.0671973334424783E-3</v>
      </c>
      <c r="G145" s="2"/>
      <c r="H145" s="2">
        <f>SUM(OSRRefH22_18x_0)</f>
        <v>51.7</v>
      </c>
      <c r="I145" s="2"/>
      <c r="J145" s="6">
        <f t="shared" si="21"/>
        <v>1.2019836589740329E-4</v>
      </c>
      <c r="K145" s="2"/>
      <c r="L145" s="2">
        <f t="shared" si="22"/>
        <v>3129.19</v>
      </c>
      <c r="M145" s="2"/>
      <c r="N145" s="6">
        <f t="shared" si="23"/>
        <v>60.52591876208897</v>
      </c>
      <c r="O145" s="14"/>
      <c r="P145" s="2">
        <f>SUM(OSRRefP22_18x_0)</f>
        <v>13327.65</v>
      </c>
      <c r="Q145" s="2"/>
      <c r="R145" s="6">
        <f t="shared" si="24"/>
        <v>2.7651729634968415E-3</v>
      </c>
      <c r="S145" s="2"/>
      <c r="T145" s="2">
        <f>SUM(OSRRefT22_18x_0)</f>
        <v>4640.7700000000004</v>
      </c>
      <c r="U145" s="2"/>
      <c r="V145" s="6">
        <f t="shared" si="25"/>
        <v>2.0028217665873944E-3</v>
      </c>
      <c r="W145" s="2"/>
      <c r="X145" s="2">
        <f t="shared" si="26"/>
        <v>8686.8799999999992</v>
      </c>
      <c r="Y145" s="2"/>
      <c r="Z145" s="6">
        <f t="shared" si="27"/>
        <v>1.8718617815578016</v>
      </c>
    </row>
    <row r="146" spans="1:26" s="69" customFormat="1" ht="15" hidden="1" customHeight="1" outlineLevel="2" x14ac:dyDescent="0.25">
      <c r="A146" s="25"/>
      <c r="B146" s="12" t="str">
        <f>CONCATENATE("          ","6234"," - ","EXPENDABLE SUPPLIES &amp; EQUIPMEN")</f>
        <v xml:space="preserve">          6234 - EXPENDABLE SUPPLIES &amp; EQUIPMEN</v>
      </c>
      <c r="C146" s="12"/>
      <c r="D146" s="7"/>
      <c r="E146" s="3"/>
      <c r="F146" s="8">
        <f t="shared" si="20"/>
        <v>0</v>
      </c>
      <c r="G146" s="3"/>
      <c r="H146" s="7"/>
      <c r="I146" s="3"/>
      <c r="J146" s="8">
        <f t="shared" si="21"/>
        <v>0</v>
      </c>
      <c r="K146" s="3"/>
      <c r="L146" s="7">
        <f t="shared" si="22"/>
        <v>0</v>
      </c>
      <c r="M146" s="3"/>
      <c r="N146" s="8">
        <f t="shared" si="23"/>
        <v>0</v>
      </c>
      <c r="O146" s="12"/>
      <c r="P146" s="7"/>
      <c r="Q146" s="3"/>
      <c r="R146" s="8">
        <f t="shared" si="24"/>
        <v>0</v>
      </c>
      <c r="S146" s="3"/>
      <c r="T146" s="7">
        <v>449.5</v>
      </c>
      <c r="U146" s="3"/>
      <c r="V146" s="8">
        <f t="shared" si="25"/>
        <v>1.9399116613860065E-4</v>
      </c>
      <c r="W146" s="3"/>
      <c r="X146" s="7">
        <f t="shared" si="26"/>
        <v>-449.5</v>
      </c>
      <c r="Y146" s="3"/>
      <c r="Z146" s="8">
        <f t="shared" si="27"/>
        <v>-1</v>
      </c>
    </row>
    <row r="147" spans="1:26" s="69" customFormat="1" ht="15" hidden="1" customHeight="1" outlineLevel="2" x14ac:dyDescent="0.25">
      <c r="A147" s="25"/>
      <c r="B147" s="12" t="str">
        <f>CONCATENATE("          ","6235"," - ","COVID-19 EXPENSES")</f>
        <v xml:space="preserve">          6235 - COVID-19 EXPENSES</v>
      </c>
      <c r="C147" s="12"/>
      <c r="D147" s="7"/>
      <c r="E147" s="3"/>
      <c r="F147" s="8">
        <f t="shared" si="20"/>
        <v>0</v>
      </c>
      <c r="G147" s="3"/>
      <c r="H147" s="7"/>
      <c r="I147" s="3"/>
      <c r="J147" s="8">
        <f t="shared" si="21"/>
        <v>0</v>
      </c>
      <c r="K147" s="3"/>
      <c r="L147" s="7">
        <f t="shared" si="22"/>
        <v>0</v>
      </c>
      <c r="M147" s="3"/>
      <c r="N147" s="8">
        <f t="shared" si="23"/>
        <v>0</v>
      </c>
      <c r="O147" s="12"/>
      <c r="P147" s="7"/>
      <c r="Q147" s="3"/>
      <c r="R147" s="8">
        <f t="shared" si="24"/>
        <v>0</v>
      </c>
      <c r="S147" s="3"/>
      <c r="T147" s="7">
        <v>1292.1300000000001</v>
      </c>
      <c r="U147" s="3"/>
      <c r="V147" s="8">
        <f t="shared" si="25"/>
        <v>5.5764584094031159E-4</v>
      </c>
      <c r="W147" s="3"/>
      <c r="X147" s="7">
        <f t="shared" si="26"/>
        <v>-1292.1300000000001</v>
      </c>
      <c r="Y147" s="3"/>
      <c r="Z147" s="8">
        <f t="shared" si="27"/>
        <v>-1</v>
      </c>
    </row>
    <row r="148" spans="1:26" s="69" customFormat="1" ht="15" hidden="1" customHeight="1" outlineLevel="2" x14ac:dyDescent="0.25">
      <c r="A148" s="25"/>
      <c r="B148" s="12" t="str">
        <f>CONCATENATE("          ","6237"," - ","JANITORIAL SUPPLIES")</f>
        <v xml:space="preserve">          6237 - JANITORIAL SUPPLIES</v>
      </c>
      <c r="C148" s="12"/>
      <c r="D148" s="7">
        <v>82.78</v>
      </c>
      <c r="E148" s="3"/>
      <c r="F148" s="8">
        <f t="shared" si="20"/>
        <v>1.0584540655677132E-4</v>
      </c>
      <c r="G148" s="3"/>
      <c r="H148" s="7"/>
      <c r="I148" s="3"/>
      <c r="J148" s="8">
        <f t="shared" si="21"/>
        <v>0</v>
      </c>
      <c r="K148" s="3"/>
      <c r="L148" s="7">
        <f t="shared" si="22"/>
        <v>82.78</v>
      </c>
      <c r="M148" s="3"/>
      <c r="N148" s="8">
        <f t="shared" si="23"/>
        <v>0</v>
      </c>
      <c r="O148" s="12"/>
      <c r="P148" s="7">
        <v>852.79</v>
      </c>
      <c r="Q148" s="3"/>
      <c r="R148" s="8">
        <f t="shared" si="24"/>
        <v>1.7693380690072681E-4</v>
      </c>
      <c r="S148" s="3"/>
      <c r="T148" s="7">
        <v>191.74</v>
      </c>
      <c r="U148" s="3"/>
      <c r="V148" s="8">
        <f t="shared" si="25"/>
        <v>8.2749424238966158E-5</v>
      </c>
      <c r="W148" s="3"/>
      <c r="X148" s="7">
        <f t="shared" si="26"/>
        <v>661.05</v>
      </c>
      <c r="Y148" s="3"/>
      <c r="Z148" s="8">
        <f t="shared" si="27"/>
        <v>3.4476374256806088</v>
      </c>
    </row>
    <row r="149" spans="1:26" s="69" customFormat="1" ht="15" hidden="1" customHeight="1" outlineLevel="2" x14ac:dyDescent="0.25">
      <c r="A149" s="25"/>
      <c r="B149" s="12" t="str">
        <f>CONCATENATE("          ","6241"," - ","OFFICE EXPENSE")</f>
        <v xml:space="preserve">          6241 - OFFICE EXPENSE</v>
      </c>
      <c r="C149" s="12"/>
      <c r="D149" s="7">
        <v>153.16999999999999</v>
      </c>
      <c r="E149" s="3"/>
      <c r="F149" s="8">
        <f t="shared" si="20"/>
        <v>1.9584852527543685E-4</v>
      </c>
      <c r="G149" s="3"/>
      <c r="H149" s="7">
        <v>51.7</v>
      </c>
      <c r="I149" s="3"/>
      <c r="J149" s="8">
        <f t="shared" si="21"/>
        <v>1.2019836589740329E-4</v>
      </c>
      <c r="K149" s="3"/>
      <c r="L149" s="7">
        <f t="shared" si="22"/>
        <v>101.46999999999998</v>
      </c>
      <c r="M149" s="3"/>
      <c r="N149" s="8">
        <f t="shared" si="23"/>
        <v>1.9626692456479686</v>
      </c>
      <c r="O149" s="12"/>
      <c r="P149" s="7">
        <v>2474.85</v>
      </c>
      <c r="Q149" s="3"/>
      <c r="R149" s="8">
        <f t="shared" si="24"/>
        <v>5.1347299101568234E-4</v>
      </c>
      <c r="S149" s="3"/>
      <c r="T149" s="7">
        <v>1597.17</v>
      </c>
      <c r="U149" s="3"/>
      <c r="V149" s="8">
        <f t="shared" si="25"/>
        <v>6.8929225989229983E-4</v>
      </c>
      <c r="W149" s="3"/>
      <c r="X149" s="7">
        <f t="shared" si="26"/>
        <v>877.67999999999984</v>
      </c>
      <c r="Y149" s="3"/>
      <c r="Z149" s="8">
        <f t="shared" si="27"/>
        <v>0.54952196697909417</v>
      </c>
    </row>
    <row r="150" spans="1:26" s="69" customFormat="1" ht="15" hidden="1" customHeight="1" outlineLevel="2" x14ac:dyDescent="0.25">
      <c r="A150" s="25"/>
      <c r="B150" s="12" t="str">
        <f>CONCATENATE("          ","6245"," - ","PRINTING")</f>
        <v xml:space="preserve">          6245 - PRINTING</v>
      </c>
      <c r="C150" s="12"/>
      <c r="D150" s="7"/>
      <c r="E150" s="3"/>
      <c r="F150" s="8">
        <f t="shared" si="20"/>
        <v>0</v>
      </c>
      <c r="G150" s="3"/>
      <c r="H150" s="7"/>
      <c r="I150" s="3"/>
      <c r="J150" s="8">
        <f t="shared" si="21"/>
        <v>0</v>
      </c>
      <c r="K150" s="3"/>
      <c r="L150" s="7">
        <f t="shared" si="22"/>
        <v>0</v>
      </c>
      <c r="M150" s="3"/>
      <c r="N150" s="8">
        <f t="shared" si="23"/>
        <v>0</v>
      </c>
      <c r="O150" s="12"/>
      <c r="P150" s="7">
        <v>35.549999999999997</v>
      </c>
      <c r="Q150" s="3"/>
      <c r="R150" s="8">
        <f t="shared" si="24"/>
        <v>7.3757863428520944E-6</v>
      </c>
      <c r="S150" s="3"/>
      <c r="T150" s="7"/>
      <c r="U150" s="3"/>
      <c r="V150" s="8">
        <f t="shared" si="25"/>
        <v>0</v>
      </c>
      <c r="W150" s="3"/>
      <c r="X150" s="7">
        <f t="shared" si="26"/>
        <v>35.549999999999997</v>
      </c>
      <c r="Y150" s="3"/>
      <c r="Z150" s="8">
        <f t="shared" si="27"/>
        <v>0</v>
      </c>
    </row>
    <row r="151" spans="1:26" s="69" customFormat="1" ht="15" hidden="1" customHeight="1" outlineLevel="2" x14ac:dyDescent="0.25">
      <c r="A151" s="25"/>
      <c r="B151" s="12" t="str">
        <f>CONCATENATE("          ","6247"," - ","STORE SUPPLIES")</f>
        <v xml:space="preserve">          6247 - STORE SUPPLIES</v>
      </c>
      <c r="C151" s="12"/>
      <c r="D151" s="7">
        <v>2944.94</v>
      </c>
      <c r="E151" s="3"/>
      <c r="F151" s="8">
        <f t="shared" ref="F151:F159" si="28">IF(D$12=0,0,D151/D$12)</f>
        <v>3.7655034016102701E-3</v>
      </c>
      <c r="G151" s="3"/>
      <c r="H151" s="7"/>
      <c r="I151" s="3"/>
      <c r="J151" s="8">
        <f t="shared" ref="J151:J159" si="29">IF(H$12=0,0,H151/H$12)</f>
        <v>0</v>
      </c>
      <c r="K151" s="3"/>
      <c r="L151" s="7">
        <f t="shared" ref="L151:L159" si="30">+D151-H151</f>
        <v>2944.94</v>
      </c>
      <c r="M151" s="3"/>
      <c r="N151" s="8">
        <f t="shared" ref="N151:N159" si="31">IF(H151=0,0,L151/H151)</f>
        <v>0</v>
      </c>
      <c r="O151" s="12"/>
      <c r="P151" s="7">
        <v>9964.4599999999991</v>
      </c>
      <c r="Q151" s="3"/>
      <c r="R151" s="8">
        <f t="shared" ref="R151:R159" si="32">IF(P$12=0,0,P151/P$12)</f>
        <v>2.0673903792375803E-3</v>
      </c>
      <c r="S151" s="3"/>
      <c r="T151" s="7">
        <v>1110.23</v>
      </c>
      <c r="U151" s="3"/>
      <c r="V151" s="8">
        <f t="shared" ref="V151:V159" si="33">IF(T$12=0,0,T151/T$12)</f>
        <v>4.7914307537721599E-4</v>
      </c>
      <c r="W151" s="3"/>
      <c r="X151" s="7">
        <f t="shared" ref="X151:X159" si="34">+P151-T151</f>
        <v>8854.23</v>
      </c>
      <c r="Y151" s="3"/>
      <c r="Z151" s="8">
        <f t="shared" ref="Z151:Z159" si="35">IF(T151=0,0,X151/T151)</f>
        <v>7.9751312791043292</v>
      </c>
    </row>
    <row r="152" spans="1:26" s="68" customFormat="1" ht="15" customHeight="1" outlineLevel="1" collapsed="1" x14ac:dyDescent="0.25">
      <c r="A152" s="26"/>
      <c r="B152" s="14" t="str">
        <f>CONCATENATE("     ","Telephone/Data Lines                              ")</f>
        <v xml:space="preserve">     Telephone/Data Lines                              </v>
      </c>
      <c r="C152" s="14"/>
      <c r="D152" s="2">
        <f>SUM(OSRRefD22_19x_0)</f>
        <v>625.44000000000005</v>
      </c>
      <c r="E152" s="2"/>
      <c r="F152" s="6">
        <f t="shared" si="28"/>
        <v>7.9970948389547069E-4</v>
      </c>
      <c r="G152" s="2"/>
      <c r="H152" s="2">
        <f>SUM(OSRRefH22_19x_0)</f>
        <v>496.7</v>
      </c>
      <c r="I152" s="2"/>
      <c r="J152" s="6">
        <f t="shared" si="29"/>
        <v>1.1547877822290177E-3</v>
      </c>
      <c r="K152" s="2"/>
      <c r="L152" s="2">
        <f t="shared" si="30"/>
        <v>128.74000000000007</v>
      </c>
      <c r="M152" s="2"/>
      <c r="N152" s="6">
        <f t="shared" si="31"/>
        <v>0.25919065834507765</v>
      </c>
      <c r="O152" s="14"/>
      <c r="P152" s="2">
        <f>SUM(OSRRefP22_19x_0)</f>
        <v>5988.09</v>
      </c>
      <c r="Q152" s="2"/>
      <c r="R152" s="6">
        <f t="shared" si="32"/>
        <v>1.2423874104576429E-3</v>
      </c>
      <c r="S152" s="2"/>
      <c r="T152" s="2">
        <f>SUM(OSRRefT22_19x_0)</f>
        <v>6255.43</v>
      </c>
      <c r="U152" s="2"/>
      <c r="V152" s="6">
        <f t="shared" si="33"/>
        <v>2.6996622033334519E-3</v>
      </c>
      <c r="W152" s="2"/>
      <c r="X152" s="2">
        <f t="shared" si="34"/>
        <v>-267.34000000000015</v>
      </c>
      <c r="Y152" s="2"/>
      <c r="Z152" s="6">
        <f t="shared" si="35"/>
        <v>-4.2737269859945699E-2</v>
      </c>
    </row>
    <row r="153" spans="1:26" s="69" customFormat="1" ht="15" hidden="1" customHeight="1" outlineLevel="2" x14ac:dyDescent="0.25">
      <c r="A153" s="25"/>
      <c r="B153" s="12" t="str">
        <f>CONCATENATE("          ","6309"," - ","TELEPHONE")</f>
        <v xml:space="preserve">          6309 - TELEPHONE</v>
      </c>
      <c r="C153" s="12"/>
      <c r="D153" s="7">
        <v>625.44000000000005</v>
      </c>
      <c r="E153" s="3"/>
      <c r="F153" s="8">
        <f t="shared" si="28"/>
        <v>7.9970948389547069E-4</v>
      </c>
      <c r="G153" s="3"/>
      <c r="H153" s="7">
        <v>496.7</v>
      </c>
      <c r="I153" s="3"/>
      <c r="J153" s="8">
        <f t="shared" si="29"/>
        <v>1.1547877822290177E-3</v>
      </c>
      <c r="K153" s="3"/>
      <c r="L153" s="7">
        <f t="shared" si="30"/>
        <v>128.74000000000007</v>
      </c>
      <c r="M153" s="3"/>
      <c r="N153" s="8">
        <f t="shared" si="31"/>
        <v>0.25919065834507765</v>
      </c>
      <c r="O153" s="12"/>
      <c r="P153" s="7">
        <v>5988.09</v>
      </c>
      <c r="Q153" s="3"/>
      <c r="R153" s="8">
        <f t="shared" si="32"/>
        <v>1.2423874104576429E-3</v>
      </c>
      <c r="S153" s="3"/>
      <c r="T153" s="7">
        <v>6255.43</v>
      </c>
      <c r="U153" s="3"/>
      <c r="V153" s="8">
        <f t="shared" si="33"/>
        <v>2.6996622033334519E-3</v>
      </c>
      <c r="W153" s="3"/>
      <c r="X153" s="7">
        <f t="shared" si="34"/>
        <v>-267.34000000000015</v>
      </c>
      <c r="Y153" s="3"/>
      <c r="Z153" s="8">
        <f t="shared" si="35"/>
        <v>-4.2737269859945699E-2</v>
      </c>
    </row>
    <row r="154" spans="1:26" s="68" customFormat="1" ht="15" customHeight="1" outlineLevel="1" collapsed="1" x14ac:dyDescent="0.25">
      <c r="A154" s="26"/>
      <c r="B154" s="14" t="str">
        <f>CONCATENATE("     ","Training                                          ")</f>
        <v xml:space="preserve">     Training                                          </v>
      </c>
      <c r="C154" s="14"/>
      <c r="D154" s="2">
        <f>SUM(OSRRefD22_20x_0)</f>
        <v>0</v>
      </c>
      <c r="E154" s="2"/>
      <c r="F154" s="6">
        <f t="shared" si="28"/>
        <v>0</v>
      </c>
      <c r="G154" s="2"/>
      <c r="H154" s="2">
        <f>SUM(OSRRefH22_20x_0)</f>
        <v>0</v>
      </c>
      <c r="I154" s="2"/>
      <c r="J154" s="6">
        <f t="shared" si="29"/>
        <v>0</v>
      </c>
      <c r="K154" s="2"/>
      <c r="L154" s="2">
        <f t="shared" si="30"/>
        <v>0</v>
      </c>
      <c r="M154" s="2"/>
      <c r="N154" s="6">
        <f t="shared" si="31"/>
        <v>0</v>
      </c>
      <c r="O154" s="14"/>
      <c r="P154" s="2">
        <f>SUM(OSRRefP22_20x_0)</f>
        <v>300</v>
      </c>
      <c r="Q154" s="2"/>
      <c r="R154" s="6">
        <f t="shared" si="32"/>
        <v>6.2242922724490258E-5</v>
      </c>
      <c r="S154" s="2"/>
      <c r="T154" s="2">
        <f>SUM(OSRRefT22_20x_0)</f>
        <v>0</v>
      </c>
      <c r="U154" s="2"/>
      <c r="V154" s="6">
        <f t="shared" si="33"/>
        <v>0</v>
      </c>
      <c r="W154" s="2"/>
      <c r="X154" s="2">
        <f t="shared" si="34"/>
        <v>300</v>
      </c>
      <c r="Y154" s="2"/>
      <c r="Z154" s="6">
        <f t="shared" si="35"/>
        <v>0</v>
      </c>
    </row>
    <row r="155" spans="1:26" s="69" customFormat="1" ht="15" hidden="1" customHeight="1" outlineLevel="2" x14ac:dyDescent="0.25">
      <c r="A155" s="25"/>
      <c r="B155" s="12" t="str">
        <f>CONCATENATE("          ","6376"," - ","TRAINING")</f>
        <v xml:space="preserve">          6376 - TRAINING</v>
      </c>
      <c r="C155" s="12"/>
      <c r="D155" s="7"/>
      <c r="E155" s="3"/>
      <c r="F155" s="8">
        <f t="shared" si="28"/>
        <v>0</v>
      </c>
      <c r="G155" s="3"/>
      <c r="H155" s="7"/>
      <c r="I155" s="3"/>
      <c r="J155" s="8">
        <f t="shared" si="29"/>
        <v>0</v>
      </c>
      <c r="K155" s="3"/>
      <c r="L155" s="7">
        <f t="shared" si="30"/>
        <v>0</v>
      </c>
      <c r="M155" s="3"/>
      <c r="N155" s="8">
        <f t="shared" si="31"/>
        <v>0</v>
      </c>
      <c r="O155" s="12"/>
      <c r="P155" s="7">
        <v>300</v>
      </c>
      <c r="Q155" s="3"/>
      <c r="R155" s="8">
        <f t="shared" si="32"/>
        <v>6.2242922724490258E-5</v>
      </c>
      <c r="S155" s="3"/>
      <c r="T155" s="7"/>
      <c r="U155" s="3"/>
      <c r="V155" s="8">
        <f t="shared" si="33"/>
        <v>0</v>
      </c>
      <c r="W155" s="3"/>
      <c r="X155" s="7">
        <f t="shared" si="34"/>
        <v>300</v>
      </c>
      <c r="Y155" s="3"/>
      <c r="Z155" s="8">
        <f t="shared" si="35"/>
        <v>0</v>
      </c>
    </row>
    <row r="156" spans="1:26" s="68" customFormat="1" ht="15" customHeight="1" outlineLevel="1" collapsed="1" x14ac:dyDescent="0.25">
      <c r="A156" s="26"/>
      <c r="B156" s="14" t="str">
        <f>CONCATENATE("     ","Travel                                            ")</f>
        <v xml:space="preserve">     Travel                                            </v>
      </c>
      <c r="C156" s="14"/>
      <c r="D156" s="2">
        <f>SUM(OSRRefD22_21x_0)</f>
        <v>187.15</v>
      </c>
      <c r="E156" s="2"/>
      <c r="F156" s="6">
        <f t="shared" si="28"/>
        <v>2.3929654309132344E-4</v>
      </c>
      <c r="G156" s="2"/>
      <c r="H156" s="2">
        <f>SUM(OSRRefH22_21x_0)</f>
        <v>0</v>
      </c>
      <c r="I156" s="2"/>
      <c r="J156" s="6">
        <f t="shared" si="29"/>
        <v>0</v>
      </c>
      <c r="K156" s="2"/>
      <c r="L156" s="2">
        <f t="shared" si="30"/>
        <v>187.15</v>
      </c>
      <c r="M156" s="2"/>
      <c r="N156" s="6">
        <f t="shared" si="31"/>
        <v>0</v>
      </c>
      <c r="O156" s="14"/>
      <c r="P156" s="2">
        <f>SUM(OSRRefP22_21x_0)</f>
        <v>590.63</v>
      </c>
      <c r="Q156" s="2"/>
      <c r="R156" s="6">
        <f t="shared" si="32"/>
        <v>1.2254179149588559E-4</v>
      </c>
      <c r="S156" s="2"/>
      <c r="T156" s="2">
        <f>SUM(OSRRefT22_21x_0)</f>
        <v>613.35</v>
      </c>
      <c r="U156" s="2"/>
      <c r="V156" s="6">
        <f t="shared" si="33"/>
        <v>2.6470407508589702E-4</v>
      </c>
      <c r="W156" s="2"/>
      <c r="X156" s="2">
        <f t="shared" si="34"/>
        <v>-22.720000000000027</v>
      </c>
      <c r="Y156" s="2"/>
      <c r="Z156" s="6">
        <f t="shared" si="35"/>
        <v>-3.7042471671965477E-2</v>
      </c>
    </row>
    <row r="157" spans="1:26" s="69" customFormat="1" ht="15" hidden="1" customHeight="1" outlineLevel="2" x14ac:dyDescent="0.25">
      <c r="A157" s="25"/>
      <c r="B157" s="12" t="str">
        <f>CONCATENATE("          ","6294"," - ","TRAVEL OPERATIONAL")</f>
        <v xml:space="preserve">          6294 - TRAVEL OPERATIONAL</v>
      </c>
      <c r="C157" s="12"/>
      <c r="D157" s="7">
        <v>187.15</v>
      </c>
      <c r="E157" s="3"/>
      <c r="F157" s="8">
        <f t="shared" si="28"/>
        <v>2.3929654309132344E-4</v>
      </c>
      <c r="G157" s="3"/>
      <c r="H157" s="7"/>
      <c r="I157" s="3"/>
      <c r="J157" s="8">
        <f t="shared" si="29"/>
        <v>0</v>
      </c>
      <c r="K157" s="3"/>
      <c r="L157" s="7">
        <f t="shared" si="30"/>
        <v>187.15</v>
      </c>
      <c r="M157" s="3"/>
      <c r="N157" s="8">
        <f t="shared" si="31"/>
        <v>0</v>
      </c>
      <c r="O157" s="12"/>
      <c r="P157" s="7">
        <v>590.63</v>
      </c>
      <c r="Q157" s="3"/>
      <c r="R157" s="8">
        <f t="shared" si="32"/>
        <v>1.2254179149588559E-4</v>
      </c>
      <c r="S157" s="3"/>
      <c r="T157" s="7">
        <v>613.35</v>
      </c>
      <c r="U157" s="3"/>
      <c r="V157" s="8">
        <f t="shared" si="33"/>
        <v>2.6470407508589702E-4</v>
      </c>
      <c r="W157" s="3"/>
      <c r="X157" s="7">
        <f t="shared" si="34"/>
        <v>-22.720000000000027</v>
      </c>
      <c r="Y157" s="3"/>
      <c r="Z157" s="8">
        <f t="shared" si="35"/>
        <v>-3.7042471671965477E-2</v>
      </c>
    </row>
    <row r="158" spans="1:26" s="68" customFormat="1" ht="15" customHeight="1" outlineLevel="1" collapsed="1" x14ac:dyDescent="0.25">
      <c r="A158" s="26"/>
      <c r="B158" s="14" t="str">
        <f>CONCATENATE("     ","Utilities                                         ")</f>
        <v xml:space="preserve">     Utilities                                         </v>
      </c>
      <c r="C158" s="14"/>
      <c r="D158" s="2">
        <f>SUM(OSRRefD22_22x_0)</f>
        <v>16.670000000000002</v>
      </c>
      <c r="E158" s="2"/>
      <c r="F158" s="6">
        <f t="shared" si="28"/>
        <v>2.1314845703085022E-5</v>
      </c>
      <c r="G158" s="2"/>
      <c r="H158" s="2">
        <f>SUM(OSRRefH22_22x_0)</f>
        <v>29.9</v>
      </c>
      <c r="I158" s="2"/>
      <c r="J158" s="6">
        <f t="shared" si="29"/>
        <v>6.9515109097337678E-5</v>
      </c>
      <c r="K158" s="2"/>
      <c r="L158" s="2">
        <f t="shared" si="30"/>
        <v>-13.229999999999997</v>
      </c>
      <c r="M158" s="2"/>
      <c r="N158" s="6">
        <f t="shared" si="31"/>
        <v>-0.44247491638795977</v>
      </c>
      <c r="O158" s="14"/>
      <c r="P158" s="2">
        <f>SUM(OSRRefP22_22x_0)</f>
        <v>1303.8900000000001</v>
      </c>
      <c r="Q158" s="2"/>
      <c r="R158" s="6">
        <f t="shared" si="32"/>
        <v>2.7052641503745199E-4</v>
      </c>
      <c r="S158" s="2"/>
      <c r="T158" s="2">
        <f>SUM(OSRRefT22_22x_0)</f>
        <v>294.43</v>
      </c>
      <c r="U158" s="2"/>
      <c r="V158" s="6">
        <f t="shared" si="33"/>
        <v>1.2706745060331076E-4</v>
      </c>
      <c r="W158" s="2"/>
      <c r="X158" s="2">
        <f t="shared" si="34"/>
        <v>1009.46</v>
      </c>
      <c r="Y158" s="2"/>
      <c r="Z158" s="6">
        <f t="shared" si="35"/>
        <v>3.4285229086709914</v>
      </c>
    </row>
    <row r="159" spans="1:26" s="69" customFormat="1" ht="15" hidden="1" customHeight="1" outlineLevel="2" x14ac:dyDescent="0.25">
      <c r="A159" s="25"/>
      <c r="B159" s="12" t="str">
        <f>CONCATENATE("          ","6274"," - ","UTILITIES")</f>
        <v xml:space="preserve">          6274 - UTILITIES</v>
      </c>
      <c r="C159" s="12"/>
      <c r="D159" s="7">
        <v>16.670000000000002</v>
      </c>
      <c r="E159" s="3"/>
      <c r="F159" s="8">
        <f t="shared" si="28"/>
        <v>2.1314845703085022E-5</v>
      </c>
      <c r="G159" s="3"/>
      <c r="H159" s="7">
        <v>29.9</v>
      </c>
      <c r="I159" s="3"/>
      <c r="J159" s="8">
        <f t="shared" si="29"/>
        <v>6.9515109097337678E-5</v>
      </c>
      <c r="K159" s="3"/>
      <c r="L159" s="7">
        <f t="shared" si="30"/>
        <v>-13.229999999999997</v>
      </c>
      <c r="M159" s="3"/>
      <c r="N159" s="8">
        <f t="shared" si="31"/>
        <v>-0.44247491638795977</v>
      </c>
      <c r="O159" s="12"/>
      <c r="P159" s="7">
        <v>1303.8900000000001</v>
      </c>
      <c r="Q159" s="3"/>
      <c r="R159" s="8">
        <f t="shared" si="32"/>
        <v>2.7052641503745199E-4</v>
      </c>
      <c r="S159" s="3"/>
      <c r="T159" s="7">
        <v>294.43</v>
      </c>
      <c r="U159" s="3"/>
      <c r="V159" s="8">
        <f t="shared" si="33"/>
        <v>1.2706745060331076E-4</v>
      </c>
      <c r="W159" s="3"/>
      <c r="X159" s="7">
        <f t="shared" si="34"/>
        <v>1009.46</v>
      </c>
      <c r="Y159" s="3"/>
      <c r="Z159" s="8">
        <f t="shared" si="35"/>
        <v>3.4285229086709914</v>
      </c>
    </row>
    <row r="160" spans="1:26" s="64" customFormat="1" ht="15" customHeight="1" x14ac:dyDescent="0.25">
      <c r="A160" s="36"/>
      <c r="B160" s="36"/>
      <c r="C160" s="36"/>
      <c r="D160" s="2"/>
      <c r="E160" s="2"/>
      <c r="F160" s="6"/>
      <c r="G160" s="2"/>
      <c r="H160" s="2"/>
      <c r="I160" s="2"/>
      <c r="J160" s="6"/>
      <c r="K160" s="2"/>
      <c r="L160" s="2"/>
      <c r="M160" s="2"/>
      <c r="N160" s="6"/>
      <c r="O160" s="36"/>
      <c r="P160" s="2"/>
      <c r="Q160" s="2"/>
      <c r="R160" s="6"/>
      <c r="S160" s="2"/>
      <c r="T160" s="2"/>
      <c r="U160" s="2"/>
      <c r="V160" s="6"/>
      <c r="W160" s="2"/>
      <c r="X160" s="2"/>
      <c r="Y160" s="2"/>
      <c r="Z160" s="6"/>
    </row>
    <row r="161" spans="1:26" s="62" customFormat="1" ht="15" customHeight="1" collapsed="1" x14ac:dyDescent="0.25">
      <c r="A161" s="11"/>
      <c r="B161" s="28" t="s">
        <v>290</v>
      </c>
      <c r="C161" s="11"/>
      <c r="D161" s="5">
        <f>SUM(OSRRefD25x_0)</f>
        <v>384795</v>
      </c>
      <c r="E161" s="5"/>
      <c r="F161" s="13">
        <f>IF(D$12=0,0,D161/D$12)</f>
        <v>0.49201236066698262</v>
      </c>
      <c r="G161" s="5"/>
      <c r="H161" s="5">
        <f>SUM(OSRRefH25x_0)</f>
        <v>1862</v>
      </c>
      <c r="I161" s="5"/>
      <c r="J161" s="13">
        <f>IF(H$12=0,0,H161/H$12)</f>
        <v>4.3290011083358783E-3</v>
      </c>
      <c r="K161" s="5"/>
      <c r="L161" s="5">
        <f>+D161-H161</f>
        <v>382933</v>
      </c>
      <c r="M161" s="5"/>
      <c r="N161" s="13">
        <f>IF(H161=0,0,L161/H161)</f>
        <v>205.65682062298603</v>
      </c>
      <c r="O161" s="11"/>
      <c r="P161" s="5">
        <f>SUM(OSRRefP25x_0)</f>
        <v>752375.02999999991</v>
      </c>
      <c r="Q161" s="5"/>
      <c r="R161" s="13">
        <f>IF(P$12=0,0,P161/P$12)</f>
        <v>0.15610006950708677</v>
      </c>
      <c r="S161" s="5"/>
      <c r="T161" s="5">
        <f>SUM(OSRRefT25x_0)</f>
        <v>412686.77999999997</v>
      </c>
      <c r="U161" s="5"/>
      <c r="V161" s="13">
        <f>IF(T$12=0,0,T161/T$12)</f>
        <v>0.17810364783578225</v>
      </c>
      <c r="W161" s="5"/>
      <c r="X161" s="5">
        <f>+P161-T161</f>
        <v>339688.24999999994</v>
      </c>
      <c r="Y161" s="5"/>
      <c r="Z161" s="13">
        <f>IF(T161=0,0,X161/T161)</f>
        <v>0.82311396066527731</v>
      </c>
    </row>
    <row r="162" spans="1:26" s="69" customFormat="1" ht="15" hidden="1" customHeight="1" outlineLevel="1" x14ac:dyDescent="0.25">
      <c r="A162" s="42"/>
      <c r="B162" s="12" t="str">
        <f>CONCATENATE("          ","4098"," - ","TAXABLE SALES-GRAD RENTALS")</f>
        <v xml:space="preserve">          4098 - TAXABLE SALES-GRAD RENTALS</v>
      </c>
      <c r="C162" s="12"/>
      <c r="D162" s="3">
        <f>0</f>
        <v>0</v>
      </c>
      <c r="E162" s="3"/>
      <c r="F162" s="20">
        <f>IF(D$12=0,0,D162/D$12)</f>
        <v>0</v>
      </c>
      <c r="G162" s="3"/>
      <c r="H162" s="3">
        <f>0</f>
        <v>0</v>
      </c>
      <c r="I162" s="3"/>
      <c r="J162" s="20">
        <f>IF(H$12=0,0,H162/H$12)</f>
        <v>0</v>
      </c>
      <c r="K162" s="3"/>
      <c r="L162" s="3">
        <f>+D162-H162</f>
        <v>0</v>
      </c>
      <c r="M162" s="3"/>
      <c r="N162" s="20">
        <f>IF(H162=0,0,L162/H162)</f>
        <v>0</v>
      </c>
      <c r="O162" s="12"/>
      <c r="P162" s="3">
        <f>0</f>
        <v>0</v>
      </c>
      <c r="Q162" s="3"/>
      <c r="R162" s="20">
        <f>IF(P$12=0,0,P162/P$12)</f>
        <v>0</v>
      </c>
      <c r="S162" s="3"/>
      <c r="T162" s="3">
        <f>--49.95</f>
        <v>49.95</v>
      </c>
      <c r="U162" s="3"/>
      <c r="V162" s="20">
        <f>IF(T$12=0,0,T162/T$12)</f>
        <v>2.1556971632086991E-5</v>
      </c>
      <c r="W162" s="3"/>
      <c r="X162" s="3">
        <f>+P162-T162</f>
        <v>-49.95</v>
      </c>
      <c r="Y162" s="3"/>
      <c r="Z162" s="20">
        <f>IF(T162=0,0,X162/T162)</f>
        <v>-1</v>
      </c>
    </row>
    <row r="163" spans="1:26" s="69" customFormat="1" ht="15" hidden="1" customHeight="1" outlineLevel="1" x14ac:dyDescent="0.25">
      <c r="A163" s="42"/>
      <c r="B163" s="12" t="str">
        <f>CONCATENATE("          ","9150"," - ","MISC. INCOME")</f>
        <v xml:space="preserve">          9150 - MISC. INCOME</v>
      </c>
      <c r="C163" s="12"/>
      <c r="D163" s="3">
        <f>--145</f>
        <v>145</v>
      </c>
      <c r="E163" s="3"/>
      <c r="F163" s="20">
        <f>IF(D$12=0,0,D163/D$12)</f>
        <v>1.8540207720139939E-4</v>
      </c>
      <c r="G163" s="3"/>
      <c r="H163" s="3">
        <f>0</f>
        <v>0</v>
      </c>
      <c r="I163" s="3"/>
      <c r="J163" s="20">
        <f>IF(H$12=0,0,H163/H$12)</f>
        <v>0</v>
      </c>
      <c r="K163" s="3"/>
      <c r="L163" s="3">
        <f>+D163-H163</f>
        <v>145</v>
      </c>
      <c r="M163" s="3"/>
      <c r="N163" s="20">
        <f>IF(H163=0,0,L163/H163)</f>
        <v>0</v>
      </c>
      <c r="O163" s="12"/>
      <c r="P163" s="3">
        <f>--110905.33</f>
        <v>110905.33</v>
      </c>
      <c r="Q163" s="3"/>
      <c r="R163" s="20">
        <f>IF(P$12=0,0,P163/P$12)</f>
        <v>2.3010239616413637E-2</v>
      </c>
      <c r="S163" s="3"/>
      <c r="T163" s="3">
        <f>--64296.27</f>
        <v>64296.27</v>
      </c>
      <c r="U163" s="3"/>
      <c r="V163" s="20">
        <f>IF(T$12=0,0,T163/T$12)</f>
        <v>2.7748405774554667E-2</v>
      </c>
      <c r="W163" s="3"/>
      <c r="X163" s="3">
        <f>+P163-T163</f>
        <v>46609.060000000005</v>
      </c>
      <c r="Y163" s="3"/>
      <c r="Z163" s="20">
        <f>IF(T163=0,0,X163/T163)</f>
        <v>0.72491079187019725</v>
      </c>
    </row>
    <row r="164" spans="1:26" s="69" customFormat="1" ht="15" hidden="1" customHeight="1" outlineLevel="1" x14ac:dyDescent="0.25">
      <c r="A164" s="42"/>
      <c r="B164" s="12" t="str">
        <f>CONCATENATE("          ","9163"," - ","MISC. INCOME")</f>
        <v xml:space="preserve">          9163 - MISC. INCOME</v>
      </c>
      <c r="C164" s="12"/>
      <c r="D164" s="3">
        <f>--384650</f>
        <v>384650</v>
      </c>
      <c r="E164" s="3"/>
      <c r="F164" s="20">
        <f>IF(D$12=0,0,D164/D$12)</f>
        <v>0.49182695858978126</v>
      </c>
      <c r="G164" s="3"/>
      <c r="H164" s="3">
        <f>--1862</f>
        <v>1862</v>
      </c>
      <c r="I164" s="3"/>
      <c r="J164" s="20">
        <f>IF(H$12=0,0,H164/H$12)</f>
        <v>4.3290011083358783E-3</v>
      </c>
      <c r="K164" s="3"/>
      <c r="L164" s="3">
        <f>+D164-H164</f>
        <v>382788</v>
      </c>
      <c r="M164" s="3"/>
      <c r="N164" s="20">
        <f>IF(H164=0,0,L164/H164)</f>
        <v>205.57894736842104</v>
      </c>
      <c r="O164" s="12"/>
      <c r="P164" s="3">
        <f>--641469.7</f>
        <v>641469.69999999995</v>
      </c>
      <c r="Q164" s="3"/>
      <c r="R164" s="20">
        <f>IF(P$12=0,0,P164/P$12)</f>
        <v>0.13308982989067314</v>
      </c>
      <c r="S164" s="3"/>
      <c r="T164" s="3">
        <f>--348340.56</f>
        <v>348340.56</v>
      </c>
      <c r="U164" s="3"/>
      <c r="V164" s="20">
        <f>IF(T$12=0,0,T164/T$12)</f>
        <v>0.15033368508959552</v>
      </c>
      <c r="W164" s="3"/>
      <c r="X164" s="3">
        <f>+P164-T164</f>
        <v>293129.13999999996</v>
      </c>
      <c r="Y164" s="3"/>
      <c r="Z164" s="20">
        <f>IF(T164=0,0,X164/T164)</f>
        <v>0.84150160406241514</v>
      </c>
    </row>
    <row r="165" spans="1:26" ht="15" customHeight="1" x14ac:dyDescent="0.25">
      <c r="A165" s="10"/>
      <c r="B165" s="11"/>
      <c r="C165" s="11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O165" s="11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s="62" customFormat="1" ht="15" customHeight="1" x14ac:dyDescent="0.25">
      <c r="A166" s="11"/>
      <c r="B166" s="27" t="s">
        <v>291</v>
      </c>
      <c r="C166" s="27"/>
      <c r="D166" s="22">
        <f>+D85-D87+D161</f>
        <v>715681.95</v>
      </c>
      <c r="E166" s="15"/>
      <c r="F166" s="23">
        <f>IF(D$12=0,0,D166/D$12)</f>
        <v>0.91509600100377975</v>
      </c>
      <c r="G166" s="15"/>
      <c r="H166" s="22">
        <f>+H85-H87+H161</f>
        <v>171447.89000000013</v>
      </c>
      <c r="I166" s="15"/>
      <c r="J166" s="23">
        <f>IF(H$12=0,0,H166/H$12)</f>
        <v>0.39860263471098195</v>
      </c>
      <c r="K166" s="16"/>
      <c r="L166" s="22">
        <f>+D166-H166</f>
        <v>544234.05999999982</v>
      </c>
      <c r="M166" s="16"/>
      <c r="N166" s="23">
        <f>IF(H166=0,0,L166/H166)</f>
        <v>3.1743409615598033</v>
      </c>
      <c r="O166" s="28"/>
      <c r="P166" s="22">
        <f>+P85-P87+P161</f>
        <v>2188749.0299999989</v>
      </c>
      <c r="Q166" s="15"/>
      <c r="R166" s="23">
        <f>IF(P$12=0,0,P166/P$12)</f>
        <v>0.45411378912530975</v>
      </c>
      <c r="S166" s="15"/>
      <c r="T166" s="22">
        <f>+T85-T87+T161</f>
        <v>753833.17000000062</v>
      </c>
      <c r="U166" s="15"/>
      <c r="V166" s="23">
        <f>IF(T$12=0,0,T166/T$12)</f>
        <v>0.32533253775808252</v>
      </c>
      <c r="W166" s="16"/>
      <c r="X166" s="22">
        <f>+P166-T166</f>
        <v>1434915.8599999982</v>
      </c>
      <c r="Y166" s="16"/>
      <c r="Z166" s="23">
        <f>IF(T166=0,0,X166/T166)</f>
        <v>1.9034925990322196</v>
      </c>
    </row>
    <row r="167" spans="1:26" ht="15" customHeight="1" x14ac:dyDescent="0.25">
      <c r="A167" s="10"/>
      <c r="B167" s="11"/>
      <c r="C167" s="10"/>
      <c r="D167" s="4"/>
      <c r="E167" s="4"/>
      <c r="F167" s="9"/>
      <c r="G167" s="4"/>
      <c r="H167" s="4"/>
      <c r="I167" s="4"/>
      <c r="J167" s="9"/>
      <c r="K167" s="4"/>
      <c r="L167" s="4"/>
      <c r="M167" s="4"/>
      <c r="N167" s="9"/>
      <c r="P167" s="4"/>
      <c r="Q167" s="4"/>
      <c r="R167" s="9"/>
      <c r="S167" s="4"/>
      <c r="T167" s="4"/>
      <c r="U167" s="4"/>
      <c r="V167" s="9"/>
      <c r="W167" s="4"/>
      <c r="X167" s="4"/>
      <c r="Y167" s="4"/>
      <c r="Z167" s="9"/>
    </row>
    <row r="168" spans="1:26" s="62" customFormat="1" ht="15" customHeight="1" x14ac:dyDescent="0.25">
      <c r="A168" s="48"/>
      <c r="B168" s="11" t="s">
        <v>292</v>
      </c>
      <c r="C168" s="11"/>
      <c r="D168" s="5">
        <v>84459.57</v>
      </c>
      <c r="E168" s="5"/>
      <c r="F168" s="13">
        <f>IF(D$12=0,0,D168/D$12)</f>
        <v>0.10799296356922068</v>
      </c>
      <c r="G168" s="5"/>
      <c r="H168" s="5">
        <v>100378.98</v>
      </c>
      <c r="I168" s="5"/>
      <c r="J168" s="13">
        <f>IF(H$12=0,0,H168/H$12)</f>
        <v>0.23337310186553437</v>
      </c>
      <c r="K168" s="5"/>
      <c r="L168" s="5">
        <f>+D168-H168</f>
        <v>-15919.409999999989</v>
      </c>
      <c r="M168" s="5"/>
      <c r="N168" s="13">
        <f>IF(H168=0,0,L168/H168)</f>
        <v>-0.15859306400602985</v>
      </c>
      <c r="O168" s="11"/>
      <c r="P168" s="5">
        <v>541870.54</v>
      </c>
      <c r="Q168" s="5"/>
      <c r="R168" s="13">
        <f>IF(P$12=0,0,P168/P$12)</f>
        <v>0.11242535382632603</v>
      </c>
      <c r="S168" s="5"/>
      <c r="T168" s="5">
        <v>495145.68</v>
      </c>
      <c r="U168" s="5"/>
      <c r="V168" s="13">
        <f>IF(T$12=0,0,T168/T$12)</f>
        <v>0.21369051806827671</v>
      </c>
      <c r="W168" s="5"/>
      <c r="X168" s="5">
        <f>+P168-T168</f>
        <v>46724.860000000044</v>
      </c>
      <c r="Y168" s="5"/>
      <c r="Z168" s="13">
        <f>IF(T168=0,0,X168/T168)</f>
        <v>9.4365884399920538E-2</v>
      </c>
    </row>
    <row r="169" spans="1:26" ht="15" customHeight="1" x14ac:dyDescent="0.25">
      <c r="A169" s="10"/>
      <c r="B169" s="11"/>
      <c r="C169" s="11"/>
      <c r="D169" s="4"/>
      <c r="E169" s="4"/>
      <c r="F169" s="9"/>
      <c r="G169" s="4"/>
      <c r="H169" s="4"/>
      <c r="I169" s="4"/>
      <c r="J169" s="9"/>
      <c r="K169" s="4"/>
      <c r="L169" s="4"/>
      <c r="M169" s="4"/>
      <c r="N169" s="9"/>
      <c r="O169" s="11"/>
      <c r="P169" s="4"/>
      <c r="Q169" s="4"/>
      <c r="R169" s="9"/>
      <c r="S169" s="4"/>
      <c r="T169" s="4"/>
      <c r="U169" s="4"/>
      <c r="V169" s="9"/>
      <c r="W169" s="4"/>
      <c r="X169" s="4"/>
      <c r="Y169" s="4"/>
      <c r="Z169" s="9"/>
    </row>
    <row r="170" spans="1:26" s="62" customFormat="1" ht="15" customHeight="1" x14ac:dyDescent="0.25">
      <c r="A170" s="11"/>
      <c r="B170" s="27" t="s">
        <v>293</v>
      </c>
      <c r="C170" s="27"/>
      <c r="D170" s="35">
        <f>+D166-D168</f>
        <v>631222.37999999989</v>
      </c>
      <c r="E170" s="15"/>
      <c r="F170" s="30">
        <f>IF(D$12=0,0,D170/D$12)</f>
        <v>0.80710303743455891</v>
      </c>
      <c r="G170" s="15"/>
      <c r="H170" s="35">
        <f>+H166-H168</f>
        <v>71068.910000000134</v>
      </c>
      <c r="I170" s="15"/>
      <c r="J170" s="30">
        <f>IF(H$12=0,0,H170/H$12)</f>
        <v>0.16522953284544759</v>
      </c>
      <c r="K170" s="16"/>
      <c r="L170" s="35">
        <f>D170-H170</f>
        <v>560153.46999999974</v>
      </c>
      <c r="M170" s="16"/>
      <c r="N170" s="30">
        <f>IF(H170=0,0,L170/H170)</f>
        <v>7.8818356718851978</v>
      </c>
      <c r="O170" s="28"/>
      <c r="P170" s="35">
        <f>+P166-P168</f>
        <v>1646878.4899999988</v>
      </c>
      <c r="Q170" s="15"/>
      <c r="R170" s="30">
        <f>IF(P$12=0,0,P170/P$12)</f>
        <v>0.34168843529898374</v>
      </c>
      <c r="S170" s="15"/>
      <c r="T170" s="35">
        <f>+T166-T168</f>
        <v>258687.49000000063</v>
      </c>
      <c r="U170" s="15"/>
      <c r="V170" s="30">
        <f>IF(T$12=0,0,T170/T$12)</f>
        <v>0.11164201968980582</v>
      </c>
      <c r="W170" s="16"/>
      <c r="X170" s="35">
        <f>P170-T170</f>
        <v>1388190.9999999981</v>
      </c>
      <c r="Y170" s="16"/>
      <c r="Z170" s="30">
        <f>IF(T170=0,0,X170/T170)</f>
        <v>5.366285783668916</v>
      </c>
    </row>
    <row r="171" spans="1:26" ht="15" customHeight="1" x14ac:dyDescent="0.25">
      <c r="A171" s="10"/>
      <c r="B171" s="10"/>
      <c r="C171" s="10"/>
      <c r="D171" s="4"/>
      <c r="E171" s="4"/>
      <c r="F171" s="9"/>
      <c r="G171" s="4"/>
      <c r="H171" s="4"/>
      <c r="I171" s="4"/>
      <c r="J171" s="9"/>
      <c r="K171" s="4"/>
      <c r="L171" s="4"/>
      <c r="M171" s="4"/>
      <c r="N171" s="9"/>
      <c r="P171" s="4"/>
      <c r="Q171" s="4"/>
      <c r="R171" s="9"/>
      <c r="S171" s="4"/>
      <c r="T171" s="4"/>
      <c r="U171" s="4"/>
      <c r="V171" s="9"/>
      <c r="W171" s="4"/>
      <c r="X171" s="4"/>
      <c r="Y171" s="4"/>
      <c r="Z171" s="9"/>
    </row>
    <row r="172" spans="1:26" ht="15" customHeight="1" x14ac:dyDescent="0.25">
      <c r="A172" s="10"/>
      <c r="B172" s="10"/>
      <c r="C172" s="10"/>
      <c r="D172" s="4"/>
      <c r="E172" s="4"/>
      <c r="F172" s="9"/>
      <c r="G172" s="4"/>
      <c r="H172" s="4"/>
      <c r="I172" s="4"/>
      <c r="J172" s="9"/>
      <c r="K172" s="4"/>
      <c r="L172" s="4"/>
      <c r="M172" s="4"/>
      <c r="N172" s="9"/>
      <c r="P172" s="4"/>
      <c r="Q172" s="4"/>
      <c r="R172" s="9"/>
      <c r="S172" s="4"/>
      <c r="T172" s="4"/>
      <c r="U172" s="4"/>
      <c r="V172" s="9"/>
      <c r="W172" s="4"/>
      <c r="X172" s="4"/>
      <c r="Y172" s="4"/>
      <c r="Z172" s="9"/>
    </row>
    <row r="173" spans="1:26" s="62" customFormat="1" ht="15" customHeight="1" x14ac:dyDescent="0.25">
      <c r="A173" s="11"/>
      <c r="B173" s="27" t="s">
        <v>296</v>
      </c>
      <c r="C173" s="27"/>
      <c r="D173" s="32">
        <f>SUM(D170:D172)</f>
        <v>631222.37999999989</v>
      </c>
      <c r="E173" s="15"/>
      <c r="F173" s="34">
        <f>IF(D$12=0,0,D173/D$12)</f>
        <v>0.80710303743455891</v>
      </c>
      <c r="G173" s="15"/>
      <c r="H173" s="32">
        <f>SUM(H170:H172)</f>
        <v>71068.910000000134</v>
      </c>
      <c r="I173" s="15"/>
      <c r="J173" s="34">
        <f>IF(H$12=0,0,H173/H$12)</f>
        <v>0.16522953284544759</v>
      </c>
      <c r="K173" s="16"/>
      <c r="L173" s="32">
        <f>+D173-H173</f>
        <v>560153.46999999974</v>
      </c>
      <c r="M173" s="16"/>
      <c r="N173" s="34">
        <f>IF(H173=0,0,L173/H173)</f>
        <v>7.8818356718851978</v>
      </c>
      <c r="O173" s="28"/>
      <c r="P173" s="32">
        <f>SUM(P170:P172)</f>
        <v>1646878.4899999988</v>
      </c>
      <c r="Q173" s="15"/>
      <c r="R173" s="34">
        <f>IF(P$12=0,0,P173/P$12)</f>
        <v>0.34168843529898374</v>
      </c>
      <c r="S173" s="15"/>
      <c r="T173" s="32">
        <f>SUM(T170:T172)</f>
        <v>258687.49000000063</v>
      </c>
      <c r="U173" s="15"/>
      <c r="V173" s="34">
        <f>IF(T$12=0,0,T173/T$12)</f>
        <v>0.11164201968980582</v>
      </c>
      <c r="W173" s="16"/>
      <c r="X173" s="32">
        <f>+P173-T173</f>
        <v>1388190.9999999981</v>
      </c>
      <c r="Y173" s="16"/>
      <c r="Z173" s="34">
        <f>IF(T173=0,0,X173/T173)</f>
        <v>5.366285783668916</v>
      </c>
    </row>
    <row r="174" spans="1:26" ht="15" customHeight="1" x14ac:dyDescent="0.25">
      <c r="A174" s="10"/>
      <c r="C174" s="10"/>
      <c r="D174" s="18"/>
      <c r="E174" s="18"/>
      <c r="G174" s="18"/>
      <c r="H174" s="18"/>
      <c r="I174" s="18"/>
      <c r="J174" s="41"/>
      <c r="K174" s="18"/>
      <c r="L174" s="18"/>
      <c r="M174" s="18"/>
      <c r="P174" s="18"/>
      <c r="Q174" s="18"/>
      <c r="R174" s="41"/>
      <c r="S174" s="18"/>
      <c r="T174" s="18"/>
      <c r="U174" s="18"/>
      <c r="V174" s="41"/>
      <c r="W174" s="18"/>
      <c r="X174" s="18"/>
    </row>
    <row r="175" spans="1:26" ht="15" customHeight="1" x14ac:dyDescent="0.25">
      <c r="A175" s="10"/>
      <c r="B175" s="50">
        <v>44727.879627395836</v>
      </c>
      <c r="D175" s="18"/>
      <c r="E175" s="18"/>
      <c r="G175" s="18"/>
      <c r="H175" s="18"/>
      <c r="I175" s="18"/>
      <c r="J175" s="41"/>
      <c r="K175" s="18"/>
      <c r="L175" s="18"/>
      <c r="M175" s="18"/>
      <c r="P175" s="18"/>
      <c r="Q175" s="18"/>
      <c r="R175" s="41"/>
      <c r="S175" s="18"/>
      <c r="T175" s="18"/>
      <c r="U175" s="18"/>
      <c r="V175" s="41"/>
      <c r="W175" s="18"/>
      <c r="X175" s="18"/>
    </row>
    <row r="176" spans="1:26" ht="15" customHeight="1" x14ac:dyDescent="0.25">
      <c r="A176" s="10"/>
      <c r="B176" s="53" t="s">
        <v>297</v>
      </c>
      <c r="D176" s="18"/>
      <c r="E176" s="18"/>
      <c r="G176" s="18"/>
      <c r="H176" s="18"/>
      <c r="I176" s="18"/>
      <c r="J176" s="41"/>
      <c r="K176" s="18"/>
      <c r="L176" s="18"/>
      <c r="M176" s="18"/>
      <c r="P176" s="18"/>
      <c r="Q176" s="18"/>
      <c r="R176" s="41"/>
      <c r="S176" s="18"/>
      <c r="T176" s="18"/>
      <c r="U176" s="18"/>
      <c r="V176" s="41"/>
      <c r="W176" s="18"/>
      <c r="X176" s="18"/>
    </row>
    <row r="177" spans="1:24" ht="15" customHeight="1" x14ac:dyDescent="0.25">
      <c r="A177" s="10"/>
      <c r="B177" s="55"/>
      <c r="D177" s="18"/>
      <c r="E177" s="18"/>
      <c r="G177" s="18"/>
      <c r="H177" s="18"/>
      <c r="I177" s="18"/>
      <c r="J177" s="41"/>
      <c r="K177" s="18"/>
      <c r="L177" s="18"/>
      <c r="M177" s="18"/>
      <c r="P177" s="18"/>
      <c r="Q177" s="18"/>
      <c r="R177" s="41"/>
      <c r="S177" s="18"/>
      <c r="T177" s="18"/>
      <c r="U177" s="18"/>
      <c r="V177" s="41"/>
      <c r="W177" s="18"/>
      <c r="X177" s="18"/>
    </row>
    <row r="178" spans="1:24" ht="15" customHeight="1" x14ac:dyDescent="0.25">
      <c r="D178" s="18"/>
      <c r="E178" s="18"/>
      <c r="G178" s="18"/>
      <c r="H178" s="18"/>
      <c r="I178" s="18"/>
      <c r="J178" s="41"/>
      <c r="K178" s="18"/>
      <c r="L178" s="18"/>
      <c r="M178" s="18"/>
      <c r="P178" s="18"/>
      <c r="Q178" s="18"/>
      <c r="R178" s="41"/>
      <c r="S178" s="18"/>
      <c r="T178" s="18"/>
      <c r="U178" s="18"/>
      <c r="V178" s="41"/>
      <c r="W178" s="18"/>
      <c r="X17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E9ED9-09E5-A889-72E4-73E8BB582DD6}">
  <sheetPr>
    <tabColor rgb="FF92D050"/>
    <outlinePr summaryBelow="0" summaryRight="0"/>
  </sheetPr>
  <dimension ref="A2:Z16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","315"," - ","Bookstore Retail")</f>
        <v>Department 315 - Bookstore Retail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740410.7</v>
      </c>
      <c r="E12" s="5"/>
      <c r="F12" s="13"/>
      <c r="G12" s="5"/>
      <c r="H12" s="5">
        <f>SUM(OSRRefH13x_0)</f>
        <v>395418.14</v>
      </c>
      <c r="I12" s="5"/>
      <c r="J12" s="13"/>
      <c r="K12" s="5"/>
      <c r="L12" s="5">
        <f t="shared" ref="L12:L55" si="0">+D12-H12</f>
        <v>344992.55999999994</v>
      </c>
      <c r="M12" s="5"/>
      <c r="N12" s="13">
        <f t="shared" ref="N12:N55" si="1">IF(H12=0,0,L12/H12)</f>
        <v>0.87247529918581868</v>
      </c>
      <c r="O12" s="11"/>
      <c r="P12" s="5">
        <f>SUM(OSRRefP13x_0)</f>
        <v>4441734.8399999989</v>
      </c>
      <c r="Q12" s="5"/>
      <c r="R12" s="13"/>
      <c r="S12" s="5"/>
      <c r="T12" s="5">
        <f>SUM(OSRRefT13x_0)</f>
        <v>2031106.8100000005</v>
      </c>
      <c r="U12" s="5"/>
      <c r="V12" s="13"/>
      <c r="W12" s="5"/>
      <c r="X12" s="5">
        <f t="shared" ref="X12:X55" si="2">+P12-T12</f>
        <v>2410628.0299999984</v>
      </c>
      <c r="Y12" s="5"/>
      <c r="Z12" s="13">
        <f t="shared" ref="Z12:Z55" si="3">IF(T12=0,0,X12/T12)</f>
        <v>1.1868543880269879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--743353.04</f>
        <v>743353.04</v>
      </c>
      <c r="E13" s="3"/>
      <c r="F13" s="20"/>
      <c r="G13" s="3"/>
      <c r="H13" s="3">
        <f>-10285.7</f>
        <v>-10285.700000000001</v>
      </c>
      <c r="I13" s="3"/>
      <c r="J13" s="20"/>
      <c r="K13" s="3"/>
      <c r="L13" s="3">
        <f t="shared" si="0"/>
        <v>753638.74</v>
      </c>
      <c r="M13" s="3"/>
      <c r="N13" s="20">
        <f t="shared" si="1"/>
        <v>-73.270534820187251</v>
      </c>
      <c r="O13" s="12"/>
      <c r="P13" s="3">
        <f>--4140762.88</f>
        <v>4140762.88</v>
      </c>
      <c r="Q13" s="3"/>
      <c r="R13" s="20"/>
      <c r="S13" s="3"/>
      <c r="T13" s="3">
        <f>-127703.96</f>
        <v>-127703.96</v>
      </c>
      <c r="U13" s="3"/>
      <c r="V13" s="20"/>
      <c r="W13" s="3"/>
      <c r="X13" s="3">
        <f t="shared" si="2"/>
        <v>4268466.84</v>
      </c>
      <c r="Y13" s="3"/>
      <c r="Z13" s="20">
        <f t="shared" si="3"/>
        <v>-33.424702256688043</v>
      </c>
    </row>
    <row r="14" spans="1:26" s="69" customFormat="1" ht="15" hidden="1" customHeight="1" outlineLevel="1" x14ac:dyDescent="0.25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--221.99</f>
        <v>221.99</v>
      </c>
      <c r="U14" s="3"/>
      <c r="V14" s="20"/>
      <c r="W14" s="3"/>
      <c r="X14" s="3">
        <f t="shared" si="2"/>
        <v>-221.99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--6013.61</f>
        <v>6013.61</v>
      </c>
      <c r="I15" s="3"/>
      <c r="J15" s="20"/>
      <c r="K15" s="3"/>
      <c r="L15" s="3">
        <f t="shared" si="0"/>
        <v>-6013.61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--61680.34</f>
        <v>61680.34</v>
      </c>
      <c r="U15" s="3"/>
      <c r="V15" s="20"/>
      <c r="W15" s="3"/>
      <c r="X15" s="3">
        <f t="shared" si="2"/>
        <v>-61680.34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--1495.15</f>
        <v>1495.15</v>
      </c>
      <c r="I16" s="3"/>
      <c r="J16" s="20"/>
      <c r="K16" s="3"/>
      <c r="L16" s="3">
        <f t="shared" si="0"/>
        <v>-1495.15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--35887.03</f>
        <v>35887.03</v>
      </c>
      <c r="U16" s="3"/>
      <c r="V16" s="20"/>
      <c r="W16" s="3"/>
      <c r="X16" s="3">
        <f t="shared" si="2"/>
        <v>-35887.03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--490.12</f>
        <v>490.12</v>
      </c>
      <c r="I17" s="3"/>
      <c r="J17" s="20"/>
      <c r="K17" s="3"/>
      <c r="L17" s="3">
        <f t="shared" si="0"/>
        <v>-490.12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--4326.16</f>
        <v>4326.16</v>
      </c>
      <c r="U17" s="3"/>
      <c r="V17" s="20"/>
      <c r="W17" s="3"/>
      <c r="X17" s="3">
        <f t="shared" si="2"/>
        <v>-4326.16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--157116.65</f>
        <v>157116.65</v>
      </c>
      <c r="I19" s="3"/>
      <c r="J19" s="20"/>
      <c r="K19" s="3"/>
      <c r="L19" s="3">
        <f t="shared" si="0"/>
        <v>-157116.65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--858577.8</f>
        <v>858577.8</v>
      </c>
      <c r="U19" s="3"/>
      <c r="V19" s="20"/>
      <c r="W19" s="3"/>
      <c r="X19" s="3">
        <f t="shared" si="2"/>
        <v>-858577.8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--186288</f>
        <v>186288</v>
      </c>
      <c r="I20" s="3"/>
      <c r="J20" s="20"/>
      <c r="K20" s="3"/>
      <c r="L20" s="3">
        <f t="shared" si="0"/>
        <v>-186288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--502311.48</f>
        <v>502311.48</v>
      </c>
      <c r="U20" s="3"/>
      <c r="V20" s="20"/>
      <c r="W20" s="3"/>
      <c r="X20" s="3">
        <f t="shared" si="2"/>
        <v>-502311.48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--6323.77</f>
        <v>6323.77</v>
      </c>
      <c r="I21" s="3"/>
      <c r="J21" s="20"/>
      <c r="K21" s="3"/>
      <c r="L21" s="3">
        <f t="shared" si="0"/>
        <v>-6323.77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--80711.2</f>
        <v>80711.199999999997</v>
      </c>
      <c r="U21" s="3"/>
      <c r="V21" s="20"/>
      <c r="W21" s="3"/>
      <c r="X21" s="3">
        <f t="shared" si="2"/>
        <v>-80711.199999999997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--7105.94</f>
        <v>7105.94</v>
      </c>
      <c r="I22" s="3"/>
      <c r="J22" s="20"/>
      <c r="K22" s="3"/>
      <c r="L22" s="3">
        <f t="shared" si="0"/>
        <v>-7105.94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--132965.39</f>
        <v>132965.39000000001</v>
      </c>
      <c r="U22" s="3"/>
      <c r="V22" s="20"/>
      <c r="W22" s="3"/>
      <c r="X22" s="3">
        <f t="shared" si="2"/>
        <v>-132965.39000000001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--4850.33</f>
        <v>4850.33</v>
      </c>
      <c r="I23" s="3"/>
      <c r="J23" s="20"/>
      <c r="K23" s="3"/>
      <c r="L23" s="3">
        <f t="shared" si="0"/>
        <v>-4850.33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--38141.31</f>
        <v>38141.31</v>
      </c>
      <c r="U23" s="3"/>
      <c r="V23" s="20"/>
      <c r="W23" s="3"/>
      <c r="X23" s="3">
        <f t="shared" si="2"/>
        <v>-38141.31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--26335.59</f>
        <v>26335.59</v>
      </c>
      <c r="I24" s="3"/>
      <c r="J24" s="20"/>
      <c r="K24" s="3"/>
      <c r="L24" s="3">
        <f t="shared" si="0"/>
        <v>-26335.59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--233251.56</f>
        <v>233251.56</v>
      </c>
      <c r="U24" s="3"/>
      <c r="V24" s="20"/>
      <c r="W24" s="3"/>
      <c r="X24" s="3">
        <f t="shared" si="2"/>
        <v>-233251.56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","4100"," - ","NON-TAXABLE SALES")</f>
        <v xml:space="preserve">          4100 - NON-TAXABLE SALES</v>
      </c>
      <c r="C25" s="12"/>
      <c r="D25" s="3">
        <f>--53274.33</f>
        <v>53274.33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53274.33</v>
      </c>
      <c r="M25" s="3"/>
      <c r="N25" s="20">
        <f t="shared" si="1"/>
        <v>0</v>
      </c>
      <c r="O25" s="12"/>
      <c r="P25" s="3">
        <f>--551817.59</f>
        <v>551817.59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551817.59</v>
      </c>
      <c r="Y25" s="3"/>
      <c r="Z25" s="20">
        <f t="shared" si="3"/>
        <v>0</v>
      </c>
    </row>
    <row r="26" spans="1:26" s="69" customFormat="1" ht="15" hidden="1" customHeight="1" outlineLevel="1" x14ac:dyDescent="0.25">
      <c r="A26" s="42"/>
      <c r="B26" s="12" t="str">
        <f>CONCATENATE("          ","4126"," - ","NON-TAXABLE SALES-WRITING INST")</f>
        <v xml:space="preserve">          4126 - NON-TAXABLE SALES-WRITING INST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--52.68</f>
        <v>52.68</v>
      </c>
      <c r="U26" s="3"/>
      <c r="V26" s="20"/>
      <c r="W26" s="3"/>
      <c r="X26" s="3">
        <f t="shared" si="2"/>
        <v>-52.68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","4127"," - ","NON-TAXABLE SALES-SCHOOL SUPPL")</f>
        <v xml:space="preserve">          4127 - NON-TAXABLE SALES-SCHOOL SUPPL</v>
      </c>
      <c r="C27" s="12"/>
      <c r="D27" s="3">
        <f>0</f>
        <v>0</v>
      </c>
      <c r="E27" s="3"/>
      <c r="F27" s="20"/>
      <c r="G27" s="3"/>
      <c r="H27" s="3">
        <f>--548.05</f>
        <v>548.04999999999995</v>
      </c>
      <c r="I27" s="3"/>
      <c r="J27" s="20"/>
      <c r="K27" s="3"/>
      <c r="L27" s="3">
        <f t="shared" si="0"/>
        <v>-548.04999999999995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--7648.73</f>
        <v>7648.73</v>
      </c>
      <c r="U27" s="3"/>
      <c r="V27" s="20"/>
      <c r="W27" s="3"/>
      <c r="X27" s="3">
        <f t="shared" si="2"/>
        <v>-7648.73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","4128"," - ","NON-TAXABLE SALES-ART/TECH")</f>
        <v xml:space="preserve">          4128 - NON-TAXABLE SALES-ART/TECH</v>
      </c>
      <c r="C28" s="12"/>
      <c r="D28" s="3">
        <f>0</f>
        <v>0</v>
      </c>
      <c r="E28" s="3"/>
      <c r="F28" s="20"/>
      <c r="G28" s="3"/>
      <c r="H28" s="3">
        <f>--45.96</f>
        <v>45.96</v>
      </c>
      <c r="I28" s="3"/>
      <c r="J28" s="20"/>
      <c r="K28" s="3"/>
      <c r="L28" s="3">
        <f t="shared" si="0"/>
        <v>-45.96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--115.91</f>
        <v>115.91</v>
      </c>
      <c r="U28" s="3"/>
      <c r="V28" s="20"/>
      <c r="W28" s="3"/>
      <c r="X28" s="3">
        <f t="shared" si="2"/>
        <v>-115.91</v>
      </c>
      <c r="Y28" s="3"/>
      <c r="Z28" s="20">
        <f t="shared" si="3"/>
        <v>-1</v>
      </c>
    </row>
    <row r="29" spans="1:26" s="69" customFormat="1" ht="15" hidden="1" customHeight="1" outlineLevel="1" x14ac:dyDescent="0.25">
      <c r="A29" s="42"/>
      <c r="B29" s="12" t="str">
        <f>CONCATENATE("          ","4131"," - ","NON-TAXABLE SALES-FOOD")</f>
        <v xml:space="preserve">          4131 - NON-TAXABLE SALES-FOOD</v>
      </c>
      <c r="C29" s="12"/>
      <c r="D29" s="3">
        <f>0</f>
        <v>0</v>
      </c>
      <c r="E29" s="3"/>
      <c r="F29" s="20"/>
      <c r="G29" s="3"/>
      <c r="H29" s="3">
        <f>--772.78</f>
        <v>772.78</v>
      </c>
      <c r="I29" s="3"/>
      <c r="J29" s="20"/>
      <c r="K29" s="3"/>
      <c r="L29" s="3">
        <f t="shared" si="0"/>
        <v>-772.78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--10245.98</f>
        <v>10245.98</v>
      </c>
      <c r="U29" s="3"/>
      <c r="V29" s="20"/>
      <c r="W29" s="3"/>
      <c r="X29" s="3">
        <f t="shared" si="2"/>
        <v>-10245.98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","4132"," - ","NON-TAXABLE SALES-JUICE")</f>
        <v xml:space="preserve">          4132 - NON-TAXABLE SALES-JUICE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--22.49</f>
        <v>22.49</v>
      </c>
      <c r="U30" s="3"/>
      <c r="V30" s="20"/>
      <c r="W30" s="3"/>
      <c r="X30" s="3">
        <f t="shared" si="2"/>
        <v>-22.49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","4133"," - ","NON-TAXABLE SALES-CANDY")</f>
        <v xml:space="preserve">          4133 - NON-TAXABLE SALES-CANDY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--80.71</f>
        <v>80.709999999999994</v>
      </c>
      <c r="U31" s="3"/>
      <c r="V31" s="20"/>
      <c r="W31" s="3"/>
      <c r="X31" s="3">
        <f t="shared" si="2"/>
        <v>-80.709999999999994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","4134"," - ","NON-TAXABLE SALES-SODA")</f>
        <v xml:space="preserve">          4134 - NON-TAXABLE SALES-SODA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--45.53</f>
        <v>45.53</v>
      </c>
      <c r="U32" s="3"/>
      <c r="V32" s="20"/>
      <c r="W32" s="3"/>
      <c r="X32" s="3">
        <f t="shared" si="2"/>
        <v>-45.53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","4137"," - ","NON-TAXABLE SALES-WATER")</f>
        <v xml:space="preserve">          4137 - NON-TAXABLE SALES-WATER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--59.25</f>
        <v>59.25</v>
      </c>
      <c r="U33" s="3"/>
      <c r="V33" s="20"/>
      <c r="W33" s="3"/>
      <c r="X33" s="3">
        <f t="shared" si="2"/>
        <v>-59.25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","4140"," - ","NON-TAXABLE SALES-LOGO CLOTHIN")</f>
        <v xml:space="preserve">          4140 - NON-TAXABLE SALES-LOGO CLOTHIN</v>
      </c>
      <c r="C34" s="12"/>
      <c r="D34" s="3">
        <f>0</f>
        <v>0</v>
      </c>
      <c r="E34" s="3"/>
      <c r="F34" s="20"/>
      <c r="G34" s="3"/>
      <c r="H34" s="3">
        <f>--16839.53</f>
        <v>16839.53</v>
      </c>
      <c r="I34" s="3"/>
      <c r="J34" s="20"/>
      <c r="K34" s="3"/>
      <c r="L34" s="3">
        <f t="shared" si="0"/>
        <v>-16839.53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--171307.58</f>
        <v>171307.58</v>
      </c>
      <c r="U34" s="3"/>
      <c r="V34" s="20"/>
      <c r="W34" s="3"/>
      <c r="X34" s="3">
        <f t="shared" si="2"/>
        <v>-171307.58</v>
      </c>
      <c r="Y34" s="3"/>
      <c r="Z34" s="20">
        <f t="shared" si="3"/>
        <v>-1</v>
      </c>
    </row>
    <row r="35" spans="1:26" s="69" customFormat="1" ht="15" hidden="1" customHeight="1" outlineLevel="1" x14ac:dyDescent="0.25">
      <c r="A35" s="42"/>
      <c r="B35" s="12" t="str">
        <f>CONCATENATE("          ","4141"," - ","NON-TAXABLE SALES-LOGO GIFTS")</f>
        <v xml:space="preserve">          4141 - NON-TAXABLE SALES-LOGO GIFTS</v>
      </c>
      <c r="C35" s="12"/>
      <c r="D35" s="3">
        <f>0</f>
        <v>0</v>
      </c>
      <c r="E35" s="3"/>
      <c r="F35" s="20"/>
      <c r="G35" s="3"/>
      <c r="H35" s="3">
        <f>--1882.42</f>
        <v>1882.42</v>
      </c>
      <c r="I35" s="3"/>
      <c r="J35" s="20"/>
      <c r="K35" s="3"/>
      <c r="L35" s="3">
        <f t="shared" si="0"/>
        <v>-1882.42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--37399.99</f>
        <v>37399.99</v>
      </c>
      <c r="U35" s="3"/>
      <c r="V35" s="20"/>
      <c r="W35" s="3"/>
      <c r="X35" s="3">
        <f t="shared" si="2"/>
        <v>-37399.99</v>
      </c>
      <c r="Y35" s="3"/>
      <c r="Z35" s="20">
        <f t="shared" si="3"/>
        <v>-1</v>
      </c>
    </row>
    <row r="36" spans="1:26" s="69" customFormat="1" ht="15" hidden="1" customHeight="1" outlineLevel="1" x14ac:dyDescent="0.25">
      <c r="A36" s="42"/>
      <c r="B36" s="12" t="str">
        <f>CONCATENATE("          ","4142"," - ","NON-TAXABLE SALES-EVERYDAY GIF")</f>
        <v xml:space="preserve">          4142 - NON-TAXABLE SALES-EVERYDAY GIF</v>
      </c>
      <c r="C36" s="12"/>
      <c r="D36" s="3">
        <f>0</f>
        <v>0</v>
      </c>
      <c r="E36" s="3"/>
      <c r="F36" s="20"/>
      <c r="G36" s="3"/>
      <c r="H36" s="3">
        <f>--11.96</f>
        <v>11.96</v>
      </c>
      <c r="I36" s="3"/>
      <c r="J36" s="20"/>
      <c r="K36" s="3"/>
      <c r="L36" s="3">
        <f t="shared" si="0"/>
        <v>-11.96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--1467.37</f>
        <v>1467.37</v>
      </c>
      <c r="U36" s="3"/>
      <c r="V36" s="20"/>
      <c r="W36" s="3"/>
      <c r="X36" s="3">
        <f t="shared" si="2"/>
        <v>-1467.37</v>
      </c>
      <c r="Y36" s="3"/>
      <c r="Z36" s="20">
        <f t="shared" si="3"/>
        <v>-1</v>
      </c>
    </row>
    <row r="37" spans="1:26" s="69" customFormat="1" ht="15" hidden="1" customHeight="1" outlineLevel="1" x14ac:dyDescent="0.25">
      <c r="A37" s="42"/>
      <c r="B37" s="12" t="str">
        <f>CONCATENATE("          ","4143"," - ","NON-TAXABLE SALES-CARDS")</f>
        <v xml:space="preserve">          4143 - NON-TAXABLE SALES-CARDS</v>
      </c>
      <c r="C37" s="12"/>
      <c r="D37" s="3">
        <f>0</f>
        <v>0</v>
      </c>
      <c r="E37" s="3"/>
      <c r="F37" s="20"/>
      <c r="G37" s="3"/>
      <c r="H37" s="3">
        <f>--120.71</f>
        <v>120.71</v>
      </c>
      <c r="I37" s="3"/>
      <c r="J37" s="20"/>
      <c r="K37" s="3"/>
      <c r="L37" s="3">
        <f t="shared" si="0"/>
        <v>-120.71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--2552.16</f>
        <v>2552.16</v>
      </c>
      <c r="U37" s="3"/>
      <c r="V37" s="20"/>
      <c r="W37" s="3"/>
      <c r="X37" s="3">
        <f t="shared" si="2"/>
        <v>-2552.16</v>
      </c>
      <c r="Y37" s="3"/>
      <c r="Z37" s="20">
        <f t="shared" si="3"/>
        <v>-1</v>
      </c>
    </row>
    <row r="38" spans="1:26" s="69" customFormat="1" ht="15" hidden="1" customHeight="1" outlineLevel="1" x14ac:dyDescent="0.25">
      <c r="A38" s="42"/>
      <c r="B38" s="12" t="str">
        <f>CONCATENATE("          ","4144"," - ","NON-TAXABLE SALES-ACCESSORIES")</f>
        <v xml:space="preserve">          4144 - NON-TAXABLE SALES-ACCESSORIES</v>
      </c>
      <c r="C38" s="12"/>
      <c r="D38" s="3">
        <f>0</f>
        <v>0</v>
      </c>
      <c r="E38" s="3"/>
      <c r="F38" s="20"/>
      <c r="G38" s="3"/>
      <c r="H38" s="3">
        <f>--164.7</f>
        <v>164.7</v>
      </c>
      <c r="I38" s="3"/>
      <c r="J38" s="20"/>
      <c r="K38" s="3"/>
      <c r="L38" s="3">
        <f t="shared" si="0"/>
        <v>-164.7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--873.8</f>
        <v>873.8</v>
      </c>
      <c r="U38" s="3"/>
      <c r="V38" s="20"/>
      <c r="W38" s="3"/>
      <c r="X38" s="3">
        <f t="shared" si="2"/>
        <v>-873.8</v>
      </c>
      <c r="Y38" s="3"/>
      <c r="Z38" s="20">
        <f t="shared" si="3"/>
        <v>-1</v>
      </c>
    </row>
    <row r="39" spans="1:26" s="69" customFormat="1" ht="15" hidden="1" customHeight="1" outlineLevel="1" x14ac:dyDescent="0.25">
      <c r="A39" s="42"/>
      <c r="B39" s="12" t="str">
        <f>CONCATENATE("          ","4145"," - ","NON-TAXABLE SALES-SPECIAL ORDE")</f>
        <v xml:space="preserve">          4145 - NON-TAXABLE SALES-SPECIAL ORDE</v>
      </c>
      <c r="C39" s="12"/>
      <c r="D39" s="3">
        <f>0</f>
        <v>0</v>
      </c>
      <c r="E39" s="3"/>
      <c r="F39" s="20"/>
      <c r="G39" s="3"/>
      <c r="H39" s="3">
        <f>0</f>
        <v>0</v>
      </c>
      <c r="I39" s="3"/>
      <c r="J39" s="20"/>
      <c r="K39" s="3"/>
      <c r="L39" s="3">
        <f t="shared" si="0"/>
        <v>0</v>
      </c>
      <c r="M39" s="3"/>
      <c r="N39" s="20">
        <f t="shared" si="1"/>
        <v>0</v>
      </c>
      <c r="O39" s="12"/>
      <c r="P39" s="3">
        <f>0</f>
        <v>0</v>
      </c>
      <c r="Q39" s="3"/>
      <c r="R39" s="20"/>
      <c r="S39" s="3"/>
      <c r="T39" s="3">
        <f>--74059.89</f>
        <v>74059.89</v>
      </c>
      <c r="U39" s="3"/>
      <c r="V39" s="20"/>
      <c r="W39" s="3"/>
      <c r="X39" s="3">
        <f t="shared" si="2"/>
        <v>-74059.89</v>
      </c>
      <c r="Y39" s="3"/>
      <c r="Z39" s="20">
        <f t="shared" si="3"/>
        <v>-1</v>
      </c>
    </row>
    <row r="40" spans="1:26" s="69" customFormat="1" ht="15" hidden="1" customHeight="1" outlineLevel="1" x14ac:dyDescent="0.25">
      <c r="A40" s="42"/>
      <c r="B40" s="12" t="str">
        <f>CONCATENATE("          ","4200"," - ","TAXABLE RETURNS")</f>
        <v xml:space="preserve">          4200 - TAXABLE RETURNS</v>
      </c>
      <c r="C40" s="12"/>
      <c r="D40" s="3">
        <f>-36133.85</f>
        <v>-36133.85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-36133.85</v>
      </c>
      <c r="M40" s="3"/>
      <c r="N40" s="20">
        <f t="shared" si="1"/>
        <v>0</v>
      </c>
      <c r="O40" s="12"/>
      <c r="P40" s="3">
        <f>-137466.4</f>
        <v>-137466.4</v>
      </c>
      <c r="Q40" s="3"/>
      <c r="R40" s="20"/>
      <c r="S40" s="3"/>
      <c r="T40" s="3">
        <f>0</f>
        <v>0</v>
      </c>
      <c r="U40" s="3"/>
      <c r="V40" s="20"/>
      <c r="W40" s="3"/>
      <c r="X40" s="3">
        <f t="shared" si="2"/>
        <v>-137466.4</v>
      </c>
      <c r="Y40" s="3"/>
      <c r="Z40" s="20">
        <f t="shared" si="3"/>
        <v>0</v>
      </c>
    </row>
    <row r="41" spans="1:26" s="69" customFormat="1" ht="15" hidden="1" customHeight="1" outlineLevel="1" x14ac:dyDescent="0.25">
      <c r="A41" s="42"/>
      <c r="B41" s="12" t="str">
        <f>CONCATENATE("          ","4226"," - ","SALES RETURN TAXABLE-WRITING I")</f>
        <v xml:space="preserve">          4226 - SALES RETURN TAXABLE-WRITING I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-6.38</f>
        <v>-6.38</v>
      </c>
      <c r="U41" s="3"/>
      <c r="V41" s="20"/>
      <c r="W41" s="3"/>
      <c r="X41" s="3">
        <f t="shared" si="2"/>
        <v>6.38</v>
      </c>
      <c r="Y41" s="3"/>
      <c r="Z41" s="20">
        <f t="shared" si="3"/>
        <v>-1</v>
      </c>
    </row>
    <row r="42" spans="1:26" s="69" customFormat="1" ht="15" hidden="1" customHeight="1" outlineLevel="1" x14ac:dyDescent="0.25">
      <c r="A42" s="42"/>
      <c r="B42" s="12" t="str">
        <f>CONCATENATE("          ","4227"," - ","SALES RETURN TAXABLE-SCHOOL SU")</f>
        <v xml:space="preserve">          4227 - SALES RETURN TAXABLE-SCHOOL SU</v>
      </c>
      <c r="C42" s="12"/>
      <c r="D42" s="3">
        <f>0</f>
        <v>0</v>
      </c>
      <c r="E42" s="3"/>
      <c r="F42" s="20"/>
      <c r="G42" s="3"/>
      <c r="H42" s="3">
        <f>-137.82</f>
        <v>-137.82</v>
      </c>
      <c r="I42" s="3"/>
      <c r="J42" s="20"/>
      <c r="K42" s="3"/>
      <c r="L42" s="3">
        <f t="shared" si="0"/>
        <v>137.82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-1281.3</f>
        <v>-1281.3</v>
      </c>
      <c r="U42" s="3"/>
      <c r="V42" s="20"/>
      <c r="W42" s="3"/>
      <c r="X42" s="3">
        <f t="shared" si="2"/>
        <v>1281.3</v>
      </c>
      <c r="Y42" s="3"/>
      <c r="Z42" s="20">
        <f t="shared" si="3"/>
        <v>-1</v>
      </c>
    </row>
    <row r="43" spans="1:26" s="69" customFormat="1" ht="15" hidden="1" customHeight="1" outlineLevel="1" x14ac:dyDescent="0.25">
      <c r="A43" s="42"/>
      <c r="B43" s="12" t="str">
        <f>CONCATENATE("          ","4228"," - ","SALES RETURN TAXABLE-ART/TECH")</f>
        <v xml:space="preserve">          4228 - SALES RETURN TAXABLE-ART/TECH</v>
      </c>
      <c r="C43" s="12"/>
      <c r="D43" s="3">
        <f>0</f>
        <v>0</v>
      </c>
      <c r="E43" s="3"/>
      <c r="F43" s="20"/>
      <c r="G43" s="3"/>
      <c r="H43" s="3">
        <f>0</f>
        <v>0</v>
      </c>
      <c r="I43" s="3"/>
      <c r="J43" s="20"/>
      <c r="K43" s="3"/>
      <c r="L43" s="3">
        <f t="shared" si="0"/>
        <v>0</v>
      </c>
      <c r="M43" s="3"/>
      <c r="N43" s="20">
        <f t="shared" si="1"/>
        <v>0</v>
      </c>
      <c r="O43" s="12"/>
      <c r="P43" s="3">
        <f>0</f>
        <v>0</v>
      </c>
      <c r="Q43" s="3"/>
      <c r="R43" s="20"/>
      <c r="S43" s="3"/>
      <c r="T43" s="3">
        <f>-12751.53</f>
        <v>-12751.53</v>
      </c>
      <c r="U43" s="3"/>
      <c r="V43" s="20"/>
      <c r="W43" s="3"/>
      <c r="X43" s="3">
        <f t="shared" si="2"/>
        <v>12751.53</v>
      </c>
      <c r="Y43" s="3"/>
      <c r="Z43" s="20">
        <f t="shared" si="3"/>
        <v>-1</v>
      </c>
    </row>
    <row r="44" spans="1:26" s="69" customFormat="1" ht="15" hidden="1" customHeight="1" outlineLevel="1" x14ac:dyDescent="0.25">
      <c r="A44" s="42"/>
      <c r="B44" s="12" t="str">
        <f>CONCATENATE("          ","4240"," - ","SALES RETURN TAXABLE-LOGO CLOT")</f>
        <v xml:space="preserve">          4240 - SALES RETURN TAXABLE-LOGO CLOT</v>
      </c>
      <c r="C44" s="12"/>
      <c r="D44" s="3">
        <f>0</f>
        <v>0</v>
      </c>
      <c r="E44" s="3"/>
      <c r="F44" s="20"/>
      <c r="G44" s="3"/>
      <c r="H44" s="3">
        <f>-5729.02</f>
        <v>-5729.02</v>
      </c>
      <c r="I44" s="3"/>
      <c r="J44" s="20"/>
      <c r="K44" s="3"/>
      <c r="L44" s="3">
        <f t="shared" si="0"/>
        <v>5729.02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-37199.06</f>
        <v>-37199.06</v>
      </c>
      <c r="U44" s="3"/>
      <c r="V44" s="20"/>
      <c r="W44" s="3"/>
      <c r="X44" s="3">
        <f t="shared" si="2"/>
        <v>37199.06</v>
      </c>
      <c r="Y44" s="3"/>
      <c r="Z44" s="20">
        <f t="shared" si="3"/>
        <v>-1</v>
      </c>
    </row>
    <row r="45" spans="1:26" s="69" customFormat="1" ht="15" hidden="1" customHeight="1" outlineLevel="1" x14ac:dyDescent="0.25">
      <c r="A45" s="42"/>
      <c r="B45" s="12" t="str">
        <f>CONCATENATE("          ","4241"," - ","SALES RETURN TAXABLE-LOGO GIFT")</f>
        <v xml:space="preserve">          4241 - SALES RETURN TAXABLE-LOGO GIFT</v>
      </c>
      <c r="C45" s="12"/>
      <c r="D45" s="3">
        <f>0</f>
        <v>0</v>
      </c>
      <c r="E45" s="3"/>
      <c r="F45" s="20"/>
      <c r="G45" s="3"/>
      <c r="H45" s="3">
        <f>-4446.08</f>
        <v>-4446.08</v>
      </c>
      <c r="I45" s="3"/>
      <c r="J45" s="20"/>
      <c r="K45" s="3"/>
      <c r="L45" s="3">
        <f t="shared" si="0"/>
        <v>4446.08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-14687.63</f>
        <v>-14687.63</v>
      </c>
      <c r="U45" s="3"/>
      <c r="V45" s="20"/>
      <c r="W45" s="3"/>
      <c r="X45" s="3">
        <f t="shared" si="2"/>
        <v>14687.63</v>
      </c>
      <c r="Y45" s="3"/>
      <c r="Z45" s="20">
        <f t="shared" si="3"/>
        <v>-1</v>
      </c>
    </row>
    <row r="46" spans="1:26" s="69" customFormat="1" ht="15" hidden="1" customHeight="1" outlineLevel="1" x14ac:dyDescent="0.25">
      <c r="A46" s="42"/>
      <c r="B46" s="12" t="str">
        <f>CONCATENATE("          ","4242"," - ","SALES RETURN TAXABLE-EVERYDAY")</f>
        <v xml:space="preserve">          4242 - SALES RETURN TAXABLE-EVERYDAY</v>
      </c>
      <c r="C46" s="12"/>
      <c r="D46" s="3">
        <f>0</f>
        <v>0</v>
      </c>
      <c r="E46" s="3"/>
      <c r="F46" s="20"/>
      <c r="G46" s="3"/>
      <c r="H46" s="3">
        <f>-107</f>
        <v>-107</v>
      </c>
      <c r="I46" s="3"/>
      <c r="J46" s="20"/>
      <c r="K46" s="3"/>
      <c r="L46" s="3">
        <f t="shared" si="0"/>
        <v>107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-2417.03</f>
        <v>-2417.0300000000002</v>
      </c>
      <c r="U46" s="3"/>
      <c r="V46" s="20"/>
      <c r="W46" s="3"/>
      <c r="X46" s="3">
        <f t="shared" si="2"/>
        <v>2417.0300000000002</v>
      </c>
      <c r="Y46" s="3"/>
      <c r="Z46" s="20">
        <f t="shared" si="3"/>
        <v>-1</v>
      </c>
    </row>
    <row r="47" spans="1:26" s="69" customFormat="1" ht="15" hidden="1" customHeight="1" outlineLevel="1" x14ac:dyDescent="0.25">
      <c r="A47" s="42"/>
      <c r="B47" s="12" t="str">
        <f>CONCATENATE("          ","4243"," - ","SALES RETURN TAXABLE-CARDS")</f>
        <v xml:space="preserve">          4243 - SALES RETURN TAXABLE-CARDS</v>
      </c>
      <c r="C47" s="12"/>
      <c r="D47" s="3">
        <f>0</f>
        <v>0</v>
      </c>
      <c r="E47" s="3"/>
      <c r="F47" s="20"/>
      <c r="G47" s="3"/>
      <c r="H47" s="3">
        <f>-76.9</f>
        <v>-76.900000000000006</v>
      </c>
      <c r="I47" s="3"/>
      <c r="J47" s="20"/>
      <c r="K47" s="3"/>
      <c r="L47" s="3">
        <f t="shared" si="0"/>
        <v>76.900000000000006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-6218.99</f>
        <v>-6218.99</v>
      </c>
      <c r="U47" s="3"/>
      <c r="V47" s="20"/>
      <c r="W47" s="3"/>
      <c r="X47" s="3">
        <f t="shared" si="2"/>
        <v>6218.99</v>
      </c>
      <c r="Y47" s="3"/>
      <c r="Z47" s="20">
        <f t="shared" si="3"/>
        <v>-1</v>
      </c>
    </row>
    <row r="48" spans="1:26" s="69" customFormat="1" ht="15" hidden="1" customHeight="1" outlineLevel="1" x14ac:dyDescent="0.25">
      <c r="A48" s="42"/>
      <c r="B48" s="12" t="str">
        <f>CONCATENATE("          ","4244"," - ","SALES RETURN TAXABLE-ACCESSORI")</f>
        <v xml:space="preserve">          4244 - SALES RETURN TAXABLE-ACCESSORI</v>
      </c>
      <c r="C48" s="12"/>
      <c r="D48" s="3">
        <f>0</f>
        <v>0</v>
      </c>
      <c r="E48" s="3"/>
      <c r="F48" s="20"/>
      <c r="G48" s="3"/>
      <c r="H48" s="3">
        <f>-7.46</f>
        <v>-7.46</v>
      </c>
      <c r="I48" s="3"/>
      <c r="J48" s="20"/>
      <c r="K48" s="3"/>
      <c r="L48" s="3">
        <f t="shared" si="0"/>
        <v>7.46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-1208.08</f>
        <v>-1208.08</v>
      </c>
      <c r="U48" s="3"/>
      <c r="V48" s="20"/>
      <c r="W48" s="3"/>
      <c r="X48" s="3">
        <f t="shared" si="2"/>
        <v>1208.08</v>
      </c>
      <c r="Y48" s="3"/>
      <c r="Z48" s="20">
        <f t="shared" si="3"/>
        <v>-1</v>
      </c>
    </row>
    <row r="49" spans="1:26" s="69" customFormat="1" ht="15" hidden="1" customHeight="1" outlineLevel="1" x14ac:dyDescent="0.25">
      <c r="A49" s="42"/>
      <c r="B49" s="12" t="str">
        <f>CONCATENATE("          ","4245"," - ","SALES RETURN TAXABLE-SPECIAL O")</f>
        <v xml:space="preserve">          4245 - SALES RETURN TAXABLE-SPECIAL O</v>
      </c>
      <c r="C49" s="12"/>
      <c r="D49" s="3">
        <f>0</f>
        <v>0</v>
      </c>
      <c r="E49" s="3"/>
      <c r="F49" s="20"/>
      <c r="G49" s="3"/>
      <c r="H49" s="3">
        <f>-36</f>
        <v>-36</v>
      </c>
      <c r="I49" s="3"/>
      <c r="J49" s="20"/>
      <c r="K49" s="3"/>
      <c r="L49" s="3">
        <f t="shared" si="0"/>
        <v>36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-15453.73</f>
        <v>-15453.73</v>
      </c>
      <c r="U49" s="3"/>
      <c r="V49" s="20"/>
      <c r="W49" s="3"/>
      <c r="X49" s="3">
        <f t="shared" si="2"/>
        <v>15453.73</v>
      </c>
      <c r="Y49" s="3"/>
      <c r="Z49" s="20">
        <f t="shared" si="3"/>
        <v>-1</v>
      </c>
    </row>
    <row r="50" spans="1:26" s="69" customFormat="1" ht="15" hidden="1" customHeight="1" outlineLevel="1" x14ac:dyDescent="0.25">
      <c r="A50" s="42"/>
      <c r="B50" s="12" t="str">
        <f>CONCATENATE("          ","4300"," - ","NON-TAX RETURNS")</f>
        <v xml:space="preserve">          4300 - NON-TAX RETURNS</v>
      </c>
      <c r="C50" s="12"/>
      <c r="D50" s="3">
        <f>-346.55</f>
        <v>-346.55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0"/>
        <v>-346.55</v>
      </c>
      <c r="M50" s="3"/>
      <c r="N50" s="20">
        <f t="shared" si="1"/>
        <v>0</v>
      </c>
      <c r="O50" s="12"/>
      <c r="P50" s="3">
        <f>-3496.69</f>
        <v>-3496.69</v>
      </c>
      <c r="Q50" s="3"/>
      <c r="R50" s="20"/>
      <c r="S50" s="3"/>
      <c r="T50" s="3">
        <f>0</f>
        <v>0</v>
      </c>
      <c r="U50" s="3"/>
      <c r="V50" s="20"/>
      <c r="W50" s="3"/>
      <c r="X50" s="3">
        <f t="shared" si="2"/>
        <v>-3496.69</v>
      </c>
      <c r="Y50" s="3"/>
      <c r="Z50" s="20">
        <f t="shared" si="3"/>
        <v>0</v>
      </c>
    </row>
    <row r="51" spans="1:26" s="69" customFormat="1" ht="15" hidden="1" customHeight="1" outlineLevel="1" x14ac:dyDescent="0.25">
      <c r="A51" s="42"/>
      <c r="B51" s="12" t="str">
        <f>CONCATENATE("          ","4327"," - ","SALES RETURN NON TAXABLE-SCHOO")</f>
        <v xml:space="preserve">          4327 - SALES RETURN NON TAXABLE-SCHOO</v>
      </c>
      <c r="C51" s="12"/>
      <c r="D51" s="3">
        <f>0</f>
        <v>0</v>
      </c>
      <c r="E51" s="3"/>
      <c r="F51" s="20"/>
      <c r="G51" s="3"/>
      <c r="H51" s="3">
        <f>-17.41</f>
        <v>-17.41</v>
      </c>
      <c r="I51" s="3"/>
      <c r="J51" s="20"/>
      <c r="K51" s="3"/>
      <c r="L51" s="3">
        <f t="shared" si="0"/>
        <v>17.41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-17.41</f>
        <v>-17.41</v>
      </c>
      <c r="U51" s="3"/>
      <c r="V51" s="20"/>
      <c r="W51" s="3"/>
      <c r="X51" s="3">
        <f t="shared" si="2"/>
        <v>17.41</v>
      </c>
      <c r="Y51" s="3"/>
      <c r="Z51" s="20">
        <f t="shared" si="3"/>
        <v>-1</v>
      </c>
    </row>
    <row r="52" spans="1:26" s="69" customFormat="1" ht="15" hidden="1" customHeight="1" outlineLevel="1" x14ac:dyDescent="0.25">
      <c r="A52" s="42"/>
      <c r="B52" s="12" t="str">
        <f>CONCATENATE("          ","4340"," - ","SALES RETURN NON TAXABLE-LOGO")</f>
        <v xml:space="preserve">          4340 - SALES RETURN NON TAXABLE-LOGO</v>
      </c>
      <c r="C52" s="12"/>
      <c r="D52" s="3">
        <f>0</f>
        <v>0</v>
      </c>
      <c r="E52" s="3"/>
      <c r="F52" s="20"/>
      <c r="G52" s="3"/>
      <c r="H52" s="3">
        <f>-143.74</f>
        <v>-143.74</v>
      </c>
      <c r="I52" s="3"/>
      <c r="J52" s="20"/>
      <c r="K52" s="3"/>
      <c r="L52" s="3">
        <f t="shared" si="0"/>
        <v>143.74</v>
      </c>
      <c r="M52" s="3"/>
      <c r="N52" s="20">
        <f t="shared" si="1"/>
        <v>-1</v>
      </c>
      <c r="O52" s="12"/>
      <c r="P52" s="3">
        <f>0</f>
        <v>0</v>
      </c>
      <c r="Q52" s="3"/>
      <c r="R52" s="20"/>
      <c r="S52" s="3"/>
      <c r="T52" s="3">
        <f>-3451.26</f>
        <v>-3451.26</v>
      </c>
      <c r="U52" s="3"/>
      <c r="V52" s="20"/>
      <c r="W52" s="3"/>
      <c r="X52" s="3">
        <f t="shared" si="2"/>
        <v>3451.26</v>
      </c>
      <c r="Y52" s="3"/>
      <c r="Z52" s="20">
        <f t="shared" si="3"/>
        <v>-1</v>
      </c>
    </row>
    <row r="53" spans="1:26" s="69" customFormat="1" ht="15" hidden="1" customHeight="1" outlineLevel="1" x14ac:dyDescent="0.25">
      <c r="A53" s="42"/>
      <c r="B53" s="12" t="str">
        <f>CONCATENATE("          ","4341"," - ","SALES RETURN NON TAXABLE-LOGO")</f>
        <v xml:space="preserve">          4341 - SALES RETURN NON TAXABLE-LOGO</v>
      </c>
      <c r="C53" s="12"/>
      <c r="D53" s="3">
        <f>0</f>
        <v>0</v>
      </c>
      <c r="E53" s="3"/>
      <c r="F53" s="20"/>
      <c r="G53" s="3"/>
      <c r="H53" s="3">
        <f>0</f>
        <v>0</v>
      </c>
      <c r="I53" s="3"/>
      <c r="J53" s="20"/>
      <c r="K53" s="3"/>
      <c r="L53" s="3">
        <f t="shared" si="0"/>
        <v>0</v>
      </c>
      <c r="M53" s="3"/>
      <c r="N53" s="20">
        <f t="shared" si="1"/>
        <v>0</v>
      </c>
      <c r="O53" s="12"/>
      <c r="P53" s="3">
        <f>0</f>
        <v>0</v>
      </c>
      <c r="Q53" s="3"/>
      <c r="R53" s="20"/>
      <c r="S53" s="3"/>
      <c r="T53" s="3">
        <f>-391.24</f>
        <v>-391.24</v>
      </c>
      <c r="U53" s="3"/>
      <c r="V53" s="20"/>
      <c r="W53" s="3"/>
      <c r="X53" s="3">
        <f t="shared" si="2"/>
        <v>391.24</v>
      </c>
      <c r="Y53" s="3"/>
      <c r="Z53" s="20">
        <f t="shared" si="3"/>
        <v>-1</v>
      </c>
    </row>
    <row r="54" spans="1:26" s="69" customFormat="1" ht="15" hidden="1" customHeight="1" outlineLevel="1" x14ac:dyDescent="0.25">
      <c r="A54" s="42"/>
      <c r="B54" s="12" t="str">
        <f>CONCATENATE("          ","4342"," - ","SALES RETURN NON TAXABLE-EVERY")</f>
        <v xml:space="preserve">          4342 - SALES RETURN NON TAXABLE-EVERY</v>
      </c>
      <c r="C54" s="12"/>
      <c r="D54" s="3">
        <f>0</f>
        <v>0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0"/>
        <v>0</v>
      </c>
      <c r="M54" s="3"/>
      <c r="N54" s="20">
        <f t="shared" si="1"/>
        <v>0</v>
      </c>
      <c r="O54" s="12"/>
      <c r="P54" s="3">
        <f>0</f>
        <v>0</v>
      </c>
      <c r="Q54" s="3"/>
      <c r="R54" s="20"/>
      <c r="S54" s="3"/>
      <c r="T54" s="3">
        <f>-118.7</f>
        <v>-118.7</v>
      </c>
      <c r="U54" s="3"/>
      <c r="V54" s="20"/>
      <c r="W54" s="3"/>
      <c r="X54" s="3">
        <f t="shared" si="2"/>
        <v>118.7</v>
      </c>
      <c r="Y54" s="3"/>
      <c r="Z54" s="20">
        <f t="shared" si="3"/>
        <v>-1</v>
      </c>
    </row>
    <row r="55" spans="1:26" s="69" customFormat="1" ht="15" hidden="1" customHeight="1" outlineLevel="1" x14ac:dyDescent="0.25">
      <c r="A55" s="42"/>
      <c r="B55" s="12" t="str">
        <f>CONCATENATE("          ","4500"," - ","SALES DISCOUNT")</f>
        <v xml:space="preserve">          4500 - SALES DISCOUNT</v>
      </c>
      <c r="C55" s="12"/>
      <c r="D55" s="3">
        <f>-19736.27</f>
        <v>-19736.27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0"/>
        <v>-19736.27</v>
      </c>
      <c r="M55" s="3"/>
      <c r="N55" s="20">
        <f t="shared" si="1"/>
        <v>0</v>
      </c>
      <c r="O55" s="12"/>
      <c r="P55" s="3">
        <f>-109882.54</f>
        <v>-109882.54</v>
      </c>
      <c r="Q55" s="3"/>
      <c r="R55" s="20"/>
      <c r="S55" s="3"/>
      <c r="T55" s="3">
        <f>0</f>
        <v>0</v>
      </c>
      <c r="U55" s="3"/>
      <c r="V55" s="20"/>
      <c r="W55" s="3"/>
      <c r="X55" s="3">
        <f t="shared" si="2"/>
        <v>-109882.54</v>
      </c>
      <c r="Y55" s="3"/>
      <c r="Z55" s="20">
        <f t="shared" si="3"/>
        <v>0</v>
      </c>
    </row>
    <row r="56" spans="1:26" ht="15" customHeight="1" x14ac:dyDescent="0.25">
      <c r="A56" s="10"/>
      <c r="B56" s="11"/>
      <c r="C56" s="10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2" customFormat="1" ht="15" customHeight="1" collapsed="1" x14ac:dyDescent="0.25">
      <c r="A57" s="11"/>
      <c r="B57" s="28" t="s">
        <v>287</v>
      </c>
      <c r="C57" s="11"/>
      <c r="D57" s="5">
        <f>SUM(OSRRefD16x_0)</f>
        <v>323901.81</v>
      </c>
      <c r="E57" s="5"/>
      <c r="F57" s="13">
        <f t="shared" ref="F57:F82" si="4">IF(D$12=0,0,D57/D$12)</f>
        <v>0.43746235704049119</v>
      </c>
      <c r="G57" s="5"/>
      <c r="H57" s="5">
        <f>SUM(OSRRefH16x_0)</f>
        <v>175207</v>
      </c>
      <c r="I57" s="5"/>
      <c r="J57" s="13">
        <f t="shared" ref="J57:J82" si="5">IF(H$12=0,0,H57/H$12)</f>
        <v>0.44309297494545896</v>
      </c>
      <c r="K57" s="5"/>
      <c r="L57" s="5">
        <f t="shared" ref="L57:L82" si="6">+D57-H57</f>
        <v>148694.81</v>
      </c>
      <c r="M57" s="5"/>
      <c r="N57" s="13">
        <f t="shared" ref="N57:N82" si="7">IF(H57=0,0,L57/H57)</f>
        <v>0.84868076047189889</v>
      </c>
      <c r="O57" s="11"/>
      <c r="P57" s="5">
        <f>SUM(OSRRefP16x_0)</f>
        <v>2061734.8700000003</v>
      </c>
      <c r="Q57" s="5"/>
      <c r="R57" s="13">
        <f t="shared" ref="R57:R82" si="8">IF(P$12=0,0,P57/P$12)</f>
        <v>0.46417333412905865</v>
      </c>
      <c r="S57" s="5"/>
      <c r="T57" s="5">
        <f>SUM(OSRRefT16x_0)</f>
        <v>1090522.5399999998</v>
      </c>
      <c r="U57" s="5"/>
      <c r="V57" s="13">
        <f t="shared" ref="V57:V82" si="9">IF(T$12=0,0,T57/T$12)</f>
        <v>0.53691048379676276</v>
      </c>
      <c r="W57" s="5"/>
      <c r="X57" s="5">
        <f t="shared" ref="X57:X82" si="10">+P57-T57</f>
        <v>971212.33000000054</v>
      </c>
      <c r="Y57" s="5"/>
      <c r="Z57" s="13">
        <f t="shared" ref="Z57:Z82" si="11">IF(T57=0,0,X57/T57)</f>
        <v>0.89059354059752005</v>
      </c>
    </row>
    <row r="58" spans="1:26" s="69" customFormat="1" ht="15" hidden="1" customHeight="1" outlineLevel="1" x14ac:dyDescent="0.25">
      <c r="A58" s="42"/>
      <c r="B58" s="12" t="str">
        <f>CONCATENATE("          ","5000"," - ","PURCHASES @ COST")</f>
        <v xml:space="preserve">          5000 - PURCHASES @ COST</v>
      </c>
      <c r="C58" s="12"/>
      <c r="D58" s="3">
        <v>244456.86</v>
      </c>
      <c r="E58" s="3"/>
      <c r="F58" s="20">
        <f t="shared" si="4"/>
        <v>0.33016386716183327</v>
      </c>
      <c r="G58" s="3"/>
      <c r="H58" s="3"/>
      <c r="I58" s="3"/>
      <c r="J58" s="20">
        <f t="shared" si="5"/>
        <v>0</v>
      </c>
      <c r="K58" s="3"/>
      <c r="L58" s="3">
        <f t="shared" si="6"/>
        <v>244456.86</v>
      </c>
      <c r="M58" s="3"/>
      <c r="N58" s="20">
        <f t="shared" si="7"/>
        <v>0</v>
      </c>
      <c r="O58" s="12"/>
      <c r="P58" s="3">
        <v>2350434.1</v>
      </c>
      <c r="Q58" s="3"/>
      <c r="R58" s="20">
        <f t="shared" si="8"/>
        <v>0.5291702869863345</v>
      </c>
      <c r="S58" s="3"/>
      <c r="T58" s="3"/>
      <c r="U58" s="3"/>
      <c r="V58" s="20">
        <f t="shared" si="9"/>
        <v>0</v>
      </c>
      <c r="W58" s="3"/>
      <c r="X58" s="3">
        <f t="shared" si="10"/>
        <v>2350434.1</v>
      </c>
      <c r="Y58" s="3"/>
      <c r="Z58" s="20">
        <f t="shared" si="11"/>
        <v>0</v>
      </c>
    </row>
    <row r="59" spans="1:26" s="69" customFormat="1" ht="15" hidden="1" customHeight="1" outlineLevel="1" x14ac:dyDescent="0.25">
      <c r="A59" s="42"/>
      <c r="B59" s="12" t="str">
        <f>CONCATENATE("          ","5025"," - ","PURCHASES @ COST-TEST FORMS")</f>
        <v xml:space="preserve">          5025 - PURCHASES @ COST-TEST FORMS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/>
      <c r="Q59" s="3"/>
      <c r="R59" s="20">
        <f t="shared" si="8"/>
        <v>0</v>
      </c>
      <c r="S59" s="3"/>
      <c r="T59" s="3">
        <v>599.29</v>
      </c>
      <c r="U59" s="3"/>
      <c r="V59" s="20">
        <f t="shared" si="9"/>
        <v>2.9505587645585208E-4</v>
      </c>
      <c r="W59" s="3"/>
      <c r="X59" s="3">
        <f t="shared" si="10"/>
        <v>-599.29</v>
      </c>
      <c r="Y59" s="3"/>
      <c r="Z59" s="20">
        <f t="shared" si="11"/>
        <v>-1</v>
      </c>
    </row>
    <row r="60" spans="1:26" s="69" customFormat="1" ht="15" hidden="1" customHeight="1" outlineLevel="1" x14ac:dyDescent="0.25">
      <c r="A60" s="42"/>
      <c r="B60" s="12" t="str">
        <f>CONCATENATE("          ","5026"," - ","PURCHASES @ COST-WRITING INSTR")</f>
        <v xml:space="preserve">          5026 - PURCHASES @ COST-WRITING INSTR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/>
      <c r="Q60" s="3"/>
      <c r="R60" s="20">
        <f t="shared" si="8"/>
        <v>0</v>
      </c>
      <c r="S60" s="3"/>
      <c r="T60" s="3">
        <v>219.64</v>
      </c>
      <c r="U60" s="3"/>
      <c r="V60" s="20">
        <f t="shared" si="9"/>
        <v>1.0813808457468562E-4</v>
      </c>
      <c r="W60" s="3"/>
      <c r="X60" s="3">
        <f t="shared" si="10"/>
        <v>-219.64</v>
      </c>
      <c r="Y60" s="3"/>
      <c r="Z60" s="20">
        <f t="shared" si="11"/>
        <v>-1</v>
      </c>
    </row>
    <row r="61" spans="1:26" s="69" customFormat="1" ht="15" hidden="1" customHeight="1" outlineLevel="1" x14ac:dyDescent="0.25">
      <c r="A61" s="42"/>
      <c r="B61" s="12" t="str">
        <f>CONCATENATE("          ","5027"," - ","PURCHASES @ COST-SCHOOL SUPPLI")</f>
        <v xml:space="preserve">          5027 - PURCHASES @ COST-SCHOOL SUPPLI</v>
      </c>
      <c r="C61" s="12"/>
      <c r="D61" s="3"/>
      <c r="E61" s="3"/>
      <c r="F61" s="20">
        <f t="shared" si="4"/>
        <v>0</v>
      </c>
      <c r="G61" s="3"/>
      <c r="H61" s="3">
        <v>0.39</v>
      </c>
      <c r="I61" s="3"/>
      <c r="J61" s="20">
        <f t="shared" si="5"/>
        <v>9.8629769489078059E-7</v>
      </c>
      <c r="K61" s="3"/>
      <c r="L61" s="3">
        <f t="shared" si="6"/>
        <v>-0.39</v>
      </c>
      <c r="M61" s="3"/>
      <c r="N61" s="20">
        <f t="shared" si="7"/>
        <v>-1</v>
      </c>
      <c r="O61" s="12"/>
      <c r="P61" s="3">
        <v>0</v>
      </c>
      <c r="Q61" s="3"/>
      <c r="R61" s="20">
        <f t="shared" si="8"/>
        <v>0</v>
      </c>
      <c r="S61" s="3"/>
      <c r="T61" s="3">
        <v>22839.52</v>
      </c>
      <c r="U61" s="3"/>
      <c r="V61" s="20">
        <f t="shared" si="9"/>
        <v>1.1244864074873538E-2</v>
      </c>
      <c r="W61" s="3"/>
      <c r="X61" s="3">
        <f t="shared" si="10"/>
        <v>-22839.52</v>
      </c>
      <c r="Y61" s="3"/>
      <c r="Z61" s="20">
        <f t="shared" si="11"/>
        <v>-1</v>
      </c>
    </row>
    <row r="62" spans="1:26" s="69" customFormat="1" ht="15" hidden="1" customHeight="1" outlineLevel="1" x14ac:dyDescent="0.25">
      <c r="A62" s="42"/>
      <c r="B62" s="12" t="str">
        <f>CONCATENATE("          ","5028"," - ","PURCHASES @ COST-ART/TECH")</f>
        <v xml:space="preserve">          5028 - PURCHASES @ COST-ART/TECH</v>
      </c>
      <c r="C62" s="12"/>
      <c r="D62" s="3"/>
      <c r="E62" s="3"/>
      <c r="F62" s="20">
        <f t="shared" si="4"/>
        <v>0</v>
      </c>
      <c r="G62" s="3"/>
      <c r="H62" s="3">
        <v>674.12</v>
      </c>
      <c r="I62" s="3"/>
      <c r="J62" s="20">
        <f t="shared" si="5"/>
        <v>1.7048282104609566E-3</v>
      </c>
      <c r="K62" s="3"/>
      <c r="L62" s="3">
        <f t="shared" si="6"/>
        <v>-674.12</v>
      </c>
      <c r="M62" s="3"/>
      <c r="N62" s="20">
        <f t="shared" si="7"/>
        <v>-1</v>
      </c>
      <c r="O62" s="12"/>
      <c r="P62" s="3">
        <v>0</v>
      </c>
      <c r="Q62" s="3"/>
      <c r="R62" s="20">
        <f t="shared" si="8"/>
        <v>0</v>
      </c>
      <c r="S62" s="3"/>
      <c r="T62" s="3">
        <v>6238.89</v>
      </c>
      <c r="U62" s="3"/>
      <c r="V62" s="20">
        <f t="shared" si="9"/>
        <v>3.0716700713538541E-3</v>
      </c>
      <c r="W62" s="3"/>
      <c r="X62" s="3">
        <f t="shared" si="10"/>
        <v>-6238.89</v>
      </c>
      <c r="Y62" s="3"/>
      <c r="Z62" s="20">
        <f t="shared" si="11"/>
        <v>-1</v>
      </c>
    </row>
    <row r="63" spans="1:26" s="69" customFormat="1" ht="15" hidden="1" customHeight="1" outlineLevel="1" x14ac:dyDescent="0.25">
      <c r="A63" s="42"/>
      <c r="B63" s="12" t="str">
        <f>CONCATENATE("          ","5031"," - ","PURCHASES @ COST-FOOD")</f>
        <v xml:space="preserve">          5031 - PURCHASES @ COST-FOOD</v>
      </c>
      <c r="C63" s="12"/>
      <c r="D63" s="3"/>
      <c r="E63" s="3"/>
      <c r="F63" s="20">
        <f t="shared" si="4"/>
        <v>0</v>
      </c>
      <c r="G63" s="3"/>
      <c r="H63" s="3">
        <v>280.37</v>
      </c>
      <c r="I63" s="3"/>
      <c r="J63" s="20">
        <f t="shared" si="5"/>
        <v>7.0904688388853383E-4</v>
      </c>
      <c r="K63" s="3"/>
      <c r="L63" s="3">
        <f t="shared" si="6"/>
        <v>-280.37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5624.52</v>
      </c>
      <c r="U63" s="3"/>
      <c r="V63" s="20">
        <f t="shared" si="9"/>
        <v>2.7691896715170772E-3</v>
      </c>
      <c r="W63" s="3"/>
      <c r="X63" s="3">
        <f t="shared" si="10"/>
        <v>-5624.52</v>
      </c>
      <c r="Y63" s="3"/>
      <c r="Z63" s="20">
        <f t="shared" si="11"/>
        <v>-1</v>
      </c>
    </row>
    <row r="64" spans="1:26" s="69" customFormat="1" ht="15" hidden="1" customHeight="1" outlineLevel="1" x14ac:dyDescent="0.25">
      <c r="A64" s="42"/>
      <c r="B64" s="12" t="str">
        <f>CONCATENATE("          ","5040"," - ","PURCHASES @ COST-LOGO CLOTHING")</f>
        <v xml:space="preserve">          5040 - PURCHASES @ COST-LOGO CLOTHING</v>
      </c>
      <c r="C64" s="12"/>
      <c r="D64" s="3"/>
      <c r="E64" s="3"/>
      <c r="F64" s="20">
        <f t="shared" si="4"/>
        <v>0</v>
      </c>
      <c r="G64" s="3"/>
      <c r="H64" s="3">
        <v>48288.73</v>
      </c>
      <c r="I64" s="3"/>
      <c r="J64" s="20">
        <f t="shared" si="5"/>
        <v>0.12212067458513665</v>
      </c>
      <c r="K64" s="3"/>
      <c r="L64" s="3">
        <f t="shared" si="6"/>
        <v>-48288.73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327378.98</v>
      </c>
      <c r="U64" s="3"/>
      <c r="V64" s="20">
        <f t="shared" si="9"/>
        <v>0.16118255248230884</v>
      </c>
      <c r="W64" s="3"/>
      <c r="X64" s="3">
        <f t="shared" si="10"/>
        <v>-327378.98</v>
      </c>
      <c r="Y64" s="3"/>
      <c r="Z64" s="20">
        <f t="shared" si="11"/>
        <v>-1</v>
      </c>
    </row>
    <row r="65" spans="1:26" s="69" customFormat="1" ht="15" hidden="1" customHeight="1" outlineLevel="1" x14ac:dyDescent="0.25">
      <c r="A65" s="42"/>
      <c r="B65" s="12" t="str">
        <f>CONCATENATE("          ","5041"," - ","PURCHASES @ COST-LOGO GIFTS")</f>
        <v xml:space="preserve">          5041 - PURCHASES @ COST-LOGO GIFTS</v>
      </c>
      <c r="C65" s="12"/>
      <c r="D65" s="3"/>
      <c r="E65" s="3"/>
      <c r="F65" s="20">
        <f t="shared" si="4"/>
        <v>0</v>
      </c>
      <c r="G65" s="3"/>
      <c r="H65" s="3">
        <v>22136.9</v>
      </c>
      <c r="I65" s="3"/>
      <c r="J65" s="20">
        <f t="shared" si="5"/>
        <v>5.5983521646224929E-2</v>
      </c>
      <c r="K65" s="3"/>
      <c r="L65" s="3">
        <f t="shared" si="6"/>
        <v>-22136.9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106191.25</v>
      </c>
      <c r="U65" s="3"/>
      <c r="V65" s="20">
        <f t="shared" si="9"/>
        <v>5.2282454806007947E-2</v>
      </c>
      <c r="W65" s="3"/>
      <c r="X65" s="3">
        <f t="shared" si="10"/>
        <v>-106191.25</v>
      </c>
      <c r="Y65" s="3"/>
      <c r="Z65" s="20">
        <f t="shared" si="11"/>
        <v>-1</v>
      </c>
    </row>
    <row r="66" spans="1:26" s="69" customFormat="1" ht="15" hidden="1" customHeight="1" outlineLevel="1" x14ac:dyDescent="0.25">
      <c r="A66" s="42"/>
      <c r="B66" s="12" t="str">
        <f>CONCATENATE("          ","5042"," - ","PURCHASES @ COST-EVERYDAY GIFT")</f>
        <v xml:space="preserve">          5042 - PURCHASES @ COST-EVERYDAY GIFT</v>
      </c>
      <c r="C66" s="12"/>
      <c r="D66" s="3"/>
      <c r="E66" s="3"/>
      <c r="F66" s="20">
        <f t="shared" si="4"/>
        <v>0</v>
      </c>
      <c r="G66" s="3"/>
      <c r="H66" s="3">
        <v>-0.11</v>
      </c>
      <c r="I66" s="3"/>
      <c r="J66" s="20">
        <f t="shared" si="5"/>
        <v>-2.7818652932816893E-7</v>
      </c>
      <c r="K66" s="3"/>
      <c r="L66" s="3">
        <f t="shared" si="6"/>
        <v>0.11</v>
      </c>
      <c r="M66" s="3"/>
      <c r="N66" s="20">
        <f t="shared" si="7"/>
        <v>-1</v>
      </c>
      <c r="O66" s="12"/>
      <c r="P66" s="3">
        <v>0</v>
      </c>
      <c r="Q66" s="3"/>
      <c r="R66" s="20">
        <f t="shared" si="8"/>
        <v>0</v>
      </c>
      <c r="S66" s="3"/>
      <c r="T66" s="3">
        <v>10802.03</v>
      </c>
      <c r="U66" s="3"/>
      <c r="V66" s="20">
        <f t="shared" si="9"/>
        <v>5.3182973671384607E-3</v>
      </c>
      <c r="W66" s="3"/>
      <c r="X66" s="3">
        <f t="shared" si="10"/>
        <v>-10802.03</v>
      </c>
      <c r="Y66" s="3"/>
      <c r="Z66" s="20">
        <f t="shared" si="11"/>
        <v>-1</v>
      </c>
    </row>
    <row r="67" spans="1:26" s="69" customFormat="1" ht="15" hidden="1" customHeight="1" outlineLevel="1" x14ac:dyDescent="0.25">
      <c r="A67" s="42"/>
      <c r="B67" s="12" t="str">
        <f>CONCATENATE("          ","5043"," - ","PURCHASES @ COST-CARDS")</f>
        <v xml:space="preserve">          5043 - PURCHASES @ COST-CARDS</v>
      </c>
      <c r="C67" s="12"/>
      <c r="D67" s="3"/>
      <c r="E67" s="3"/>
      <c r="F67" s="20">
        <f t="shared" si="4"/>
        <v>0</v>
      </c>
      <c r="G67" s="3"/>
      <c r="H67" s="3">
        <v>178</v>
      </c>
      <c r="I67" s="3"/>
      <c r="J67" s="20">
        <f t="shared" si="5"/>
        <v>4.5015638382194602E-4</v>
      </c>
      <c r="K67" s="3"/>
      <c r="L67" s="3">
        <f t="shared" si="6"/>
        <v>-178</v>
      </c>
      <c r="M67" s="3"/>
      <c r="N67" s="20">
        <f t="shared" si="7"/>
        <v>-1</v>
      </c>
      <c r="O67" s="12"/>
      <c r="P67" s="3">
        <v>0</v>
      </c>
      <c r="Q67" s="3"/>
      <c r="R67" s="20">
        <f t="shared" si="8"/>
        <v>0</v>
      </c>
      <c r="S67" s="3"/>
      <c r="T67" s="3">
        <v>55583.33</v>
      </c>
      <c r="U67" s="3"/>
      <c r="V67" s="20">
        <f t="shared" si="9"/>
        <v>2.7366030051368884E-2</v>
      </c>
      <c r="W67" s="3"/>
      <c r="X67" s="3">
        <f t="shared" si="10"/>
        <v>-55583.33</v>
      </c>
      <c r="Y67" s="3"/>
      <c r="Z67" s="20">
        <f t="shared" si="11"/>
        <v>-1</v>
      </c>
    </row>
    <row r="68" spans="1:26" s="69" customFormat="1" ht="15" hidden="1" customHeight="1" outlineLevel="1" x14ac:dyDescent="0.25">
      <c r="A68" s="42"/>
      <c r="B68" s="12" t="str">
        <f>CONCATENATE("          ","5044"," - ","PURCHASES @ COST-ACCESSORIES")</f>
        <v xml:space="preserve">          5044 - PURCHASES @ COST-ACCESSORIES</v>
      </c>
      <c r="C68" s="12"/>
      <c r="D68" s="3"/>
      <c r="E68" s="3"/>
      <c r="F68" s="20">
        <f t="shared" si="4"/>
        <v>0</v>
      </c>
      <c r="G68" s="3"/>
      <c r="H68" s="3"/>
      <c r="I68" s="3"/>
      <c r="J68" s="20">
        <f t="shared" si="5"/>
        <v>0</v>
      </c>
      <c r="K68" s="3"/>
      <c r="L68" s="3">
        <f t="shared" si="6"/>
        <v>0</v>
      </c>
      <c r="M68" s="3"/>
      <c r="N68" s="20">
        <f t="shared" si="7"/>
        <v>0</v>
      </c>
      <c r="O68" s="12"/>
      <c r="P68" s="3">
        <v>0</v>
      </c>
      <c r="Q68" s="3"/>
      <c r="R68" s="20">
        <f t="shared" si="8"/>
        <v>0</v>
      </c>
      <c r="S68" s="3"/>
      <c r="T68" s="3">
        <v>2555.71</v>
      </c>
      <c r="U68" s="3"/>
      <c r="V68" s="20">
        <f t="shared" si="9"/>
        <v>1.2582843932269615E-3</v>
      </c>
      <c r="W68" s="3"/>
      <c r="X68" s="3">
        <f t="shared" si="10"/>
        <v>-2555.71</v>
      </c>
      <c r="Y68" s="3"/>
      <c r="Z68" s="20">
        <f t="shared" si="11"/>
        <v>-1</v>
      </c>
    </row>
    <row r="69" spans="1:26" s="69" customFormat="1" ht="15" hidden="1" customHeight="1" outlineLevel="1" x14ac:dyDescent="0.25">
      <c r="A69" s="42"/>
      <c r="B69" s="12" t="str">
        <f>CONCATENATE("          ","5045"," - ","PURCHASES @ COST-SPECIAL ORDER")</f>
        <v xml:space="preserve">          5045 - PURCHASES @ COST-SPECIAL ORDER</v>
      </c>
      <c r="C69" s="12"/>
      <c r="D69" s="3"/>
      <c r="E69" s="3"/>
      <c r="F69" s="20">
        <f t="shared" si="4"/>
        <v>0</v>
      </c>
      <c r="G69" s="3"/>
      <c r="H69" s="3">
        <v>24141.17</v>
      </c>
      <c r="I69" s="3"/>
      <c r="J69" s="20">
        <f t="shared" si="5"/>
        <v>6.1052257238375554E-2</v>
      </c>
      <c r="K69" s="3"/>
      <c r="L69" s="3">
        <f t="shared" si="6"/>
        <v>-24141.17</v>
      </c>
      <c r="M69" s="3"/>
      <c r="N69" s="20">
        <f t="shared" si="7"/>
        <v>-1</v>
      </c>
      <c r="O69" s="12"/>
      <c r="P69" s="3">
        <v>0</v>
      </c>
      <c r="Q69" s="3"/>
      <c r="R69" s="20">
        <f t="shared" si="8"/>
        <v>0</v>
      </c>
      <c r="S69" s="3"/>
      <c r="T69" s="3">
        <v>139139.24</v>
      </c>
      <c r="U69" s="3"/>
      <c r="V69" s="20">
        <f t="shared" si="9"/>
        <v>6.8504147253585321E-2</v>
      </c>
      <c r="W69" s="3"/>
      <c r="X69" s="3">
        <f t="shared" si="10"/>
        <v>-139139.24</v>
      </c>
      <c r="Y69" s="3"/>
      <c r="Z69" s="20">
        <f t="shared" si="11"/>
        <v>-1</v>
      </c>
    </row>
    <row r="70" spans="1:26" s="69" customFormat="1" ht="15" hidden="1" customHeight="1" outlineLevel="1" x14ac:dyDescent="0.25">
      <c r="A70" s="42"/>
      <c r="B70" s="12" t="str">
        <f>CONCATENATE("          ","5200"," - ","PURCHASES OFFSET")</f>
        <v xml:space="preserve">          5200 - PURCHASES OFFSET</v>
      </c>
      <c r="C70" s="12"/>
      <c r="D70" s="3">
        <v>-254284.05</v>
      </c>
      <c r="E70" s="3"/>
      <c r="F70" s="20">
        <f t="shared" si="4"/>
        <v>-0.34343648734411863</v>
      </c>
      <c r="G70" s="3"/>
      <c r="H70" s="3">
        <v>-98978.36</v>
      </c>
      <c r="I70" s="3"/>
      <c r="J70" s="20">
        <f t="shared" si="5"/>
        <v>-0.25031314951812783</v>
      </c>
      <c r="K70" s="3"/>
      <c r="L70" s="3">
        <f t="shared" si="6"/>
        <v>-155305.69</v>
      </c>
      <c r="M70" s="3"/>
      <c r="N70" s="20">
        <f t="shared" si="7"/>
        <v>1.569087323734198</v>
      </c>
      <c r="O70" s="12"/>
      <c r="P70" s="3">
        <v>-2466012.88</v>
      </c>
      <c r="Q70" s="3"/>
      <c r="R70" s="20">
        <f t="shared" si="8"/>
        <v>-0.55519137652980666</v>
      </c>
      <c r="S70" s="3"/>
      <c r="T70" s="3">
        <v>-705437.34</v>
      </c>
      <c r="U70" s="3"/>
      <c r="V70" s="20">
        <f t="shared" si="9"/>
        <v>-0.34731671250710827</v>
      </c>
      <c r="W70" s="3"/>
      <c r="X70" s="3">
        <f t="shared" si="10"/>
        <v>-1760575.54</v>
      </c>
      <c r="Y70" s="3"/>
      <c r="Z70" s="20">
        <f t="shared" si="11"/>
        <v>2.4957220722112612</v>
      </c>
    </row>
    <row r="71" spans="1:26" s="69" customFormat="1" ht="15" hidden="1" customHeight="1" outlineLevel="1" x14ac:dyDescent="0.25">
      <c r="A71" s="42"/>
      <c r="B71" s="12" t="str">
        <f>CONCATENATE("          ","5300"," - ","COG$ OFFSET")</f>
        <v xml:space="preserve">          5300 - COG$ OFFSET</v>
      </c>
      <c r="C71" s="12"/>
      <c r="D71" s="3">
        <v>323901.81</v>
      </c>
      <c r="E71" s="3"/>
      <c r="F71" s="20">
        <f t="shared" si="4"/>
        <v>0.43746235704049119</v>
      </c>
      <c r="G71" s="3"/>
      <c r="H71" s="3">
        <v>175207</v>
      </c>
      <c r="I71" s="3"/>
      <c r="J71" s="20">
        <f t="shared" si="5"/>
        <v>0.44309297494545896</v>
      </c>
      <c r="K71" s="3"/>
      <c r="L71" s="3">
        <f t="shared" si="6"/>
        <v>148694.81</v>
      </c>
      <c r="M71" s="3"/>
      <c r="N71" s="20">
        <f t="shared" si="7"/>
        <v>0.84868076047189889</v>
      </c>
      <c r="O71" s="12"/>
      <c r="P71" s="3">
        <v>2064734.87</v>
      </c>
      <c r="Q71" s="3"/>
      <c r="R71" s="20">
        <f t="shared" si="8"/>
        <v>0.46484874590127506</v>
      </c>
      <c r="S71" s="3"/>
      <c r="T71" s="3">
        <v>1089606</v>
      </c>
      <c r="U71" s="3"/>
      <c r="V71" s="20">
        <f t="shared" si="9"/>
        <v>0.53645923229414005</v>
      </c>
      <c r="W71" s="3"/>
      <c r="X71" s="3">
        <f t="shared" si="10"/>
        <v>975128.87000000011</v>
      </c>
      <c r="Y71" s="3"/>
      <c r="Z71" s="20">
        <f t="shared" si="11"/>
        <v>0.89493713323898738</v>
      </c>
    </row>
    <row r="72" spans="1:26" s="69" customFormat="1" ht="15" hidden="1" customHeight="1" outlineLevel="1" x14ac:dyDescent="0.25">
      <c r="A72" s="42"/>
      <c r="B72" s="12" t="str">
        <f>CONCATENATE("          ","5500"," - ","FREIGHT-IN")</f>
        <v xml:space="preserve">          5500 - FREIGHT-IN</v>
      </c>
      <c r="C72" s="12"/>
      <c r="D72" s="3">
        <v>9827.19</v>
      </c>
      <c r="E72" s="3"/>
      <c r="F72" s="20">
        <f t="shared" si="4"/>
        <v>1.3272620182285319E-2</v>
      </c>
      <c r="G72" s="3"/>
      <c r="H72" s="3">
        <v>0</v>
      </c>
      <c r="I72" s="3"/>
      <c r="J72" s="20">
        <f t="shared" si="5"/>
        <v>0</v>
      </c>
      <c r="K72" s="3"/>
      <c r="L72" s="3">
        <f t="shared" si="6"/>
        <v>9827.19</v>
      </c>
      <c r="M72" s="3"/>
      <c r="N72" s="20">
        <f t="shared" si="7"/>
        <v>0</v>
      </c>
      <c r="O72" s="12"/>
      <c r="P72" s="3">
        <v>112578.78</v>
      </c>
      <c r="Q72" s="3"/>
      <c r="R72" s="20">
        <f t="shared" si="8"/>
        <v>2.5345677771255709E-2</v>
      </c>
      <c r="S72" s="3"/>
      <c r="T72" s="3">
        <v>0</v>
      </c>
      <c r="U72" s="3"/>
      <c r="V72" s="20">
        <f t="shared" si="9"/>
        <v>0</v>
      </c>
      <c r="W72" s="3"/>
      <c r="X72" s="3">
        <f t="shared" si="10"/>
        <v>112578.78</v>
      </c>
      <c r="Y72" s="3"/>
      <c r="Z72" s="20">
        <f t="shared" si="11"/>
        <v>0</v>
      </c>
    </row>
    <row r="73" spans="1:26" s="69" customFormat="1" ht="15" hidden="1" customHeight="1" outlineLevel="1" x14ac:dyDescent="0.25">
      <c r="A73" s="42"/>
      <c r="B73" s="12" t="str">
        <f>CONCATENATE("          ","5525"," - ","FREIGHT-IN-TEST FORMS")</f>
        <v xml:space="preserve">          5525 - FREIGHT-IN-TEST FORMS</v>
      </c>
      <c r="C73" s="12"/>
      <c r="D73" s="3"/>
      <c r="E73" s="3"/>
      <c r="F73" s="20">
        <f t="shared" si="4"/>
        <v>0</v>
      </c>
      <c r="G73" s="3"/>
      <c r="H73" s="3"/>
      <c r="I73" s="3"/>
      <c r="J73" s="20">
        <f t="shared" si="5"/>
        <v>0</v>
      </c>
      <c r="K73" s="3"/>
      <c r="L73" s="3">
        <f t="shared" si="6"/>
        <v>0</v>
      </c>
      <c r="M73" s="3"/>
      <c r="N73" s="20">
        <f t="shared" si="7"/>
        <v>0</v>
      </c>
      <c r="O73" s="12"/>
      <c r="P73" s="3"/>
      <c r="Q73" s="3"/>
      <c r="R73" s="20">
        <f t="shared" si="8"/>
        <v>0</v>
      </c>
      <c r="S73" s="3"/>
      <c r="T73" s="3">
        <v>48.14</v>
      </c>
      <c r="U73" s="3"/>
      <c r="V73" s="20">
        <f t="shared" si="9"/>
        <v>2.3701363100643627E-5</v>
      </c>
      <c r="W73" s="3"/>
      <c r="X73" s="3">
        <f t="shared" si="10"/>
        <v>-48.14</v>
      </c>
      <c r="Y73" s="3"/>
      <c r="Z73" s="20">
        <f t="shared" si="11"/>
        <v>-1</v>
      </c>
    </row>
    <row r="74" spans="1:26" s="69" customFormat="1" ht="15" hidden="1" customHeight="1" outlineLevel="1" x14ac:dyDescent="0.25">
      <c r="A74" s="42"/>
      <c r="B74" s="12" t="str">
        <f>CONCATENATE("          ","5526"," - ","FREIGHT-IN-WRITING INSTRUMENTS")</f>
        <v xml:space="preserve">          5526 - FREIGHT-IN-WRITING INSTRUMENTS</v>
      </c>
      <c r="C74" s="12"/>
      <c r="D74" s="3"/>
      <c r="E74" s="3"/>
      <c r="F74" s="20">
        <f t="shared" si="4"/>
        <v>0</v>
      </c>
      <c r="G74" s="3"/>
      <c r="H74" s="3"/>
      <c r="I74" s="3"/>
      <c r="J74" s="20">
        <f t="shared" si="5"/>
        <v>0</v>
      </c>
      <c r="K74" s="3"/>
      <c r="L74" s="3">
        <f t="shared" si="6"/>
        <v>0</v>
      </c>
      <c r="M74" s="3"/>
      <c r="N74" s="20">
        <f t="shared" si="7"/>
        <v>0</v>
      </c>
      <c r="O74" s="12"/>
      <c r="P74" s="3"/>
      <c r="Q74" s="3"/>
      <c r="R74" s="20">
        <f t="shared" si="8"/>
        <v>0</v>
      </c>
      <c r="S74" s="3"/>
      <c r="T74" s="3">
        <v>0</v>
      </c>
      <c r="U74" s="3"/>
      <c r="V74" s="20">
        <f t="shared" si="9"/>
        <v>0</v>
      </c>
      <c r="W74" s="3"/>
      <c r="X74" s="3">
        <f t="shared" si="10"/>
        <v>0</v>
      </c>
      <c r="Y74" s="3"/>
      <c r="Z74" s="20">
        <f t="shared" si="11"/>
        <v>0</v>
      </c>
    </row>
    <row r="75" spans="1:26" s="69" customFormat="1" ht="15" hidden="1" customHeight="1" outlineLevel="1" x14ac:dyDescent="0.25">
      <c r="A75" s="42"/>
      <c r="B75" s="12" t="str">
        <f>CONCATENATE("          ","5527"," - ","FREIGHT-IN-SCHOOL SUPPLIES")</f>
        <v xml:space="preserve">          5527 - FREIGHT-IN-SCHOOL SUPPLIES</v>
      </c>
      <c r="C75" s="12"/>
      <c r="D75" s="3"/>
      <c r="E75" s="3"/>
      <c r="F75" s="20">
        <f t="shared" si="4"/>
        <v>0</v>
      </c>
      <c r="G75" s="3"/>
      <c r="H75" s="3"/>
      <c r="I75" s="3"/>
      <c r="J75" s="20">
        <f t="shared" si="5"/>
        <v>0</v>
      </c>
      <c r="K75" s="3"/>
      <c r="L75" s="3">
        <f t="shared" si="6"/>
        <v>0</v>
      </c>
      <c r="M75" s="3"/>
      <c r="N75" s="20">
        <f t="shared" si="7"/>
        <v>0</v>
      </c>
      <c r="O75" s="12"/>
      <c r="P75" s="3">
        <v>0</v>
      </c>
      <c r="Q75" s="3"/>
      <c r="R75" s="20">
        <f t="shared" si="8"/>
        <v>0</v>
      </c>
      <c r="S75" s="3"/>
      <c r="T75" s="3">
        <v>218.62</v>
      </c>
      <c r="U75" s="3"/>
      <c r="V75" s="20">
        <f t="shared" si="9"/>
        <v>1.0763589532743477E-4</v>
      </c>
      <c r="W75" s="3"/>
      <c r="X75" s="3">
        <f t="shared" si="10"/>
        <v>-218.62</v>
      </c>
      <c r="Y75" s="3"/>
      <c r="Z75" s="20">
        <f t="shared" si="11"/>
        <v>-1</v>
      </c>
    </row>
    <row r="76" spans="1:26" s="69" customFormat="1" ht="15" hidden="1" customHeight="1" outlineLevel="1" x14ac:dyDescent="0.25">
      <c r="A76" s="42"/>
      <c r="B76" s="12" t="str">
        <f>CONCATENATE("          ","5528"," - ","FREIGHT-IN-ART/TECH")</f>
        <v xml:space="preserve">          5528 - FREIGHT-IN-ART/TECH</v>
      </c>
      <c r="C76" s="12"/>
      <c r="D76" s="3"/>
      <c r="E76" s="3"/>
      <c r="F76" s="20">
        <f t="shared" si="4"/>
        <v>0</v>
      </c>
      <c r="G76" s="3"/>
      <c r="H76" s="3"/>
      <c r="I76" s="3"/>
      <c r="J76" s="20">
        <f t="shared" si="5"/>
        <v>0</v>
      </c>
      <c r="K76" s="3"/>
      <c r="L76" s="3">
        <f t="shared" si="6"/>
        <v>0</v>
      </c>
      <c r="M76" s="3"/>
      <c r="N76" s="20">
        <f t="shared" si="7"/>
        <v>0</v>
      </c>
      <c r="O76" s="12"/>
      <c r="P76" s="3"/>
      <c r="Q76" s="3"/>
      <c r="R76" s="20">
        <f t="shared" si="8"/>
        <v>0</v>
      </c>
      <c r="S76" s="3"/>
      <c r="T76" s="3">
        <v>176.91</v>
      </c>
      <c r="U76" s="3"/>
      <c r="V76" s="20">
        <f t="shared" si="9"/>
        <v>8.7100293854068631E-5</v>
      </c>
      <c r="W76" s="3"/>
      <c r="X76" s="3">
        <f t="shared" si="10"/>
        <v>-176.91</v>
      </c>
      <c r="Y76" s="3"/>
      <c r="Z76" s="20">
        <f t="shared" si="11"/>
        <v>-1</v>
      </c>
    </row>
    <row r="77" spans="1:26" s="69" customFormat="1" ht="15" hidden="1" customHeight="1" outlineLevel="1" x14ac:dyDescent="0.25">
      <c r="A77" s="42"/>
      <c r="B77" s="12" t="str">
        <f>CONCATENATE("          ","5540"," - ","FREIGHT-IN-LOGO CLOTHING")</f>
        <v xml:space="preserve">          5540 - FREIGHT-IN-LOGO CLOTHING</v>
      </c>
      <c r="C77" s="12"/>
      <c r="D77" s="3"/>
      <c r="E77" s="3"/>
      <c r="F77" s="20">
        <f t="shared" si="4"/>
        <v>0</v>
      </c>
      <c r="G77" s="3"/>
      <c r="H77" s="3">
        <v>1283.68</v>
      </c>
      <c r="I77" s="3"/>
      <c r="J77" s="20">
        <f t="shared" si="5"/>
        <v>3.2463862178907623E-3</v>
      </c>
      <c r="K77" s="3"/>
      <c r="L77" s="3">
        <f t="shared" si="6"/>
        <v>-1283.68</v>
      </c>
      <c r="M77" s="3"/>
      <c r="N77" s="20">
        <f t="shared" si="7"/>
        <v>-1</v>
      </c>
      <c r="O77" s="12"/>
      <c r="P77" s="3">
        <v>0</v>
      </c>
      <c r="Q77" s="3"/>
      <c r="R77" s="20">
        <f t="shared" si="8"/>
        <v>0</v>
      </c>
      <c r="S77" s="3"/>
      <c r="T77" s="3">
        <v>10499.7</v>
      </c>
      <c r="U77" s="3"/>
      <c r="V77" s="20">
        <f t="shared" si="9"/>
        <v>5.169447489568507E-3</v>
      </c>
      <c r="W77" s="3"/>
      <c r="X77" s="3">
        <f t="shared" si="10"/>
        <v>-10499.7</v>
      </c>
      <c r="Y77" s="3"/>
      <c r="Z77" s="20">
        <f t="shared" si="11"/>
        <v>-1</v>
      </c>
    </row>
    <row r="78" spans="1:26" s="69" customFormat="1" ht="15" hidden="1" customHeight="1" outlineLevel="1" x14ac:dyDescent="0.25">
      <c r="A78" s="42"/>
      <c r="B78" s="12" t="str">
        <f>CONCATENATE("          ","5541"," - ","FREIGHT-IN-LOGO GIFTS")</f>
        <v xml:space="preserve">          5541 - FREIGHT-IN-LOGO GIFTS</v>
      </c>
      <c r="C78" s="12"/>
      <c r="D78" s="3"/>
      <c r="E78" s="3"/>
      <c r="F78" s="20">
        <f t="shared" si="4"/>
        <v>0</v>
      </c>
      <c r="G78" s="3"/>
      <c r="H78" s="3">
        <v>961.21</v>
      </c>
      <c r="I78" s="3"/>
      <c r="J78" s="20">
        <f t="shared" si="5"/>
        <v>2.4308697623229929E-3</v>
      </c>
      <c r="K78" s="3"/>
      <c r="L78" s="3">
        <f t="shared" si="6"/>
        <v>-961.21</v>
      </c>
      <c r="M78" s="3"/>
      <c r="N78" s="20">
        <f t="shared" si="7"/>
        <v>-1</v>
      </c>
      <c r="O78" s="12"/>
      <c r="P78" s="3">
        <v>0</v>
      </c>
      <c r="Q78" s="3"/>
      <c r="R78" s="20">
        <f t="shared" si="8"/>
        <v>0</v>
      </c>
      <c r="S78" s="3"/>
      <c r="T78" s="3">
        <v>5977.2</v>
      </c>
      <c r="U78" s="3"/>
      <c r="V78" s="20">
        <f t="shared" si="9"/>
        <v>2.9428289888900516E-3</v>
      </c>
      <c r="W78" s="3"/>
      <c r="X78" s="3">
        <f t="shared" si="10"/>
        <v>-5977.2</v>
      </c>
      <c r="Y78" s="3"/>
      <c r="Z78" s="20">
        <f t="shared" si="11"/>
        <v>-1</v>
      </c>
    </row>
    <row r="79" spans="1:26" s="69" customFormat="1" ht="15" hidden="1" customHeight="1" outlineLevel="1" x14ac:dyDescent="0.25">
      <c r="A79" s="42"/>
      <c r="B79" s="12" t="str">
        <f>CONCATENATE("          ","5542"," - ","FREIGHT-IN-EVERYDAY GIFTS")</f>
        <v xml:space="preserve">          5542 - FREIGHT-IN-EVERYDAY GIFTS</v>
      </c>
      <c r="C79" s="12"/>
      <c r="D79" s="3"/>
      <c r="E79" s="3"/>
      <c r="F79" s="20">
        <f t="shared" si="4"/>
        <v>0</v>
      </c>
      <c r="G79" s="3"/>
      <c r="H79" s="3"/>
      <c r="I79" s="3"/>
      <c r="J79" s="20">
        <f t="shared" si="5"/>
        <v>0</v>
      </c>
      <c r="K79" s="3"/>
      <c r="L79" s="3">
        <f t="shared" si="6"/>
        <v>0</v>
      </c>
      <c r="M79" s="3"/>
      <c r="N79" s="20">
        <f t="shared" si="7"/>
        <v>0</v>
      </c>
      <c r="O79" s="12"/>
      <c r="P79" s="3">
        <v>0</v>
      </c>
      <c r="Q79" s="3"/>
      <c r="R79" s="20">
        <f t="shared" si="8"/>
        <v>0</v>
      </c>
      <c r="S79" s="3"/>
      <c r="T79" s="3">
        <v>681.72</v>
      </c>
      <c r="U79" s="3"/>
      <c r="V79" s="20">
        <f t="shared" si="9"/>
        <v>3.3563966042731146E-4</v>
      </c>
      <c r="W79" s="3"/>
      <c r="X79" s="3">
        <f t="shared" si="10"/>
        <v>-681.72</v>
      </c>
      <c r="Y79" s="3"/>
      <c r="Z79" s="20">
        <f t="shared" si="11"/>
        <v>-1</v>
      </c>
    </row>
    <row r="80" spans="1:26" s="69" customFormat="1" ht="15" hidden="1" customHeight="1" outlineLevel="1" x14ac:dyDescent="0.25">
      <c r="A80" s="42"/>
      <c r="B80" s="12" t="str">
        <f>CONCATENATE("          ","5543"," - ","FREIGHT-IN-CARDS")</f>
        <v xml:space="preserve">          5543 - FREIGHT-IN-CARDS</v>
      </c>
      <c r="C80" s="12"/>
      <c r="D80" s="3"/>
      <c r="E80" s="3"/>
      <c r="F80" s="20">
        <f t="shared" si="4"/>
        <v>0</v>
      </c>
      <c r="G80" s="3"/>
      <c r="H80" s="3"/>
      <c r="I80" s="3"/>
      <c r="J80" s="20">
        <f t="shared" si="5"/>
        <v>0</v>
      </c>
      <c r="K80" s="3"/>
      <c r="L80" s="3">
        <f t="shared" si="6"/>
        <v>0</v>
      </c>
      <c r="M80" s="3"/>
      <c r="N80" s="20">
        <f t="shared" si="7"/>
        <v>0</v>
      </c>
      <c r="O80" s="12"/>
      <c r="P80" s="3"/>
      <c r="Q80" s="3"/>
      <c r="R80" s="20">
        <f t="shared" si="8"/>
        <v>0</v>
      </c>
      <c r="S80" s="3"/>
      <c r="T80" s="3">
        <v>9110.5300000000007</v>
      </c>
      <c r="U80" s="3"/>
      <c r="V80" s="20">
        <f t="shared" si="9"/>
        <v>4.4855001987807808E-3</v>
      </c>
      <c r="W80" s="3"/>
      <c r="X80" s="3">
        <f t="shared" si="10"/>
        <v>-9110.5300000000007</v>
      </c>
      <c r="Y80" s="3"/>
      <c r="Z80" s="20">
        <f t="shared" si="11"/>
        <v>-1</v>
      </c>
    </row>
    <row r="81" spans="1:26" s="69" customFormat="1" ht="15" hidden="1" customHeight="1" outlineLevel="1" x14ac:dyDescent="0.25">
      <c r="A81" s="42"/>
      <c r="B81" s="12" t="str">
        <f>CONCATENATE("          ","5544"," - ","FREIGHT-IN-ACCESSORIES")</f>
        <v xml:space="preserve">          5544 - FREIGHT-IN-ACCESSORIES</v>
      </c>
      <c r="C81" s="12"/>
      <c r="D81" s="3"/>
      <c r="E81" s="3"/>
      <c r="F81" s="20">
        <f t="shared" si="4"/>
        <v>0</v>
      </c>
      <c r="G81" s="3"/>
      <c r="H81" s="3"/>
      <c r="I81" s="3"/>
      <c r="J81" s="20">
        <f t="shared" si="5"/>
        <v>0</v>
      </c>
      <c r="K81" s="3"/>
      <c r="L81" s="3">
        <f t="shared" si="6"/>
        <v>0</v>
      </c>
      <c r="M81" s="3"/>
      <c r="N81" s="20">
        <f t="shared" si="7"/>
        <v>0</v>
      </c>
      <c r="O81" s="12"/>
      <c r="P81" s="3">
        <v>0</v>
      </c>
      <c r="Q81" s="3"/>
      <c r="R81" s="20">
        <f t="shared" si="8"/>
        <v>0</v>
      </c>
      <c r="S81" s="3"/>
      <c r="T81" s="3"/>
      <c r="U81" s="3"/>
      <c r="V81" s="20">
        <f t="shared" si="9"/>
        <v>0</v>
      </c>
      <c r="W81" s="3"/>
      <c r="X81" s="3">
        <f t="shared" si="10"/>
        <v>0</v>
      </c>
      <c r="Y81" s="3"/>
      <c r="Z81" s="20">
        <f t="shared" si="11"/>
        <v>0</v>
      </c>
    </row>
    <row r="82" spans="1:26" s="69" customFormat="1" ht="15" hidden="1" customHeight="1" outlineLevel="1" x14ac:dyDescent="0.25">
      <c r="A82" s="42"/>
      <c r="B82" s="12" t="str">
        <f>CONCATENATE("          ","5545"," - ","FREIGHT-IN-SPECIAL ORDERS")</f>
        <v xml:space="preserve">          5545 - FREIGHT-IN-SPECIAL ORDERS</v>
      </c>
      <c r="C82" s="12"/>
      <c r="D82" s="3"/>
      <c r="E82" s="3"/>
      <c r="F82" s="20">
        <f t="shared" si="4"/>
        <v>0</v>
      </c>
      <c r="G82" s="3"/>
      <c r="H82" s="3">
        <v>1033.9000000000001</v>
      </c>
      <c r="I82" s="3"/>
      <c r="J82" s="20">
        <f t="shared" si="5"/>
        <v>2.614700478839944E-3</v>
      </c>
      <c r="K82" s="3"/>
      <c r="L82" s="3">
        <f t="shared" si="6"/>
        <v>-1033.9000000000001</v>
      </c>
      <c r="M82" s="3"/>
      <c r="N82" s="20">
        <f t="shared" si="7"/>
        <v>-1</v>
      </c>
      <c r="O82" s="12"/>
      <c r="P82" s="3">
        <v>0</v>
      </c>
      <c r="Q82" s="3"/>
      <c r="R82" s="20">
        <f t="shared" si="8"/>
        <v>0</v>
      </c>
      <c r="S82" s="3"/>
      <c r="T82" s="3">
        <v>2468.66</v>
      </c>
      <c r="U82" s="3"/>
      <c r="V82" s="20">
        <f t="shared" si="9"/>
        <v>1.2154259873708951E-3</v>
      </c>
      <c r="W82" s="3"/>
      <c r="X82" s="3">
        <f t="shared" si="10"/>
        <v>-2468.66</v>
      </c>
      <c r="Y82" s="3"/>
      <c r="Z82" s="20">
        <f t="shared" si="11"/>
        <v>-1</v>
      </c>
    </row>
    <row r="83" spans="1:26" ht="15" customHeight="1" x14ac:dyDescent="0.25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25">
      <c r="A84" s="11"/>
      <c r="B84" s="27" t="s">
        <v>288</v>
      </c>
      <c r="C84" s="27"/>
      <c r="D84" s="22">
        <f>D12-D57</f>
        <v>416508.88999999996</v>
      </c>
      <c r="E84" s="15"/>
      <c r="F84" s="23">
        <f>IF(D$12=0,0,D84/D$12)</f>
        <v>0.56253764295950881</v>
      </c>
      <c r="G84" s="15"/>
      <c r="H84" s="22">
        <f>H12-H57</f>
        <v>220211.14</v>
      </c>
      <c r="I84" s="15"/>
      <c r="J84" s="23">
        <f>IF(H$12=0,0,H84/H$12)</f>
        <v>0.55690702505454104</v>
      </c>
      <c r="K84" s="16"/>
      <c r="L84" s="22">
        <f>+D84-H84</f>
        <v>196297.74999999994</v>
      </c>
      <c r="M84" s="16"/>
      <c r="N84" s="23">
        <f>IF(H84=0,0,L84/H84)</f>
        <v>0.89140699239829524</v>
      </c>
      <c r="O84" s="28"/>
      <c r="P84" s="22">
        <f>P12-P57</f>
        <v>2379999.9699999988</v>
      </c>
      <c r="Q84" s="15"/>
      <c r="R84" s="23">
        <f>IF(P$12=0,0,P84/P$12)</f>
        <v>0.53582666587094141</v>
      </c>
      <c r="S84" s="15"/>
      <c r="T84" s="22">
        <f>T12-T57</f>
        <v>940584.27000000072</v>
      </c>
      <c r="U84" s="15"/>
      <c r="V84" s="23">
        <f>IF(T$12=0,0,T84/T$12)</f>
        <v>0.46308951620323724</v>
      </c>
      <c r="W84" s="16"/>
      <c r="X84" s="22">
        <f>+P84-T84</f>
        <v>1439415.6999999981</v>
      </c>
      <c r="Y84" s="16"/>
      <c r="Z84" s="23">
        <f>IF(T84=0,0,X84/T84)</f>
        <v>1.5303420925803883</v>
      </c>
    </row>
    <row r="85" spans="1:26" ht="15" customHeight="1" x14ac:dyDescent="0.25">
      <c r="A85" s="10"/>
      <c r="B85" s="11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3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62" customFormat="1" ht="15" customHeight="1" x14ac:dyDescent="0.25">
      <c r="A86" s="11"/>
      <c r="B86" s="28" t="s">
        <v>289</v>
      </c>
      <c r="C86" s="11"/>
      <c r="D86" s="21" cm="1">
        <f t="array" ref="D86">SUM(OSRRefD22x_0)</f>
        <v>90715.440000000017</v>
      </c>
      <c r="E86" s="21"/>
      <c r="F86" s="31">
        <f t="shared" ref="F86:F117" si="12">IF(D$12=0,0,D86/D$12)</f>
        <v>0.12252043359178902</v>
      </c>
      <c r="G86" s="21"/>
      <c r="H86" s="21" cm="1">
        <f t="array" ref="H86">SUM(OSRRefH22x_0)</f>
        <v>45740.41</v>
      </c>
      <c r="I86" s="21"/>
      <c r="J86" s="31">
        <f t="shared" ref="J86:J117" si="13">IF(H$12=0,0,H86/H$12)</f>
        <v>0.11567605370861338</v>
      </c>
      <c r="K86" s="5"/>
      <c r="L86" s="21">
        <f t="shared" ref="L86:L117" si="14">+D86-H86</f>
        <v>44975.030000000013</v>
      </c>
      <c r="M86" s="5"/>
      <c r="N86" s="31">
        <f t="shared" ref="N86:N117" si="15">IF(H86=0,0,L86/H86)</f>
        <v>0.98326687495805154</v>
      </c>
      <c r="O86" s="11"/>
      <c r="P86" s="21" cm="1">
        <f t="array" ref="P86">SUM(OSRRefP22x_0)</f>
        <v>953911.35000000021</v>
      </c>
      <c r="Q86" s="21"/>
      <c r="R86" s="31">
        <f t="shared" ref="R86:R117" si="16">IF(P$12=0,0,P86/P$12)</f>
        <v>0.21476098514696579</v>
      </c>
      <c r="S86" s="21"/>
      <c r="T86" s="21" cm="1">
        <f t="array" ref="T86">SUM(OSRRefT22x_0)</f>
        <v>518177.35999999987</v>
      </c>
      <c r="U86" s="21"/>
      <c r="V86" s="31">
        <f t="shared" ref="V86:V117" si="17">IF(T$12=0,0,T86/T$12)</f>
        <v>0.25512068466748911</v>
      </c>
      <c r="W86" s="5"/>
      <c r="X86" s="21">
        <f t="shared" ref="X86:X117" si="18">+P86-T86</f>
        <v>435733.99000000034</v>
      </c>
      <c r="Y86" s="5"/>
      <c r="Z86" s="31">
        <f t="shared" ref="Z86:Z117" si="19">IF(T86=0,0,X86/T86)</f>
        <v>0.84089739080842985</v>
      </c>
    </row>
    <row r="87" spans="1:26" s="68" customFormat="1" ht="15" customHeight="1" outlineLevel="1" collapsed="1" x14ac:dyDescent="0.25">
      <c r="A87" s="26"/>
      <c r="B87" s="14" t="str">
        <f>CONCATENATE("     ","*Benefits                                         ")</f>
        <v xml:space="preserve">     *Benefits                                         </v>
      </c>
      <c r="C87" s="14"/>
      <c r="D87" s="2">
        <f>SUM(OSRRefD22_0x_0)</f>
        <v>12133.95</v>
      </c>
      <c r="E87" s="2"/>
      <c r="F87" s="6">
        <f t="shared" si="12"/>
        <v>1.6388134315184804E-2</v>
      </c>
      <c r="G87" s="2"/>
      <c r="H87" s="2">
        <f>SUM(OSRRefH22_0x_0)</f>
        <v>10208.519999999999</v>
      </c>
      <c r="I87" s="2"/>
      <c r="J87" s="6">
        <f t="shared" si="13"/>
        <v>2.581702498524726E-2</v>
      </c>
      <c r="K87" s="2"/>
      <c r="L87" s="2">
        <f t="shared" si="14"/>
        <v>1925.4300000000021</v>
      </c>
      <c r="M87" s="2"/>
      <c r="N87" s="6">
        <f t="shared" si="15"/>
        <v>0.18861010214996909</v>
      </c>
      <c r="O87" s="14"/>
      <c r="P87" s="2">
        <f>SUM(OSRRefP22_0x_0)</f>
        <v>145399.01999999999</v>
      </c>
      <c r="Q87" s="2"/>
      <c r="R87" s="6">
        <f t="shared" si="16"/>
        <v>3.2734736592245572E-2</v>
      </c>
      <c r="S87" s="2"/>
      <c r="T87" s="2">
        <f>SUM(OSRRefT22_0x_0)</f>
        <v>112407.53</v>
      </c>
      <c r="U87" s="2"/>
      <c r="V87" s="6">
        <f t="shared" si="17"/>
        <v>5.5342993015714409E-2</v>
      </c>
      <c r="W87" s="2"/>
      <c r="X87" s="2">
        <f t="shared" si="18"/>
        <v>32991.489999999991</v>
      </c>
      <c r="Y87" s="2"/>
      <c r="Z87" s="6">
        <f t="shared" si="19"/>
        <v>0.29349893196656834</v>
      </c>
    </row>
    <row r="88" spans="1:26" s="69" customFormat="1" ht="15" hidden="1" customHeight="1" outlineLevel="2" x14ac:dyDescent="0.25">
      <c r="A88" s="25"/>
      <c r="B88" s="12" t="str">
        <f>CONCATENATE("          ","6111"," - ","F.I.C.A.")</f>
        <v xml:space="preserve">          6111 - F.I.C.A.</v>
      </c>
      <c r="C88" s="12"/>
      <c r="D88" s="7">
        <v>3273.32</v>
      </c>
      <c r="E88" s="3"/>
      <c r="F88" s="8">
        <f t="shared" si="12"/>
        <v>4.4209517771690767E-3</v>
      </c>
      <c r="G88" s="3"/>
      <c r="H88" s="7">
        <v>2184.59</v>
      </c>
      <c r="I88" s="3"/>
      <c r="J88" s="8">
        <f t="shared" si="13"/>
        <v>5.5247591827729502E-3</v>
      </c>
      <c r="K88" s="3"/>
      <c r="L88" s="7">
        <f t="shared" si="14"/>
        <v>1088.73</v>
      </c>
      <c r="M88" s="3"/>
      <c r="N88" s="8">
        <f t="shared" si="15"/>
        <v>0.49836811484077104</v>
      </c>
      <c r="O88" s="12"/>
      <c r="P88" s="7">
        <v>27690.78</v>
      </c>
      <c r="Q88" s="3"/>
      <c r="R88" s="8">
        <f t="shared" si="16"/>
        <v>6.2342262646187148E-3</v>
      </c>
      <c r="S88" s="3"/>
      <c r="T88" s="7">
        <v>25191.1</v>
      </c>
      <c r="U88" s="3"/>
      <c r="V88" s="8">
        <f t="shared" si="17"/>
        <v>1.2402646614138422E-2</v>
      </c>
      <c r="W88" s="3"/>
      <c r="X88" s="7">
        <f t="shared" si="18"/>
        <v>2499.6800000000003</v>
      </c>
      <c r="Y88" s="3"/>
      <c r="Z88" s="8">
        <f t="shared" si="19"/>
        <v>9.9228695848930792E-2</v>
      </c>
    </row>
    <row r="89" spans="1:26" s="69" customFormat="1" ht="15" hidden="1" customHeight="1" outlineLevel="2" x14ac:dyDescent="0.25">
      <c r="A89" s="25"/>
      <c r="B89" s="12" t="str">
        <f>CONCATENATE("          ","6112"," - ","COMPENSATION INSURANCE")</f>
        <v xml:space="preserve">          6112 - COMPENSATION INSURANCE</v>
      </c>
      <c r="C89" s="12"/>
      <c r="D89" s="7">
        <v>1399.78</v>
      </c>
      <c r="E89" s="3"/>
      <c r="F89" s="8">
        <f t="shared" si="12"/>
        <v>1.8905453419298236E-3</v>
      </c>
      <c r="G89" s="3"/>
      <c r="H89" s="7">
        <v>950.2</v>
      </c>
      <c r="I89" s="3"/>
      <c r="J89" s="8">
        <f t="shared" si="13"/>
        <v>2.4030258197056918E-3</v>
      </c>
      <c r="K89" s="3"/>
      <c r="L89" s="7">
        <f t="shared" si="14"/>
        <v>449.57999999999993</v>
      </c>
      <c r="M89" s="3"/>
      <c r="N89" s="8">
        <f t="shared" si="15"/>
        <v>0.47314249631656485</v>
      </c>
      <c r="O89" s="12"/>
      <c r="P89" s="7">
        <v>10347.94</v>
      </c>
      <c r="Q89" s="3"/>
      <c r="R89" s="8">
        <f t="shared" si="16"/>
        <v>2.3297068313965366E-3</v>
      </c>
      <c r="S89" s="3"/>
      <c r="T89" s="7">
        <v>8683.58</v>
      </c>
      <c r="U89" s="3"/>
      <c r="V89" s="8">
        <f t="shared" si="17"/>
        <v>4.2752946114143538E-3</v>
      </c>
      <c r="W89" s="3"/>
      <c r="X89" s="7">
        <f t="shared" si="18"/>
        <v>1664.3600000000006</v>
      </c>
      <c r="Y89" s="3"/>
      <c r="Z89" s="8">
        <f t="shared" si="19"/>
        <v>0.19166749197911467</v>
      </c>
    </row>
    <row r="90" spans="1:26" s="69" customFormat="1" ht="15" hidden="1" customHeight="1" outlineLevel="2" x14ac:dyDescent="0.25">
      <c r="A90" s="25"/>
      <c r="B90" s="12" t="str">
        <f>CONCATENATE("          ","6113"," - ","GROUP INSURANCE")</f>
        <v xml:space="preserve">          6113 - GROUP INSURANCE</v>
      </c>
      <c r="C90" s="12"/>
      <c r="D90" s="7">
        <v>3347.46</v>
      </c>
      <c r="E90" s="3"/>
      <c r="F90" s="8">
        <f t="shared" si="12"/>
        <v>4.5210853922019231E-3</v>
      </c>
      <c r="G90" s="3"/>
      <c r="H90" s="7">
        <v>2823.95</v>
      </c>
      <c r="I90" s="3"/>
      <c r="J90" s="8">
        <f t="shared" si="13"/>
        <v>7.141680449966205E-3</v>
      </c>
      <c r="K90" s="3"/>
      <c r="L90" s="7">
        <f t="shared" si="14"/>
        <v>523.51000000000022</v>
      </c>
      <c r="M90" s="3"/>
      <c r="N90" s="8">
        <f t="shared" si="15"/>
        <v>0.18538217744648464</v>
      </c>
      <c r="O90" s="12"/>
      <c r="P90" s="7">
        <v>44218.3</v>
      </c>
      <c r="Q90" s="3"/>
      <c r="R90" s="8">
        <f t="shared" si="16"/>
        <v>9.9551867891330519E-3</v>
      </c>
      <c r="S90" s="3"/>
      <c r="T90" s="7">
        <v>31948.799999999999</v>
      </c>
      <c r="U90" s="3"/>
      <c r="V90" s="8">
        <f t="shared" si="17"/>
        <v>1.5729748845655239E-2</v>
      </c>
      <c r="W90" s="3"/>
      <c r="X90" s="7">
        <f t="shared" si="18"/>
        <v>12269.500000000004</v>
      </c>
      <c r="Y90" s="3"/>
      <c r="Z90" s="8">
        <f t="shared" si="19"/>
        <v>0.38403633313301294</v>
      </c>
    </row>
    <row r="91" spans="1:26" s="69" customFormat="1" ht="15" hidden="1" customHeight="1" outlineLevel="2" x14ac:dyDescent="0.25">
      <c r="A91" s="25"/>
      <c r="B91" s="12" t="str">
        <f>CONCATENATE("          ","6114"," - ","STATE UNEMPLOYMENT INSURANCE")</f>
        <v xml:space="preserve">          6114 - STATE UNEMPLOYMENT INSURANCE</v>
      </c>
      <c r="C91" s="12"/>
      <c r="D91" s="7">
        <v>245.91</v>
      </c>
      <c r="E91" s="3"/>
      <c r="F91" s="8">
        <f t="shared" si="12"/>
        <v>3.3212648061407E-4</v>
      </c>
      <c r="G91" s="3"/>
      <c r="H91" s="7">
        <v>133.54</v>
      </c>
      <c r="I91" s="3"/>
      <c r="J91" s="8">
        <f t="shared" si="13"/>
        <v>3.37718446604397E-4</v>
      </c>
      <c r="K91" s="3"/>
      <c r="L91" s="7">
        <f t="shared" si="14"/>
        <v>112.37</v>
      </c>
      <c r="M91" s="3"/>
      <c r="N91" s="8">
        <f t="shared" si="15"/>
        <v>0.84147072038340576</v>
      </c>
      <c r="O91" s="12"/>
      <c r="P91" s="7">
        <v>1819.04</v>
      </c>
      <c r="Q91" s="3"/>
      <c r="R91" s="8">
        <f t="shared" si="16"/>
        <v>4.0953367671087734E-4</v>
      </c>
      <c r="S91" s="3"/>
      <c r="T91" s="7">
        <v>1046.6199999999999</v>
      </c>
      <c r="U91" s="3"/>
      <c r="V91" s="8">
        <f t="shared" si="17"/>
        <v>5.1529540191931102E-4</v>
      </c>
      <c r="W91" s="3"/>
      <c r="X91" s="7">
        <f t="shared" si="18"/>
        <v>772.42000000000007</v>
      </c>
      <c r="Y91" s="3"/>
      <c r="Z91" s="8">
        <f t="shared" si="19"/>
        <v>0.73801379679348778</v>
      </c>
    </row>
    <row r="92" spans="1:26" s="69" customFormat="1" ht="15" hidden="1" customHeight="1" outlineLevel="2" x14ac:dyDescent="0.25">
      <c r="A92" s="25"/>
      <c r="B92" s="12" t="str">
        <f>CONCATENATE("          ","6115"," - ","P.E.R.S.")</f>
        <v xml:space="preserve">          6115 - P.E.R.S.</v>
      </c>
      <c r="C92" s="12"/>
      <c r="D92" s="7">
        <v>988.89</v>
      </c>
      <c r="E92" s="3"/>
      <c r="F92" s="8">
        <f t="shared" si="12"/>
        <v>1.335596581734975E-3</v>
      </c>
      <c r="G92" s="3"/>
      <c r="H92" s="7">
        <v>1554.7</v>
      </c>
      <c r="I92" s="3"/>
      <c r="J92" s="8">
        <f t="shared" si="13"/>
        <v>3.931787246786402E-3</v>
      </c>
      <c r="K92" s="3"/>
      <c r="L92" s="7">
        <f t="shared" si="14"/>
        <v>-565.81000000000006</v>
      </c>
      <c r="M92" s="3"/>
      <c r="N92" s="8">
        <f t="shared" si="15"/>
        <v>-0.36393516434038725</v>
      </c>
      <c r="O92" s="12"/>
      <c r="P92" s="7">
        <v>16145.61</v>
      </c>
      <c r="Q92" s="3"/>
      <c r="R92" s="8">
        <f t="shared" si="16"/>
        <v>3.6349783545386073E-3</v>
      </c>
      <c r="S92" s="3"/>
      <c r="T92" s="7">
        <v>17704.490000000002</v>
      </c>
      <c r="U92" s="3"/>
      <c r="V92" s="8">
        <f t="shared" si="17"/>
        <v>8.716671084372957E-3</v>
      </c>
      <c r="W92" s="3"/>
      <c r="X92" s="7">
        <f t="shared" si="18"/>
        <v>-1558.880000000001</v>
      </c>
      <c r="Y92" s="3"/>
      <c r="Z92" s="8">
        <f t="shared" si="19"/>
        <v>-8.8049980541659259E-2</v>
      </c>
    </row>
    <row r="93" spans="1:26" s="69" customFormat="1" ht="15" hidden="1" customHeight="1" outlineLevel="2" x14ac:dyDescent="0.25">
      <c r="A93" s="25"/>
      <c r="B93" s="12" t="str">
        <f>CONCATENATE("          ","6118"," - ","VACATION")</f>
        <v xml:space="preserve">          6118 - VACATION</v>
      </c>
      <c r="C93" s="12"/>
      <c r="D93" s="7">
        <v>1172.3900000000001</v>
      </c>
      <c r="E93" s="3"/>
      <c r="F93" s="8">
        <f t="shared" si="12"/>
        <v>1.5834320060474547E-3</v>
      </c>
      <c r="G93" s="3"/>
      <c r="H93" s="7">
        <v>1290.6199999999999</v>
      </c>
      <c r="I93" s="3"/>
      <c r="J93" s="8">
        <f t="shared" si="13"/>
        <v>3.263937258922921E-3</v>
      </c>
      <c r="K93" s="3"/>
      <c r="L93" s="7">
        <f t="shared" si="14"/>
        <v>-118.22999999999979</v>
      </c>
      <c r="M93" s="3"/>
      <c r="N93" s="8">
        <f t="shared" si="15"/>
        <v>-9.1607134555484804E-2</v>
      </c>
      <c r="O93" s="12"/>
      <c r="P93" s="7">
        <v>20076.55</v>
      </c>
      <c r="Q93" s="3"/>
      <c r="R93" s="8">
        <f t="shared" si="16"/>
        <v>4.5199794051641326E-3</v>
      </c>
      <c r="S93" s="3"/>
      <c r="T93" s="7">
        <v>14219.52</v>
      </c>
      <c r="U93" s="3"/>
      <c r="V93" s="8">
        <f t="shared" si="17"/>
        <v>7.000872593204489E-3</v>
      </c>
      <c r="W93" s="3"/>
      <c r="X93" s="7">
        <f t="shared" si="18"/>
        <v>5857.0299999999988</v>
      </c>
      <c r="Y93" s="3"/>
      <c r="Z93" s="8">
        <f t="shared" si="19"/>
        <v>0.41190068300477078</v>
      </c>
    </row>
    <row r="94" spans="1:26" s="69" customFormat="1" ht="15" hidden="1" customHeight="1" outlineLevel="2" x14ac:dyDescent="0.25">
      <c r="A94" s="25"/>
      <c r="B94" s="12" t="str">
        <f>CONCATENATE("          ","6119"," - ","SICK LEAVE")</f>
        <v xml:space="preserve">          6119 - SICK LEAVE</v>
      </c>
      <c r="C94" s="12"/>
      <c r="D94" s="7">
        <v>1084.74</v>
      </c>
      <c r="E94" s="3"/>
      <c r="F94" s="8">
        <f t="shared" si="12"/>
        <v>1.4650517611374337E-3</v>
      </c>
      <c r="G94" s="3"/>
      <c r="H94" s="7">
        <v>889.54</v>
      </c>
      <c r="I94" s="3"/>
      <c r="J94" s="8">
        <f t="shared" si="13"/>
        <v>2.2496185936234487E-3</v>
      </c>
      <c r="K94" s="3"/>
      <c r="L94" s="7">
        <f t="shared" si="14"/>
        <v>195.20000000000005</v>
      </c>
      <c r="M94" s="3"/>
      <c r="N94" s="8">
        <f t="shared" si="15"/>
        <v>0.21943926074150691</v>
      </c>
      <c r="O94" s="12"/>
      <c r="P94" s="7">
        <v>17796.21</v>
      </c>
      <c r="Q94" s="3"/>
      <c r="R94" s="8">
        <f t="shared" si="16"/>
        <v>4.006589911612104E-3</v>
      </c>
      <c r="S94" s="3"/>
      <c r="T94" s="7">
        <v>10016.74</v>
      </c>
      <c r="U94" s="3"/>
      <c r="V94" s="8">
        <f t="shared" si="17"/>
        <v>4.9316658044192161E-3</v>
      </c>
      <c r="W94" s="3"/>
      <c r="X94" s="7">
        <f t="shared" si="18"/>
        <v>7779.4699999999993</v>
      </c>
      <c r="Y94" s="3"/>
      <c r="Z94" s="8">
        <f t="shared" si="19"/>
        <v>0.77664689310094892</v>
      </c>
    </row>
    <row r="95" spans="1:26" s="69" customFormat="1" ht="15" hidden="1" customHeight="1" outlineLevel="2" x14ac:dyDescent="0.25">
      <c r="A95" s="25"/>
      <c r="B95" s="12" t="str">
        <f>CONCATENATE("          ","6156"," - ","EMPLOYEE MEALS")</f>
        <v xml:space="preserve">          6156 - EMPLOYEE MEALS</v>
      </c>
      <c r="C95" s="12"/>
      <c r="D95" s="7">
        <v>621.46</v>
      </c>
      <c r="E95" s="3"/>
      <c r="F95" s="8">
        <f t="shared" si="12"/>
        <v>8.3934497435004661E-4</v>
      </c>
      <c r="G95" s="3"/>
      <c r="H95" s="7">
        <v>381.38</v>
      </c>
      <c r="I95" s="3"/>
      <c r="J95" s="8">
        <f t="shared" si="13"/>
        <v>9.6449798686524591E-4</v>
      </c>
      <c r="K95" s="3"/>
      <c r="L95" s="7">
        <f t="shared" si="14"/>
        <v>240.08000000000004</v>
      </c>
      <c r="M95" s="3"/>
      <c r="N95" s="8">
        <f t="shared" si="15"/>
        <v>0.62950338245319637</v>
      </c>
      <c r="O95" s="12"/>
      <c r="P95" s="7">
        <v>7304.59</v>
      </c>
      <c r="Q95" s="3"/>
      <c r="R95" s="8">
        <f t="shared" si="16"/>
        <v>1.6445353590715474E-3</v>
      </c>
      <c r="S95" s="3"/>
      <c r="T95" s="7">
        <v>3596.68</v>
      </c>
      <c r="U95" s="3"/>
      <c r="V95" s="8">
        <f t="shared" si="17"/>
        <v>1.7707980605904221E-3</v>
      </c>
      <c r="W95" s="3"/>
      <c r="X95" s="7">
        <f t="shared" si="18"/>
        <v>3707.9100000000003</v>
      </c>
      <c r="Y95" s="3"/>
      <c r="Z95" s="8">
        <f t="shared" si="19"/>
        <v>1.0309257426293139</v>
      </c>
    </row>
    <row r="96" spans="1:26" s="68" customFormat="1" ht="15" customHeight="1" outlineLevel="1" collapsed="1" x14ac:dyDescent="0.25">
      <c r="A96" s="26"/>
      <c r="B96" s="14" t="str">
        <f>CONCATENATE("     ","*Payroll                                          ")</f>
        <v xml:space="preserve">     *Payroll                                          </v>
      </c>
      <c r="C96" s="14"/>
      <c r="D96" s="2">
        <f>SUM(OSRRefD22_1x_0)</f>
        <v>68178.850000000006</v>
      </c>
      <c r="E96" s="2"/>
      <c r="F96" s="6">
        <f t="shared" si="12"/>
        <v>9.2082475307285555E-2</v>
      </c>
      <c r="G96" s="2"/>
      <c r="H96" s="2">
        <f>SUM(OSRRefH22_1x_0)</f>
        <v>34031.370000000003</v>
      </c>
      <c r="I96" s="2"/>
      <c r="J96" s="6">
        <f t="shared" si="13"/>
        <v>8.6064260987116073E-2</v>
      </c>
      <c r="K96" s="2"/>
      <c r="L96" s="2">
        <f t="shared" si="14"/>
        <v>34147.480000000003</v>
      </c>
      <c r="M96" s="2"/>
      <c r="N96" s="6">
        <f t="shared" si="15"/>
        <v>1.0034118520647273</v>
      </c>
      <c r="O96" s="14"/>
      <c r="P96" s="2">
        <f>SUM(OSRRefP22_1x_0)</f>
        <v>668597.35</v>
      </c>
      <c r="Q96" s="2"/>
      <c r="R96" s="6">
        <f t="shared" si="16"/>
        <v>0.15052617368757656</v>
      </c>
      <c r="S96" s="2"/>
      <c r="T96" s="2">
        <f>SUM(OSRRefT22_1x_0)</f>
        <v>339782.73999999993</v>
      </c>
      <c r="U96" s="2"/>
      <c r="V96" s="6">
        <f t="shared" si="17"/>
        <v>0.16728944944062288</v>
      </c>
      <c r="W96" s="2"/>
      <c r="X96" s="2">
        <f t="shared" si="18"/>
        <v>328814.61000000004</v>
      </c>
      <c r="Y96" s="2"/>
      <c r="Z96" s="6">
        <f t="shared" si="19"/>
        <v>0.96772016730455501</v>
      </c>
    </row>
    <row r="97" spans="1:26" s="69" customFormat="1" ht="15" hidden="1" customHeight="1" outlineLevel="2" x14ac:dyDescent="0.25">
      <c r="A97" s="25"/>
      <c r="B97" s="12" t="str">
        <f>CONCATENATE("          ","6002"," - ","STAFF SALARIES")</f>
        <v xml:space="preserve">          6002 - STAFF SALARIES</v>
      </c>
      <c r="C97" s="12"/>
      <c r="D97" s="7">
        <v>9083.6</v>
      </c>
      <c r="E97" s="3"/>
      <c r="F97" s="8">
        <f t="shared" si="12"/>
        <v>1.2268326214086318E-2</v>
      </c>
      <c r="G97" s="3"/>
      <c r="H97" s="7">
        <v>16224.09</v>
      </c>
      <c r="I97" s="3"/>
      <c r="J97" s="8">
        <f t="shared" si="13"/>
        <v>4.1030211714616835E-2</v>
      </c>
      <c r="K97" s="3"/>
      <c r="L97" s="7">
        <f t="shared" si="14"/>
        <v>-7140.49</v>
      </c>
      <c r="M97" s="3"/>
      <c r="N97" s="8">
        <f t="shared" si="15"/>
        <v>-0.44011651809130742</v>
      </c>
      <c r="O97" s="12"/>
      <c r="P97" s="7">
        <v>153820.47</v>
      </c>
      <c r="Q97" s="3"/>
      <c r="R97" s="8">
        <f t="shared" si="16"/>
        <v>3.4630718748623016E-2</v>
      </c>
      <c r="S97" s="3"/>
      <c r="T97" s="7">
        <v>155346.57999999999</v>
      </c>
      <c r="U97" s="3"/>
      <c r="V97" s="8">
        <f t="shared" si="17"/>
        <v>7.6483707914897864E-2</v>
      </c>
      <c r="W97" s="3"/>
      <c r="X97" s="7">
        <f t="shared" si="18"/>
        <v>-1526.109999999986</v>
      </c>
      <c r="Y97" s="3"/>
      <c r="Z97" s="8">
        <f t="shared" si="19"/>
        <v>-9.8239047167950917E-3</v>
      </c>
    </row>
    <row r="98" spans="1:26" s="69" customFormat="1" ht="15" hidden="1" customHeight="1" outlineLevel="2" x14ac:dyDescent="0.25">
      <c r="A98" s="25"/>
      <c r="B98" s="12" t="str">
        <f>CONCATENATE("          ","6004"," - ","STAFF HOURLY")</f>
        <v xml:space="preserve">          6004 - STAFF HOURLY</v>
      </c>
      <c r="C98" s="12"/>
      <c r="D98" s="7">
        <v>13469.41</v>
      </c>
      <c r="E98" s="3"/>
      <c r="F98" s="8">
        <f t="shared" si="12"/>
        <v>1.819180895143736E-2</v>
      </c>
      <c r="G98" s="3"/>
      <c r="H98" s="7">
        <v>3964.52</v>
      </c>
      <c r="I98" s="3"/>
      <c r="J98" s="8">
        <f t="shared" si="13"/>
        <v>1.002614599320102E-2</v>
      </c>
      <c r="K98" s="3"/>
      <c r="L98" s="7">
        <f t="shared" si="14"/>
        <v>9504.89</v>
      </c>
      <c r="M98" s="3"/>
      <c r="N98" s="8">
        <f t="shared" si="15"/>
        <v>2.3974882205159767</v>
      </c>
      <c r="O98" s="12"/>
      <c r="P98" s="7">
        <v>111845.91</v>
      </c>
      <c r="Q98" s="3"/>
      <c r="R98" s="8">
        <f t="shared" si="16"/>
        <v>2.518068142942095E-2</v>
      </c>
      <c r="S98" s="3"/>
      <c r="T98" s="7">
        <v>58556.06</v>
      </c>
      <c r="U98" s="3"/>
      <c r="V98" s="8">
        <f t="shared" si="17"/>
        <v>2.8829631071937561E-2</v>
      </c>
      <c r="W98" s="3"/>
      <c r="X98" s="7">
        <f t="shared" si="18"/>
        <v>53289.850000000006</v>
      </c>
      <c r="Y98" s="3"/>
      <c r="Z98" s="8">
        <f t="shared" si="19"/>
        <v>0.91006549962548722</v>
      </c>
    </row>
    <row r="99" spans="1:26" s="69" customFormat="1" ht="15" hidden="1" customHeight="1" outlineLevel="2" x14ac:dyDescent="0.25">
      <c r="A99" s="25"/>
      <c r="B99" s="12" t="str">
        <f>CONCATENATE("          ","6005"," - ","TEMPORARY WAGES-HOURLY")</f>
        <v xml:space="preserve">          6005 - TEMPORARY WAGES-HOURLY</v>
      </c>
      <c r="C99" s="12"/>
      <c r="D99" s="7"/>
      <c r="E99" s="3"/>
      <c r="F99" s="8">
        <f t="shared" si="12"/>
        <v>0</v>
      </c>
      <c r="G99" s="3"/>
      <c r="H99" s="7">
        <v>1100.19</v>
      </c>
      <c r="I99" s="3"/>
      <c r="J99" s="8">
        <f t="shared" si="13"/>
        <v>2.7823457972868922E-3</v>
      </c>
      <c r="K99" s="3"/>
      <c r="L99" s="7">
        <f t="shared" si="14"/>
        <v>-1100.19</v>
      </c>
      <c r="M99" s="3"/>
      <c r="N99" s="8">
        <f t="shared" si="15"/>
        <v>-1</v>
      </c>
      <c r="O99" s="12"/>
      <c r="P99" s="7">
        <v>22430.91</v>
      </c>
      <c r="Q99" s="3"/>
      <c r="R99" s="8">
        <f t="shared" si="16"/>
        <v>5.0500335585093158E-3</v>
      </c>
      <c r="S99" s="3"/>
      <c r="T99" s="7">
        <v>43899.15</v>
      </c>
      <c r="U99" s="3"/>
      <c r="V99" s="8">
        <f t="shared" si="17"/>
        <v>2.1613412836718315E-2</v>
      </c>
      <c r="W99" s="3"/>
      <c r="X99" s="7">
        <f t="shared" si="18"/>
        <v>-21468.240000000002</v>
      </c>
      <c r="Y99" s="3"/>
      <c r="Z99" s="8">
        <f t="shared" si="19"/>
        <v>-0.48903543690481482</v>
      </c>
    </row>
    <row r="100" spans="1:26" s="69" customFormat="1" ht="15" hidden="1" customHeight="1" outlineLevel="2" x14ac:dyDescent="0.25">
      <c r="A100" s="25"/>
      <c r="B100" s="12" t="str">
        <f>CONCATENATE("          ","6006"," - ","TEMPORARY PART TIME")</f>
        <v xml:space="preserve">          6006 - TEMPORARY PART TIME</v>
      </c>
      <c r="C100" s="12"/>
      <c r="D100" s="7"/>
      <c r="E100" s="3"/>
      <c r="F100" s="8">
        <f t="shared" si="12"/>
        <v>0</v>
      </c>
      <c r="G100" s="3"/>
      <c r="H100" s="7">
        <v>1314.52</v>
      </c>
      <c r="I100" s="3"/>
      <c r="J100" s="8">
        <f t="shared" si="13"/>
        <v>3.324379604840587E-3</v>
      </c>
      <c r="K100" s="3"/>
      <c r="L100" s="7">
        <f t="shared" si="14"/>
        <v>-1314.52</v>
      </c>
      <c r="M100" s="3"/>
      <c r="N100" s="8">
        <f t="shared" si="15"/>
        <v>-1</v>
      </c>
      <c r="O100" s="12"/>
      <c r="P100" s="7"/>
      <c r="Q100" s="3"/>
      <c r="R100" s="8">
        <f t="shared" si="16"/>
        <v>0</v>
      </c>
      <c r="S100" s="3"/>
      <c r="T100" s="7">
        <v>5581.64</v>
      </c>
      <c r="U100" s="3"/>
      <c r="V100" s="8">
        <f t="shared" si="17"/>
        <v>2.7480780294365705E-3</v>
      </c>
      <c r="W100" s="3"/>
      <c r="X100" s="7">
        <f t="shared" si="18"/>
        <v>-5581.64</v>
      </c>
      <c r="Y100" s="3"/>
      <c r="Z100" s="8">
        <f t="shared" si="19"/>
        <v>-1</v>
      </c>
    </row>
    <row r="101" spans="1:26" s="69" customFormat="1" ht="15" hidden="1" customHeight="1" outlineLevel="2" x14ac:dyDescent="0.25">
      <c r="A101" s="25"/>
      <c r="B101" s="12" t="str">
        <f>CONCATENATE("          ","6007"," - ","STUDENT HOURLY")</f>
        <v xml:space="preserve">          6007 - STUDENT HOURLY</v>
      </c>
      <c r="C101" s="12"/>
      <c r="D101" s="7">
        <v>37953.03</v>
      </c>
      <c r="E101" s="3"/>
      <c r="F101" s="8">
        <f t="shared" si="12"/>
        <v>5.1259429395064122E-2</v>
      </c>
      <c r="G101" s="3"/>
      <c r="H101" s="7">
        <v>9085.57</v>
      </c>
      <c r="I101" s="3"/>
      <c r="J101" s="8">
        <f t="shared" si="13"/>
        <v>2.2977119866073922E-2</v>
      </c>
      <c r="K101" s="3"/>
      <c r="L101" s="7">
        <f t="shared" si="14"/>
        <v>28867.46</v>
      </c>
      <c r="M101" s="3"/>
      <c r="N101" s="8">
        <f t="shared" si="15"/>
        <v>3.1772866204321799</v>
      </c>
      <c r="O101" s="12"/>
      <c r="P101" s="7">
        <v>295485.21999999997</v>
      </c>
      <c r="Q101" s="3"/>
      <c r="R101" s="8">
        <f t="shared" si="16"/>
        <v>6.6524732034656989E-2</v>
      </c>
      <c r="S101" s="3"/>
      <c r="T101" s="7">
        <v>67022.649999999994</v>
      </c>
      <c r="U101" s="3"/>
      <c r="V101" s="8">
        <f t="shared" si="17"/>
        <v>3.2998092306135283E-2</v>
      </c>
      <c r="W101" s="3"/>
      <c r="X101" s="7">
        <f t="shared" si="18"/>
        <v>228462.56999999998</v>
      </c>
      <c r="Y101" s="3"/>
      <c r="Z101" s="8">
        <f t="shared" si="19"/>
        <v>3.4087367479501332</v>
      </c>
    </row>
    <row r="102" spans="1:26" s="69" customFormat="1" ht="15" hidden="1" customHeight="1" outlineLevel="2" x14ac:dyDescent="0.25">
      <c r="A102" s="25"/>
      <c r="B102" s="12" t="str">
        <f>CONCATENATE("          ","6008"," - ","STUDENT HOURLY-FICA EXEMPT")</f>
        <v xml:space="preserve">          6008 - STUDENT HOURLY-FICA EXEMPT</v>
      </c>
      <c r="C102" s="12"/>
      <c r="D102" s="7">
        <v>7672.81</v>
      </c>
      <c r="E102" s="3"/>
      <c r="F102" s="8">
        <f t="shared" si="12"/>
        <v>1.0362910746697747E-2</v>
      </c>
      <c r="G102" s="3"/>
      <c r="H102" s="7">
        <v>2342.48</v>
      </c>
      <c r="I102" s="3"/>
      <c r="J102" s="8">
        <f t="shared" si="13"/>
        <v>5.9240580110968095E-3</v>
      </c>
      <c r="K102" s="3"/>
      <c r="L102" s="7">
        <f t="shared" si="14"/>
        <v>5330.33</v>
      </c>
      <c r="M102" s="3"/>
      <c r="N102" s="8">
        <f t="shared" si="15"/>
        <v>2.2755071548102865</v>
      </c>
      <c r="O102" s="12"/>
      <c r="P102" s="7">
        <v>85014.84</v>
      </c>
      <c r="Q102" s="3"/>
      <c r="R102" s="8">
        <f t="shared" si="16"/>
        <v>1.9140007916366303E-2</v>
      </c>
      <c r="S102" s="3"/>
      <c r="T102" s="7">
        <v>9376.66</v>
      </c>
      <c r="U102" s="3"/>
      <c r="V102" s="8">
        <f t="shared" si="17"/>
        <v>4.6165272814973216E-3</v>
      </c>
      <c r="W102" s="3"/>
      <c r="X102" s="7">
        <f t="shared" si="18"/>
        <v>75638.179999999993</v>
      </c>
      <c r="Y102" s="3"/>
      <c r="Z102" s="8">
        <f t="shared" si="19"/>
        <v>8.0666441995337355</v>
      </c>
    </row>
    <row r="103" spans="1:26" s="68" customFormat="1" ht="15" customHeight="1" outlineLevel="1" collapsed="1" x14ac:dyDescent="0.25">
      <c r="A103" s="26"/>
      <c r="B103" s="14" t="str">
        <f>CONCATENATE("     ","Advertising/Promo                                 ")</f>
        <v xml:space="preserve">     Advertising/Promo                                 </v>
      </c>
      <c r="C103" s="14"/>
      <c r="D103" s="2">
        <f>SUM(OSRRefD22_2x_0)</f>
        <v>932.84</v>
      </c>
      <c r="E103" s="2"/>
      <c r="F103" s="6">
        <f t="shared" si="12"/>
        <v>1.2598953526738606E-3</v>
      </c>
      <c r="G103" s="2"/>
      <c r="H103" s="2">
        <f>SUM(OSRRefH22_2x_0)</f>
        <v>205.07</v>
      </c>
      <c r="I103" s="2"/>
      <c r="J103" s="6">
        <f t="shared" si="13"/>
        <v>5.1861555972115999E-4</v>
      </c>
      <c r="K103" s="2"/>
      <c r="L103" s="2">
        <f t="shared" si="14"/>
        <v>727.77</v>
      </c>
      <c r="M103" s="2"/>
      <c r="N103" s="6">
        <f t="shared" si="15"/>
        <v>3.5488857463305212</v>
      </c>
      <c r="O103" s="14"/>
      <c r="P103" s="2">
        <f>SUM(OSRRefP22_2x_0)</f>
        <v>8090.66</v>
      </c>
      <c r="Q103" s="2"/>
      <c r="R103" s="6">
        <f t="shared" si="16"/>
        <v>1.8215090030002786E-3</v>
      </c>
      <c r="S103" s="2"/>
      <c r="T103" s="2">
        <f>SUM(OSRRefT22_2x_0)</f>
        <v>13098.61</v>
      </c>
      <c r="U103" s="2"/>
      <c r="V103" s="6">
        <f t="shared" si="17"/>
        <v>6.4490010744437396E-3</v>
      </c>
      <c r="W103" s="2"/>
      <c r="X103" s="2">
        <f t="shared" si="18"/>
        <v>-5007.9500000000007</v>
      </c>
      <c r="Y103" s="2"/>
      <c r="Z103" s="6">
        <f t="shared" si="19"/>
        <v>-0.38232682704500709</v>
      </c>
    </row>
    <row r="104" spans="1:26" s="69" customFormat="1" ht="15" hidden="1" customHeight="1" outlineLevel="2" x14ac:dyDescent="0.25">
      <c r="A104" s="25"/>
      <c r="B104" s="12" t="str">
        <f>CONCATENATE("          ","6362"," - ","ADVERTISING EXPENSE")</f>
        <v xml:space="preserve">          6362 - ADVERTISING EXPENSE</v>
      </c>
      <c r="C104" s="12"/>
      <c r="D104" s="7">
        <v>932.84</v>
      </c>
      <c r="E104" s="3"/>
      <c r="F104" s="8">
        <f t="shared" si="12"/>
        <v>1.2598953526738606E-3</v>
      </c>
      <c r="G104" s="3"/>
      <c r="H104" s="7">
        <v>205.07</v>
      </c>
      <c r="I104" s="3"/>
      <c r="J104" s="8">
        <f t="shared" si="13"/>
        <v>5.1861555972115999E-4</v>
      </c>
      <c r="K104" s="3"/>
      <c r="L104" s="7">
        <f t="shared" si="14"/>
        <v>727.77</v>
      </c>
      <c r="M104" s="3"/>
      <c r="N104" s="8">
        <f t="shared" si="15"/>
        <v>3.5488857463305212</v>
      </c>
      <c r="O104" s="12"/>
      <c r="P104" s="7">
        <v>8090.66</v>
      </c>
      <c r="Q104" s="3"/>
      <c r="R104" s="8">
        <f t="shared" si="16"/>
        <v>1.8215090030002786E-3</v>
      </c>
      <c r="S104" s="3"/>
      <c r="T104" s="7">
        <v>13098.61</v>
      </c>
      <c r="U104" s="3"/>
      <c r="V104" s="8">
        <f t="shared" si="17"/>
        <v>6.4490010744437396E-3</v>
      </c>
      <c r="W104" s="3"/>
      <c r="X104" s="7">
        <f t="shared" si="18"/>
        <v>-5007.9500000000007</v>
      </c>
      <c r="Y104" s="3"/>
      <c r="Z104" s="8">
        <f t="shared" si="19"/>
        <v>-0.38232682704500709</v>
      </c>
    </row>
    <row r="105" spans="1:26" s="68" customFormat="1" ht="15" customHeight="1" outlineLevel="1" collapsed="1" x14ac:dyDescent="0.25">
      <c r="A105" s="26"/>
      <c r="B105" s="14" t="str">
        <f>CONCATENATE("     ","Discounts and Markdowns                           ")</f>
        <v xml:space="preserve">     Discounts and Markdowns                           </v>
      </c>
      <c r="C105" s="14"/>
      <c r="D105" s="2">
        <f>SUM(OSRRefD22_3x_0)</f>
        <v>0</v>
      </c>
      <c r="E105" s="2"/>
      <c r="F105" s="6">
        <f t="shared" si="12"/>
        <v>0</v>
      </c>
      <c r="G105" s="2"/>
      <c r="H105" s="2">
        <f>SUM(OSRRefH22_3x_0)</f>
        <v>0</v>
      </c>
      <c r="I105" s="2"/>
      <c r="J105" s="6">
        <f t="shared" si="13"/>
        <v>0</v>
      </c>
      <c r="K105" s="2"/>
      <c r="L105" s="2">
        <f t="shared" si="14"/>
        <v>0</v>
      </c>
      <c r="M105" s="2"/>
      <c r="N105" s="6">
        <f t="shared" si="15"/>
        <v>0</v>
      </c>
      <c r="O105" s="14"/>
      <c r="P105" s="2">
        <f>SUM(OSRRefP22_3x_0)</f>
        <v>0</v>
      </c>
      <c r="Q105" s="2"/>
      <c r="R105" s="6">
        <f t="shared" si="16"/>
        <v>0</v>
      </c>
      <c r="S105" s="2"/>
      <c r="T105" s="2">
        <f>SUM(OSRRefT22_3x_0)</f>
        <v>0</v>
      </c>
      <c r="U105" s="2"/>
      <c r="V105" s="6">
        <f t="shared" si="17"/>
        <v>0</v>
      </c>
      <c r="W105" s="2"/>
      <c r="X105" s="2">
        <f t="shared" si="18"/>
        <v>0</v>
      </c>
      <c r="Y105" s="2"/>
      <c r="Z105" s="6">
        <f t="shared" si="19"/>
        <v>0</v>
      </c>
    </row>
    <row r="106" spans="1:26" s="69" customFormat="1" ht="15" hidden="1" customHeight="1" outlineLevel="2" x14ac:dyDescent="0.25">
      <c r="A106" s="25"/>
      <c r="B106" s="12" t="str">
        <f>CONCATENATE("          ","6382"," - ","DISCOUNTS/MARK DOWNS")</f>
        <v xml:space="preserve">          6382 - DISCOUNTS/MARK DOWNS</v>
      </c>
      <c r="C106" s="12"/>
      <c r="D106" s="7"/>
      <c r="E106" s="3"/>
      <c r="F106" s="8">
        <f t="shared" si="12"/>
        <v>0</v>
      </c>
      <c r="G106" s="3"/>
      <c r="H106" s="7">
        <v>0</v>
      </c>
      <c r="I106" s="3"/>
      <c r="J106" s="8">
        <f t="shared" si="13"/>
        <v>0</v>
      </c>
      <c r="K106" s="3"/>
      <c r="L106" s="7">
        <f t="shared" si="14"/>
        <v>0</v>
      </c>
      <c r="M106" s="3"/>
      <c r="N106" s="8">
        <f t="shared" si="15"/>
        <v>0</v>
      </c>
      <c r="O106" s="12"/>
      <c r="P106" s="7"/>
      <c r="Q106" s="3"/>
      <c r="R106" s="8">
        <f t="shared" si="16"/>
        <v>0</v>
      </c>
      <c r="S106" s="3"/>
      <c r="T106" s="7">
        <v>0</v>
      </c>
      <c r="U106" s="3"/>
      <c r="V106" s="8">
        <f t="shared" si="17"/>
        <v>0</v>
      </c>
      <c r="W106" s="3"/>
      <c r="X106" s="7">
        <f t="shared" si="18"/>
        <v>0</v>
      </c>
      <c r="Y106" s="3"/>
      <c r="Z106" s="8">
        <f t="shared" si="19"/>
        <v>0</v>
      </c>
    </row>
    <row r="107" spans="1:26" s="69" customFormat="1" ht="15" hidden="1" customHeight="1" outlineLevel="2" x14ac:dyDescent="0.25">
      <c r="A107" s="25"/>
      <c r="B107" s="12" t="str">
        <f>CONCATENATE("          ","9175"," - ","EARNED DISCOUNTS")</f>
        <v xml:space="preserve">          9175 - EARNED DISCOUNTS</v>
      </c>
      <c r="C107" s="12"/>
      <c r="D107" s="7"/>
      <c r="E107" s="3"/>
      <c r="F107" s="8">
        <f t="shared" si="12"/>
        <v>0</v>
      </c>
      <c r="G107" s="3"/>
      <c r="H107" s="7"/>
      <c r="I107" s="3"/>
      <c r="J107" s="8">
        <f t="shared" si="13"/>
        <v>0</v>
      </c>
      <c r="K107" s="3"/>
      <c r="L107" s="7">
        <f t="shared" si="14"/>
        <v>0</v>
      </c>
      <c r="M107" s="3"/>
      <c r="N107" s="8">
        <f t="shared" si="15"/>
        <v>0</v>
      </c>
      <c r="O107" s="12"/>
      <c r="P107" s="7">
        <v>0</v>
      </c>
      <c r="Q107" s="3"/>
      <c r="R107" s="8">
        <f t="shared" si="16"/>
        <v>0</v>
      </c>
      <c r="S107" s="3"/>
      <c r="T107" s="7">
        <v>0</v>
      </c>
      <c r="U107" s="3"/>
      <c r="V107" s="8">
        <f t="shared" si="17"/>
        <v>0</v>
      </c>
      <c r="W107" s="3"/>
      <c r="X107" s="7">
        <f t="shared" si="18"/>
        <v>0</v>
      </c>
      <c r="Y107" s="3"/>
      <c r="Z107" s="8">
        <f t="shared" si="19"/>
        <v>0</v>
      </c>
    </row>
    <row r="108" spans="1:26" s="68" customFormat="1" ht="15" customHeight="1" outlineLevel="1" collapsed="1" x14ac:dyDescent="0.25">
      <c r="A108" s="26"/>
      <c r="B108" s="14" t="str">
        <f>CONCATENATE("     ","Employees' Appreciation                           ")</f>
        <v xml:space="preserve">     Employees' Appreciation                           </v>
      </c>
      <c r="C108" s="14"/>
      <c r="D108" s="2">
        <f>SUM(OSRRefD22_4x_0)</f>
        <v>0</v>
      </c>
      <c r="E108" s="2"/>
      <c r="F108" s="6">
        <f t="shared" si="12"/>
        <v>0</v>
      </c>
      <c r="G108" s="2"/>
      <c r="H108" s="2">
        <f>SUM(OSRRefH22_4x_0)</f>
        <v>0</v>
      </c>
      <c r="I108" s="2"/>
      <c r="J108" s="6">
        <f t="shared" si="13"/>
        <v>0</v>
      </c>
      <c r="K108" s="2"/>
      <c r="L108" s="2">
        <f t="shared" si="14"/>
        <v>0</v>
      </c>
      <c r="M108" s="2"/>
      <c r="N108" s="6">
        <f t="shared" si="15"/>
        <v>0</v>
      </c>
      <c r="O108" s="14"/>
      <c r="P108" s="2">
        <f>SUM(OSRRefP22_4x_0)</f>
        <v>291.13</v>
      </c>
      <c r="Q108" s="2"/>
      <c r="R108" s="6">
        <f t="shared" si="16"/>
        <v>6.5544209748459467E-5</v>
      </c>
      <c r="S108" s="2"/>
      <c r="T108" s="2">
        <f>SUM(OSRRefT22_4x_0)</f>
        <v>0</v>
      </c>
      <c r="U108" s="2"/>
      <c r="V108" s="6">
        <f t="shared" si="17"/>
        <v>0</v>
      </c>
      <c r="W108" s="2"/>
      <c r="X108" s="2">
        <f t="shared" si="18"/>
        <v>291.13</v>
      </c>
      <c r="Y108" s="2"/>
      <c r="Z108" s="6">
        <f t="shared" si="19"/>
        <v>0</v>
      </c>
    </row>
    <row r="109" spans="1:26" s="69" customFormat="1" ht="15" hidden="1" customHeight="1" outlineLevel="2" x14ac:dyDescent="0.25">
      <c r="A109" s="25"/>
      <c r="B109" s="12" t="str">
        <f>CONCATENATE("          ","6277"," - ","EMPLOYEE APPRECIATION")</f>
        <v xml:space="preserve">          6277 - EMPLOYEE APPRECIATION</v>
      </c>
      <c r="C109" s="12"/>
      <c r="D109" s="7"/>
      <c r="E109" s="3"/>
      <c r="F109" s="8">
        <f t="shared" si="12"/>
        <v>0</v>
      </c>
      <c r="G109" s="3"/>
      <c r="H109" s="7"/>
      <c r="I109" s="3"/>
      <c r="J109" s="8">
        <f t="shared" si="13"/>
        <v>0</v>
      </c>
      <c r="K109" s="3"/>
      <c r="L109" s="7">
        <f t="shared" si="14"/>
        <v>0</v>
      </c>
      <c r="M109" s="3"/>
      <c r="N109" s="8">
        <f t="shared" si="15"/>
        <v>0</v>
      </c>
      <c r="O109" s="12"/>
      <c r="P109" s="7">
        <v>291.13</v>
      </c>
      <c r="Q109" s="3"/>
      <c r="R109" s="8">
        <f t="shared" si="16"/>
        <v>6.5544209748459467E-5</v>
      </c>
      <c r="S109" s="3"/>
      <c r="T109" s="7"/>
      <c r="U109" s="3"/>
      <c r="V109" s="8">
        <f t="shared" si="17"/>
        <v>0</v>
      </c>
      <c r="W109" s="3"/>
      <c r="X109" s="7">
        <f t="shared" si="18"/>
        <v>291.13</v>
      </c>
      <c r="Y109" s="3"/>
      <c r="Z109" s="8">
        <f t="shared" si="19"/>
        <v>0</v>
      </c>
    </row>
    <row r="110" spans="1:26" s="68" customFormat="1" ht="15" customHeight="1" outlineLevel="1" collapsed="1" x14ac:dyDescent="0.25">
      <c r="A110" s="26"/>
      <c r="B110" s="14" t="str">
        <f>CONCATENATE("     ","Equipment Rental                                  ")</f>
        <v xml:space="preserve">     Equipment Rental                                  </v>
      </c>
      <c r="C110" s="14"/>
      <c r="D110" s="2">
        <f>SUM(OSRRefD22_5x_0)</f>
        <v>0</v>
      </c>
      <c r="E110" s="2"/>
      <c r="F110" s="6">
        <f t="shared" si="12"/>
        <v>0</v>
      </c>
      <c r="G110" s="2"/>
      <c r="H110" s="2">
        <f>SUM(OSRRefH22_5x_0)</f>
        <v>0</v>
      </c>
      <c r="I110" s="2"/>
      <c r="J110" s="6">
        <f t="shared" si="13"/>
        <v>0</v>
      </c>
      <c r="K110" s="2"/>
      <c r="L110" s="2">
        <f t="shared" si="14"/>
        <v>0</v>
      </c>
      <c r="M110" s="2"/>
      <c r="N110" s="6">
        <f t="shared" si="15"/>
        <v>0</v>
      </c>
      <c r="O110" s="14"/>
      <c r="P110" s="2">
        <f>SUM(OSRRefP22_5x_0)</f>
        <v>118.91</v>
      </c>
      <c r="Q110" s="2"/>
      <c r="R110" s="6">
        <f t="shared" si="16"/>
        <v>2.6771071278086476E-5</v>
      </c>
      <c r="S110" s="2"/>
      <c r="T110" s="2">
        <f>SUM(OSRRefT22_5x_0)</f>
        <v>0</v>
      </c>
      <c r="U110" s="2"/>
      <c r="V110" s="6">
        <f t="shared" si="17"/>
        <v>0</v>
      </c>
      <c r="W110" s="2"/>
      <c r="X110" s="2">
        <f t="shared" si="18"/>
        <v>118.91</v>
      </c>
      <c r="Y110" s="2"/>
      <c r="Z110" s="6">
        <f t="shared" si="19"/>
        <v>0</v>
      </c>
    </row>
    <row r="111" spans="1:26" s="69" customFormat="1" ht="15" hidden="1" customHeight="1" outlineLevel="2" x14ac:dyDescent="0.25">
      <c r="A111" s="25"/>
      <c r="B111" s="12" t="str">
        <f>CONCATENATE("          ","6351"," - ","EQUIPMENT RENTAL")</f>
        <v xml:space="preserve">          6351 - EQUIPMENT RENTAL</v>
      </c>
      <c r="C111" s="12"/>
      <c r="D111" s="7"/>
      <c r="E111" s="3"/>
      <c r="F111" s="8">
        <f t="shared" si="12"/>
        <v>0</v>
      </c>
      <c r="G111" s="3"/>
      <c r="H111" s="7"/>
      <c r="I111" s="3"/>
      <c r="J111" s="8">
        <f t="shared" si="13"/>
        <v>0</v>
      </c>
      <c r="K111" s="3"/>
      <c r="L111" s="7">
        <f t="shared" si="14"/>
        <v>0</v>
      </c>
      <c r="M111" s="3"/>
      <c r="N111" s="8">
        <f t="shared" si="15"/>
        <v>0</v>
      </c>
      <c r="O111" s="12"/>
      <c r="P111" s="7">
        <v>118.91</v>
      </c>
      <c r="Q111" s="3"/>
      <c r="R111" s="8">
        <f t="shared" si="16"/>
        <v>2.6771071278086476E-5</v>
      </c>
      <c r="S111" s="3"/>
      <c r="T111" s="7"/>
      <c r="U111" s="3"/>
      <c r="V111" s="8">
        <f t="shared" si="17"/>
        <v>0</v>
      </c>
      <c r="W111" s="3"/>
      <c r="X111" s="7">
        <f t="shared" si="18"/>
        <v>118.91</v>
      </c>
      <c r="Y111" s="3"/>
      <c r="Z111" s="8">
        <f t="shared" si="19"/>
        <v>0</v>
      </c>
    </row>
    <row r="112" spans="1:26" s="68" customFormat="1" ht="15" customHeight="1" outlineLevel="1" collapsed="1" x14ac:dyDescent="0.25">
      <c r="A112" s="26"/>
      <c r="B112" s="14" t="str">
        <f>CONCATENATE("     ","Freight out/Postage                               ")</f>
        <v xml:space="preserve">     Freight out/Postage                               </v>
      </c>
      <c r="C112" s="14"/>
      <c r="D112" s="2">
        <f>SUM(OSRRefD22_6x_0)</f>
        <v>0</v>
      </c>
      <c r="E112" s="2"/>
      <c r="F112" s="6">
        <f t="shared" si="12"/>
        <v>0</v>
      </c>
      <c r="G112" s="2"/>
      <c r="H112" s="2">
        <f>SUM(OSRRefH22_6x_0)</f>
        <v>29.05</v>
      </c>
      <c r="I112" s="2"/>
      <c r="J112" s="6">
        <f t="shared" si="13"/>
        <v>7.3466533427120974E-5</v>
      </c>
      <c r="K112" s="2"/>
      <c r="L112" s="2">
        <f t="shared" si="14"/>
        <v>-29.05</v>
      </c>
      <c r="M112" s="2"/>
      <c r="N112" s="6">
        <f t="shared" si="15"/>
        <v>-1</v>
      </c>
      <c r="O112" s="14"/>
      <c r="P112" s="2">
        <f>SUM(OSRRefP22_6x_0)</f>
        <v>929.29</v>
      </c>
      <c r="Q112" s="2"/>
      <c r="R112" s="6">
        <f t="shared" si="16"/>
        <v>2.0921780193434514E-4</v>
      </c>
      <c r="S112" s="2"/>
      <c r="T112" s="2">
        <f>SUM(OSRRefT22_6x_0)</f>
        <v>-146.84999999999997</v>
      </c>
      <c r="U112" s="2"/>
      <c r="V112" s="6">
        <f t="shared" si="17"/>
        <v>-7.230048133214616E-5</v>
      </c>
      <c r="W112" s="2"/>
      <c r="X112" s="2">
        <f t="shared" si="18"/>
        <v>1076.1399999999999</v>
      </c>
      <c r="Y112" s="2"/>
      <c r="Z112" s="6">
        <f t="shared" si="19"/>
        <v>-7.3281579843377607</v>
      </c>
    </row>
    <row r="113" spans="1:26" s="69" customFormat="1" ht="15" hidden="1" customHeight="1" outlineLevel="2" x14ac:dyDescent="0.25">
      <c r="A113" s="25"/>
      <c r="B113" s="12" t="str">
        <f>CONCATENATE("          ","6305"," - ","FREIGHT OUT")</f>
        <v xml:space="preserve">          6305 - FREIGHT OUT</v>
      </c>
      <c r="C113" s="12"/>
      <c r="D113" s="7"/>
      <c r="E113" s="3"/>
      <c r="F113" s="8">
        <f t="shared" si="12"/>
        <v>0</v>
      </c>
      <c r="G113" s="3"/>
      <c r="H113" s="7">
        <v>29.05</v>
      </c>
      <c r="I113" s="3"/>
      <c r="J113" s="8">
        <f t="shared" si="13"/>
        <v>7.3466533427120974E-5</v>
      </c>
      <c r="K113" s="3"/>
      <c r="L113" s="7">
        <f t="shared" si="14"/>
        <v>-29.05</v>
      </c>
      <c r="M113" s="3"/>
      <c r="N113" s="8">
        <f t="shared" si="15"/>
        <v>-1</v>
      </c>
      <c r="O113" s="12"/>
      <c r="P113" s="7">
        <v>893.87</v>
      </c>
      <c r="Q113" s="3"/>
      <c r="R113" s="8">
        <f t="shared" si="16"/>
        <v>2.0124344027704278E-4</v>
      </c>
      <c r="S113" s="3"/>
      <c r="T113" s="7">
        <v>142.49</v>
      </c>
      <c r="U113" s="3"/>
      <c r="V113" s="8">
        <f t="shared" si="17"/>
        <v>7.0153868471348375E-5</v>
      </c>
      <c r="W113" s="3"/>
      <c r="X113" s="7">
        <f t="shared" si="18"/>
        <v>751.38</v>
      </c>
      <c r="Y113" s="3"/>
      <c r="Z113" s="8">
        <f t="shared" si="19"/>
        <v>5.2732121552389639</v>
      </c>
    </row>
    <row r="114" spans="1:26" s="69" customFormat="1" ht="15" hidden="1" customHeight="1" outlineLevel="2" x14ac:dyDescent="0.25">
      <c r="A114" s="25"/>
      <c r="B114" s="12" t="str">
        <f>CONCATENATE("          ","6307"," - ","POSTAGE")</f>
        <v xml:space="preserve">          6307 - POSTAGE</v>
      </c>
      <c r="C114" s="12"/>
      <c r="D114" s="7"/>
      <c r="E114" s="3"/>
      <c r="F114" s="8">
        <f t="shared" si="12"/>
        <v>0</v>
      </c>
      <c r="G114" s="3"/>
      <c r="H114" s="7"/>
      <c r="I114" s="3"/>
      <c r="J114" s="8">
        <f t="shared" si="13"/>
        <v>0</v>
      </c>
      <c r="K114" s="3"/>
      <c r="L114" s="7">
        <f t="shared" si="14"/>
        <v>0</v>
      </c>
      <c r="M114" s="3"/>
      <c r="N114" s="8">
        <f t="shared" si="15"/>
        <v>0</v>
      </c>
      <c r="O114" s="12"/>
      <c r="P114" s="7">
        <v>35.42</v>
      </c>
      <c r="Q114" s="3"/>
      <c r="R114" s="8">
        <f t="shared" si="16"/>
        <v>7.9743616573023556E-6</v>
      </c>
      <c r="S114" s="3"/>
      <c r="T114" s="7">
        <v>-289.33999999999997</v>
      </c>
      <c r="U114" s="3"/>
      <c r="V114" s="8">
        <f t="shared" si="17"/>
        <v>-1.4245434980349452E-4</v>
      </c>
      <c r="W114" s="3"/>
      <c r="X114" s="7">
        <f t="shared" si="18"/>
        <v>324.76</v>
      </c>
      <c r="Y114" s="3"/>
      <c r="Z114" s="8">
        <f t="shared" si="19"/>
        <v>-1.1224165341812402</v>
      </c>
    </row>
    <row r="115" spans="1:26" s="68" customFormat="1" ht="15" customHeight="1" outlineLevel="1" collapsed="1" x14ac:dyDescent="0.25">
      <c r="A115" s="26"/>
      <c r="B115" s="14" t="str">
        <f>CONCATENATE("     ","General                                           ")</f>
        <v xml:space="preserve">     General                                           </v>
      </c>
      <c r="C115" s="14"/>
      <c r="D115" s="2">
        <f>SUM(OSRRefD22_7x_0)</f>
        <v>0</v>
      </c>
      <c r="E115" s="2"/>
      <c r="F115" s="6">
        <f t="shared" si="12"/>
        <v>0</v>
      </c>
      <c r="G115" s="2"/>
      <c r="H115" s="2">
        <f>SUM(OSRRefH22_7x_0)</f>
        <v>0</v>
      </c>
      <c r="I115" s="2"/>
      <c r="J115" s="6">
        <f t="shared" si="13"/>
        <v>0</v>
      </c>
      <c r="K115" s="2"/>
      <c r="L115" s="2">
        <f t="shared" si="14"/>
        <v>0</v>
      </c>
      <c r="M115" s="2"/>
      <c r="N115" s="6">
        <f t="shared" si="15"/>
        <v>0</v>
      </c>
      <c r="O115" s="14"/>
      <c r="P115" s="2">
        <f>SUM(OSRRefP22_7x_0)</f>
        <v>988.17</v>
      </c>
      <c r="Q115" s="2"/>
      <c r="R115" s="6">
        <f t="shared" si="16"/>
        <v>2.2247388365038021E-4</v>
      </c>
      <c r="S115" s="2"/>
      <c r="T115" s="2">
        <f>SUM(OSRRefT22_7x_0)</f>
        <v>0</v>
      </c>
      <c r="U115" s="2"/>
      <c r="V115" s="6">
        <f t="shared" si="17"/>
        <v>0</v>
      </c>
      <c r="W115" s="2"/>
      <c r="X115" s="2">
        <f t="shared" si="18"/>
        <v>988.17</v>
      </c>
      <c r="Y115" s="2"/>
      <c r="Z115" s="6">
        <f t="shared" si="19"/>
        <v>0</v>
      </c>
    </row>
    <row r="116" spans="1:26" s="69" customFormat="1" ht="15" hidden="1" customHeight="1" outlineLevel="2" x14ac:dyDescent="0.25">
      <c r="A116" s="25"/>
      <c r="B116" s="12" t="str">
        <f>CONCATENATE("          ","6279"," - ","GENERAL EXPENSE")</f>
        <v xml:space="preserve">          6279 - GENERAL EXPENSE</v>
      </c>
      <c r="C116" s="12"/>
      <c r="D116" s="7"/>
      <c r="E116" s="3"/>
      <c r="F116" s="8">
        <f t="shared" si="12"/>
        <v>0</v>
      </c>
      <c r="G116" s="3"/>
      <c r="H116" s="7"/>
      <c r="I116" s="3"/>
      <c r="J116" s="8">
        <f t="shared" si="13"/>
        <v>0</v>
      </c>
      <c r="K116" s="3"/>
      <c r="L116" s="7">
        <f t="shared" si="14"/>
        <v>0</v>
      </c>
      <c r="M116" s="3"/>
      <c r="N116" s="8">
        <f t="shared" si="15"/>
        <v>0</v>
      </c>
      <c r="O116" s="12"/>
      <c r="P116" s="7">
        <v>988.17</v>
      </c>
      <c r="Q116" s="3"/>
      <c r="R116" s="8">
        <f t="shared" si="16"/>
        <v>2.2247388365038021E-4</v>
      </c>
      <c r="S116" s="3"/>
      <c r="T116" s="7"/>
      <c r="U116" s="3"/>
      <c r="V116" s="8">
        <f t="shared" si="17"/>
        <v>0</v>
      </c>
      <c r="W116" s="3"/>
      <c r="X116" s="7">
        <f t="shared" si="18"/>
        <v>988.17</v>
      </c>
      <c r="Y116" s="3"/>
      <c r="Z116" s="8">
        <f t="shared" si="19"/>
        <v>0</v>
      </c>
    </row>
    <row r="117" spans="1:26" s="68" customFormat="1" ht="15" customHeight="1" outlineLevel="1" collapsed="1" x14ac:dyDescent="0.25">
      <c r="A117" s="26"/>
      <c r="B117" s="14" t="str">
        <f>CONCATENATE("     ","Inventory Adjustment                              ")</f>
        <v xml:space="preserve">     Inventory Adjustment                              </v>
      </c>
      <c r="C117" s="14"/>
      <c r="D117" s="2">
        <f>SUM(OSRRefD22_8x_0)</f>
        <v>3350</v>
      </c>
      <c r="E117" s="2"/>
      <c r="F117" s="6">
        <f t="shared" si="12"/>
        <v>4.524515920691044E-3</v>
      </c>
      <c r="G117" s="2"/>
      <c r="H117" s="2">
        <f>SUM(OSRRefH22_8x_0)</f>
        <v>1000</v>
      </c>
      <c r="I117" s="2"/>
      <c r="J117" s="6">
        <f t="shared" si="13"/>
        <v>2.5289684484378992E-3</v>
      </c>
      <c r="K117" s="2"/>
      <c r="L117" s="2">
        <f t="shared" si="14"/>
        <v>2350</v>
      </c>
      <c r="M117" s="2"/>
      <c r="N117" s="6">
        <f t="shared" si="15"/>
        <v>2.35</v>
      </c>
      <c r="O117" s="14"/>
      <c r="P117" s="2">
        <f>SUM(OSRRefP22_8x_0)</f>
        <v>36850</v>
      </c>
      <c r="Q117" s="2"/>
      <c r="R117" s="6">
        <f t="shared" si="16"/>
        <v>8.2963079353922005E-3</v>
      </c>
      <c r="S117" s="2"/>
      <c r="T117" s="2">
        <f>SUM(OSRRefT22_8x_0)</f>
        <v>11000</v>
      </c>
      <c r="U117" s="2"/>
      <c r="V117" s="6">
        <f t="shared" si="17"/>
        <v>5.4157663919210614E-3</v>
      </c>
      <c r="W117" s="2"/>
      <c r="X117" s="2">
        <f t="shared" si="18"/>
        <v>25850</v>
      </c>
      <c r="Y117" s="2"/>
      <c r="Z117" s="6">
        <f t="shared" si="19"/>
        <v>2.35</v>
      </c>
    </row>
    <row r="118" spans="1:26" s="69" customFormat="1" ht="15" hidden="1" customHeight="1" outlineLevel="2" x14ac:dyDescent="0.25">
      <c r="A118" s="25"/>
      <c r="B118" s="12" t="str">
        <f>CONCATENATE("          ","6408"," - ","INVENTORY ADJUSTMENT")</f>
        <v xml:space="preserve">          6408 - INVENTORY ADJUSTMENT</v>
      </c>
      <c r="C118" s="12"/>
      <c r="D118" s="7">
        <v>3350</v>
      </c>
      <c r="E118" s="3"/>
      <c r="F118" s="8">
        <f t="shared" ref="F118:F142" si="20">IF(D$12=0,0,D118/D$12)</f>
        <v>4.524515920691044E-3</v>
      </c>
      <c r="G118" s="3"/>
      <c r="H118" s="7">
        <v>1000</v>
      </c>
      <c r="I118" s="3"/>
      <c r="J118" s="8">
        <f t="shared" ref="J118:J142" si="21">IF(H$12=0,0,H118/H$12)</f>
        <v>2.5289684484378992E-3</v>
      </c>
      <c r="K118" s="3"/>
      <c r="L118" s="7">
        <f t="shared" ref="L118:L142" si="22">+D118-H118</f>
        <v>2350</v>
      </c>
      <c r="M118" s="3"/>
      <c r="N118" s="8">
        <f t="shared" ref="N118:N142" si="23">IF(H118=0,0,L118/H118)</f>
        <v>2.35</v>
      </c>
      <c r="O118" s="12"/>
      <c r="P118" s="7">
        <v>36850</v>
      </c>
      <c r="Q118" s="3"/>
      <c r="R118" s="8">
        <f t="shared" ref="R118:R142" si="24">IF(P$12=0,0,P118/P$12)</f>
        <v>8.2963079353922005E-3</v>
      </c>
      <c r="S118" s="3"/>
      <c r="T118" s="7">
        <v>11000</v>
      </c>
      <c r="U118" s="3"/>
      <c r="V118" s="8">
        <f t="shared" ref="V118:V142" si="25">IF(T$12=0,0,T118/T$12)</f>
        <v>5.4157663919210614E-3</v>
      </c>
      <c r="W118" s="3"/>
      <c r="X118" s="7">
        <f t="shared" ref="X118:X142" si="26">+P118-T118</f>
        <v>25850</v>
      </c>
      <c r="Y118" s="3"/>
      <c r="Z118" s="8">
        <f t="shared" ref="Z118:Z142" si="27">IF(T118=0,0,X118/T118)</f>
        <v>2.35</v>
      </c>
    </row>
    <row r="119" spans="1:26" s="69" customFormat="1" ht="15" hidden="1" customHeight="1" outlineLevel="2" x14ac:dyDescent="0.25">
      <c r="A119" s="25"/>
      <c r="B119" s="12" t="str">
        <f>CONCATENATE("          ","7741"," - ","INV. SHRINKAGE-LOGO GIFTS")</f>
        <v xml:space="preserve">          7741 - INV. SHRINKAGE-LOGO GIFTS</v>
      </c>
      <c r="C119" s="12"/>
      <c r="D119" s="7"/>
      <c r="E119" s="3"/>
      <c r="F119" s="8">
        <f t="shared" si="20"/>
        <v>0</v>
      </c>
      <c r="G119" s="3"/>
      <c r="H119" s="7"/>
      <c r="I119" s="3"/>
      <c r="J119" s="8">
        <f t="shared" si="21"/>
        <v>0</v>
      </c>
      <c r="K119" s="3"/>
      <c r="L119" s="7">
        <f t="shared" si="22"/>
        <v>0</v>
      </c>
      <c r="M119" s="3"/>
      <c r="N119" s="8">
        <f t="shared" si="23"/>
        <v>0</v>
      </c>
      <c r="O119" s="12"/>
      <c r="P119" s="7"/>
      <c r="Q119" s="3"/>
      <c r="R119" s="8">
        <f t="shared" si="24"/>
        <v>0</v>
      </c>
      <c r="S119" s="3"/>
      <c r="T119" s="7">
        <v>0</v>
      </c>
      <c r="U119" s="3"/>
      <c r="V119" s="8">
        <f t="shared" si="25"/>
        <v>0</v>
      </c>
      <c r="W119" s="3"/>
      <c r="X119" s="7">
        <f t="shared" si="26"/>
        <v>0</v>
      </c>
      <c r="Y119" s="3"/>
      <c r="Z119" s="8">
        <f t="shared" si="27"/>
        <v>0</v>
      </c>
    </row>
    <row r="120" spans="1:26" s="68" customFormat="1" ht="15" customHeight="1" outlineLevel="1" collapsed="1" x14ac:dyDescent="0.25">
      <c r="A120" s="26"/>
      <c r="B120" s="14" t="str">
        <f>CONCATENATE("     ","Professional Services                             ")</f>
        <v xml:space="preserve">     Professional Services                             </v>
      </c>
      <c r="C120" s="14"/>
      <c r="D120" s="2">
        <f>SUM(OSRRefD22_9x_0)</f>
        <v>0</v>
      </c>
      <c r="E120" s="2"/>
      <c r="F120" s="6">
        <f t="shared" si="20"/>
        <v>0</v>
      </c>
      <c r="G120" s="2"/>
      <c r="H120" s="2">
        <f>SUM(OSRRefH22_9x_0)</f>
        <v>0</v>
      </c>
      <c r="I120" s="2"/>
      <c r="J120" s="6">
        <f t="shared" si="21"/>
        <v>0</v>
      </c>
      <c r="K120" s="2"/>
      <c r="L120" s="2">
        <f t="shared" si="22"/>
        <v>0</v>
      </c>
      <c r="M120" s="2"/>
      <c r="N120" s="6">
        <f t="shared" si="23"/>
        <v>0</v>
      </c>
      <c r="O120" s="14"/>
      <c r="P120" s="2">
        <f>SUM(OSRRefP22_9x_0)</f>
        <v>1947.64</v>
      </c>
      <c r="Q120" s="2"/>
      <c r="R120" s="6">
        <f t="shared" si="24"/>
        <v>4.38486328013223E-4</v>
      </c>
      <c r="S120" s="2"/>
      <c r="T120" s="2">
        <f>SUM(OSRRefT22_9x_0)</f>
        <v>0</v>
      </c>
      <c r="U120" s="2"/>
      <c r="V120" s="6">
        <f t="shared" si="25"/>
        <v>0</v>
      </c>
      <c r="W120" s="2"/>
      <c r="X120" s="2">
        <f t="shared" si="26"/>
        <v>1947.64</v>
      </c>
      <c r="Y120" s="2"/>
      <c r="Z120" s="6">
        <f t="shared" si="27"/>
        <v>0</v>
      </c>
    </row>
    <row r="121" spans="1:26" s="69" customFormat="1" ht="15" hidden="1" customHeight="1" outlineLevel="2" x14ac:dyDescent="0.25">
      <c r="A121" s="25"/>
      <c r="B121" s="12" t="str">
        <f>CONCATENATE("          ","6336"," - ","PROFESSIONAL SERVICES")</f>
        <v xml:space="preserve">          6336 - PROFESSIONAL SERVICES</v>
      </c>
      <c r="C121" s="12"/>
      <c r="D121" s="7"/>
      <c r="E121" s="3"/>
      <c r="F121" s="8">
        <f t="shared" si="20"/>
        <v>0</v>
      </c>
      <c r="G121" s="3"/>
      <c r="H121" s="7"/>
      <c r="I121" s="3"/>
      <c r="J121" s="8">
        <f t="shared" si="21"/>
        <v>0</v>
      </c>
      <c r="K121" s="3"/>
      <c r="L121" s="7">
        <f t="shared" si="22"/>
        <v>0</v>
      </c>
      <c r="M121" s="3"/>
      <c r="N121" s="8">
        <f t="shared" si="23"/>
        <v>0</v>
      </c>
      <c r="O121" s="12"/>
      <c r="P121" s="7">
        <v>1947.64</v>
      </c>
      <c r="Q121" s="3"/>
      <c r="R121" s="8">
        <f t="shared" si="24"/>
        <v>4.38486328013223E-4</v>
      </c>
      <c r="S121" s="3"/>
      <c r="T121" s="7"/>
      <c r="U121" s="3"/>
      <c r="V121" s="8">
        <f t="shared" si="25"/>
        <v>0</v>
      </c>
      <c r="W121" s="3"/>
      <c r="X121" s="7">
        <f t="shared" si="26"/>
        <v>1947.64</v>
      </c>
      <c r="Y121" s="3"/>
      <c r="Z121" s="8">
        <f t="shared" si="27"/>
        <v>0</v>
      </c>
    </row>
    <row r="122" spans="1:26" s="68" customFormat="1" ht="15" customHeight="1" outlineLevel="1" collapsed="1" x14ac:dyDescent="0.25">
      <c r="A122" s="26"/>
      <c r="B122" s="14" t="str">
        <f>CONCATENATE("     ","Repair and Maintenance                            ")</f>
        <v xml:space="preserve">     Repair and Maintenance                            </v>
      </c>
      <c r="C122" s="14"/>
      <c r="D122" s="2">
        <f>SUM(OSRRefD22_10x_0)</f>
        <v>0</v>
      </c>
      <c r="E122" s="2"/>
      <c r="F122" s="6">
        <f t="shared" si="20"/>
        <v>0</v>
      </c>
      <c r="G122" s="2"/>
      <c r="H122" s="2">
        <f>SUM(OSRRefH22_10x_0)</f>
        <v>0</v>
      </c>
      <c r="I122" s="2"/>
      <c r="J122" s="6">
        <f t="shared" si="21"/>
        <v>0</v>
      </c>
      <c r="K122" s="2"/>
      <c r="L122" s="2">
        <f t="shared" si="22"/>
        <v>0</v>
      </c>
      <c r="M122" s="2"/>
      <c r="N122" s="6">
        <f t="shared" si="23"/>
        <v>0</v>
      </c>
      <c r="O122" s="14"/>
      <c r="P122" s="2">
        <f>SUM(OSRRefP22_10x_0)</f>
        <v>3859.0499999999997</v>
      </c>
      <c r="Q122" s="2"/>
      <c r="R122" s="6">
        <f t="shared" si="24"/>
        <v>8.6881593319064509E-4</v>
      </c>
      <c r="S122" s="2"/>
      <c r="T122" s="2">
        <f>SUM(OSRRefT22_10x_0)</f>
        <v>0</v>
      </c>
      <c r="U122" s="2"/>
      <c r="V122" s="6">
        <f t="shared" si="25"/>
        <v>0</v>
      </c>
      <c r="W122" s="2"/>
      <c r="X122" s="2">
        <f t="shared" si="26"/>
        <v>3859.0499999999997</v>
      </c>
      <c r="Y122" s="2"/>
      <c r="Z122" s="6">
        <f t="shared" si="27"/>
        <v>0</v>
      </c>
    </row>
    <row r="123" spans="1:26" s="69" customFormat="1" ht="15" hidden="1" customHeight="1" outlineLevel="2" x14ac:dyDescent="0.25">
      <c r="A123" s="25"/>
      <c r="B123" s="12" t="str">
        <f>CONCATENATE("          ","6373"," - ","MAINTENANCE CONTRACTS")</f>
        <v xml:space="preserve">          6373 - MAINTENANCE CONTRACTS</v>
      </c>
      <c r="C123" s="12"/>
      <c r="D123" s="7"/>
      <c r="E123" s="3"/>
      <c r="F123" s="8">
        <f t="shared" si="20"/>
        <v>0</v>
      </c>
      <c r="G123" s="3"/>
      <c r="H123" s="7"/>
      <c r="I123" s="3"/>
      <c r="J123" s="8">
        <f t="shared" si="21"/>
        <v>0</v>
      </c>
      <c r="K123" s="3"/>
      <c r="L123" s="7">
        <f t="shared" si="22"/>
        <v>0</v>
      </c>
      <c r="M123" s="3"/>
      <c r="N123" s="8">
        <f t="shared" si="23"/>
        <v>0</v>
      </c>
      <c r="O123" s="12"/>
      <c r="P123" s="7">
        <v>17.739999999999998</v>
      </c>
      <c r="Q123" s="3"/>
      <c r="R123" s="8">
        <f t="shared" si="24"/>
        <v>3.9939349463733411E-6</v>
      </c>
      <c r="S123" s="3"/>
      <c r="T123" s="7"/>
      <c r="U123" s="3"/>
      <c r="V123" s="8">
        <f t="shared" si="25"/>
        <v>0</v>
      </c>
      <c r="W123" s="3"/>
      <c r="X123" s="7">
        <f t="shared" si="26"/>
        <v>17.739999999999998</v>
      </c>
      <c r="Y123" s="3"/>
      <c r="Z123" s="8">
        <f t="shared" si="27"/>
        <v>0</v>
      </c>
    </row>
    <row r="124" spans="1:26" s="69" customFormat="1" ht="15" hidden="1" customHeight="1" outlineLevel="2" x14ac:dyDescent="0.25">
      <c r="A124" s="25"/>
      <c r="B124" s="12" t="str">
        <f>CONCATENATE("          ","6375"," - ","OUTSIDE REPAIRS &amp; MAINTENANCE")</f>
        <v xml:space="preserve">          6375 - OUTSIDE REPAIRS &amp; MAINTENANCE</v>
      </c>
      <c r="C124" s="12"/>
      <c r="D124" s="7"/>
      <c r="E124" s="3"/>
      <c r="F124" s="8">
        <f t="shared" si="20"/>
        <v>0</v>
      </c>
      <c r="G124" s="3"/>
      <c r="H124" s="7"/>
      <c r="I124" s="3"/>
      <c r="J124" s="8">
        <f t="shared" si="21"/>
        <v>0</v>
      </c>
      <c r="K124" s="3"/>
      <c r="L124" s="7">
        <f t="shared" si="22"/>
        <v>0</v>
      </c>
      <c r="M124" s="3"/>
      <c r="N124" s="8">
        <f t="shared" si="23"/>
        <v>0</v>
      </c>
      <c r="O124" s="12"/>
      <c r="P124" s="7">
        <v>3841.31</v>
      </c>
      <c r="Q124" s="3"/>
      <c r="R124" s="8">
        <f t="shared" si="24"/>
        <v>8.6482199824427185E-4</v>
      </c>
      <c r="S124" s="3"/>
      <c r="T124" s="7"/>
      <c r="U124" s="3"/>
      <c r="V124" s="8">
        <f t="shared" si="25"/>
        <v>0</v>
      </c>
      <c r="W124" s="3"/>
      <c r="X124" s="7">
        <f t="shared" si="26"/>
        <v>3841.31</v>
      </c>
      <c r="Y124" s="3"/>
      <c r="Z124" s="8">
        <f t="shared" si="27"/>
        <v>0</v>
      </c>
    </row>
    <row r="125" spans="1:26" s="68" customFormat="1" ht="15" customHeight="1" outlineLevel="1" collapsed="1" x14ac:dyDescent="0.25">
      <c r="A125" s="26"/>
      <c r="B125" s="14" t="str">
        <f>CONCATENATE("     ","Royalty &amp; Commissions                             ")</f>
        <v xml:space="preserve">     Royalty &amp; Commissions                             </v>
      </c>
      <c r="C125" s="14"/>
      <c r="D125" s="2">
        <f>SUM(OSRRefD22_11x_0)</f>
        <v>2584.1300000000006</v>
      </c>
      <c r="E125" s="2"/>
      <c r="F125" s="6">
        <f t="shared" si="20"/>
        <v>3.4901305451150296E-3</v>
      </c>
      <c r="G125" s="2"/>
      <c r="H125" s="2">
        <f>SUM(OSRRefH22_11x_0)</f>
        <v>0</v>
      </c>
      <c r="I125" s="2"/>
      <c r="J125" s="6">
        <f t="shared" si="21"/>
        <v>0</v>
      </c>
      <c r="K125" s="2"/>
      <c r="L125" s="2">
        <f t="shared" si="22"/>
        <v>2584.1300000000006</v>
      </c>
      <c r="M125" s="2"/>
      <c r="N125" s="6">
        <f t="shared" si="23"/>
        <v>0</v>
      </c>
      <c r="O125" s="14"/>
      <c r="P125" s="2">
        <f>SUM(OSRRefP22_11x_0)</f>
        <v>72156.009999999995</v>
      </c>
      <c r="Q125" s="2"/>
      <c r="R125" s="6">
        <f t="shared" si="24"/>
        <v>1.6245006196722905E-2</v>
      </c>
      <c r="S125" s="2"/>
      <c r="T125" s="2">
        <f>SUM(OSRRefT22_11x_0)</f>
        <v>35159.06</v>
      </c>
      <c r="U125" s="2"/>
      <c r="V125" s="6">
        <f t="shared" si="25"/>
        <v>1.7310295956321463E-2</v>
      </c>
      <c r="W125" s="2"/>
      <c r="X125" s="2">
        <f t="shared" si="26"/>
        <v>36996.949999999997</v>
      </c>
      <c r="Y125" s="2"/>
      <c r="Z125" s="6">
        <f t="shared" si="27"/>
        <v>1.0522735818306861</v>
      </c>
    </row>
    <row r="126" spans="1:26" s="69" customFormat="1" ht="15" hidden="1" customHeight="1" outlineLevel="2" x14ac:dyDescent="0.25">
      <c r="A126" s="25"/>
      <c r="B126" s="12" t="str">
        <f>CONCATENATE("          ","6253"," - ","ROYALTY DUE ATHLETICS-LRG")</f>
        <v xml:space="preserve">          6253 - ROYALTY DUE ATHLETICS-LRG</v>
      </c>
      <c r="C126" s="12"/>
      <c r="D126" s="7">
        <v>-3708.97</v>
      </c>
      <c r="E126" s="3"/>
      <c r="F126" s="8">
        <f t="shared" si="20"/>
        <v>-5.009341437124018E-3</v>
      </c>
      <c r="G126" s="3"/>
      <c r="H126" s="7"/>
      <c r="I126" s="3"/>
      <c r="J126" s="8">
        <f t="shared" si="21"/>
        <v>0</v>
      </c>
      <c r="K126" s="3"/>
      <c r="L126" s="7">
        <f t="shared" si="22"/>
        <v>-3708.97</v>
      </c>
      <c r="M126" s="3"/>
      <c r="N126" s="8">
        <f t="shared" si="23"/>
        <v>0</v>
      </c>
      <c r="O126" s="12"/>
      <c r="P126" s="7">
        <v>51456.52</v>
      </c>
      <c r="Q126" s="3"/>
      <c r="R126" s="8">
        <f t="shared" si="24"/>
        <v>1.1584779788430597E-2</v>
      </c>
      <c r="S126" s="3"/>
      <c r="T126" s="7">
        <v>35159.06</v>
      </c>
      <c r="U126" s="3"/>
      <c r="V126" s="8">
        <f t="shared" si="25"/>
        <v>1.7310295956321463E-2</v>
      </c>
      <c r="W126" s="3"/>
      <c r="X126" s="7">
        <f t="shared" si="26"/>
        <v>16297.46</v>
      </c>
      <c r="Y126" s="3"/>
      <c r="Z126" s="8">
        <f t="shared" si="27"/>
        <v>0.46353514570639831</v>
      </c>
    </row>
    <row r="127" spans="1:26" s="69" customFormat="1" ht="15" hidden="1" customHeight="1" outlineLevel="2" x14ac:dyDescent="0.25">
      <c r="A127" s="25"/>
      <c r="B127" s="12" t="str">
        <f>CONCATENATE("          ","6254"," - ","ROYALTY &amp; COMMISSIONS")</f>
        <v xml:space="preserve">          6254 - ROYALTY &amp; COMMISSIONS</v>
      </c>
      <c r="C127" s="12"/>
      <c r="D127" s="7">
        <v>6293.1</v>
      </c>
      <c r="E127" s="3"/>
      <c r="F127" s="8">
        <f t="shared" si="20"/>
        <v>8.4994719822390468E-3</v>
      </c>
      <c r="G127" s="3"/>
      <c r="H127" s="7"/>
      <c r="I127" s="3"/>
      <c r="J127" s="8">
        <f t="shared" si="21"/>
        <v>0</v>
      </c>
      <c r="K127" s="3"/>
      <c r="L127" s="7">
        <f t="shared" si="22"/>
        <v>6293.1</v>
      </c>
      <c r="M127" s="3"/>
      <c r="N127" s="8">
        <f t="shared" si="23"/>
        <v>0</v>
      </c>
      <c r="O127" s="12"/>
      <c r="P127" s="7">
        <v>20699.490000000002</v>
      </c>
      <c r="Q127" s="3"/>
      <c r="R127" s="8">
        <f t="shared" si="24"/>
        <v>4.660226408292307E-3</v>
      </c>
      <c r="S127" s="3"/>
      <c r="T127" s="7"/>
      <c r="U127" s="3"/>
      <c r="V127" s="8">
        <f t="shared" si="25"/>
        <v>0</v>
      </c>
      <c r="W127" s="3"/>
      <c r="X127" s="7">
        <f t="shared" si="26"/>
        <v>20699.490000000002</v>
      </c>
      <c r="Y127" s="3"/>
      <c r="Z127" s="8">
        <f t="shared" si="27"/>
        <v>0</v>
      </c>
    </row>
    <row r="128" spans="1:26" s="68" customFormat="1" ht="15" customHeight="1" outlineLevel="1" collapsed="1" x14ac:dyDescent="0.25">
      <c r="A128" s="26"/>
      <c r="B128" s="14" t="str">
        <f>CONCATENATE("     ","Subscriptions &amp; Dues                              ")</f>
        <v xml:space="preserve">     Subscriptions &amp; Dues                              </v>
      </c>
      <c r="C128" s="14"/>
      <c r="D128" s="2">
        <f>SUM(OSRRefD22_12x_0)</f>
        <v>0</v>
      </c>
      <c r="E128" s="2"/>
      <c r="F128" s="6">
        <f t="shared" si="20"/>
        <v>0</v>
      </c>
      <c r="G128" s="2"/>
      <c r="H128" s="2">
        <f>SUM(OSRRefH22_12x_0)</f>
        <v>25.15</v>
      </c>
      <c r="I128" s="2"/>
      <c r="J128" s="6">
        <f t="shared" si="21"/>
        <v>6.3603556478213154E-5</v>
      </c>
      <c r="K128" s="2"/>
      <c r="L128" s="2">
        <f t="shared" si="22"/>
        <v>-25.15</v>
      </c>
      <c r="M128" s="2"/>
      <c r="N128" s="6">
        <f t="shared" si="23"/>
        <v>-1</v>
      </c>
      <c r="O128" s="14"/>
      <c r="P128" s="2">
        <f>SUM(OSRRefP22_12x_0)</f>
        <v>125</v>
      </c>
      <c r="Q128" s="2"/>
      <c r="R128" s="6">
        <f t="shared" si="24"/>
        <v>2.8142157175685894E-5</v>
      </c>
      <c r="S128" s="2"/>
      <c r="T128" s="2">
        <f>SUM(OSRRefT22_12x_0)</f>
        <v>-206.41999999999996</v>
      </c>
      <c r="U128" s="2"/>
      <c r="V128" s="6">
        <f t="shared" si="25"/>
        <v>-1.0162931805639502E-4</v>
      </c>
      <c r="W128" s="2"/>
      <c r="X128" s="2">
        <f t="shared" si="26"/>
        <v>331.41999999999996</v>
      </c>
      <c r="Y128" s="2"/>
      <c r="Z128" s="6">
        <f t="shared" si="27"/>
        <v>-1.6055614766011046</v>
      </c>
    </row>
    <row r="129" spans="1:26" s="69" customFormat="1" ht="15" hidden="1" customHeight="1" outlineLevel="2" x14ac:dyDescent="0.25">
      <c r="A129" s="25"/>
      <c r="B129" s="12" t="str">
        <f>CONCATENATE("          ","6258"," - ","MEMBERSHIP DUES")</f>
        <v xml:space="preserve">          6258 - MEMBERSHIP DUES</v>
      </c>
      <c r="C129" s="12"/>
      <c r="D129" s="7"/>
      <c r="E129" s="3"/>
      <c r="F129" s="8">
        <f t="shared" si="20"/>
        <v>0</v>
      </c>
      <c r="G129" s="3"/>
      <c r="H129" s="7">
        <v>25.15</v>
      </c>
      <c r="I129" s="3"/>
      <c r="J129" s="8">
        <f t="shared" si="21"/>
        <v>6.3603556478213154E-5</v>
      </c>
      <c r="K129" s="3"/>
      <c r="L129" s="7">
        <f t="shared" si="22"/>
        <v>-25.15</v>
      </c>
      <c r="M129" s="3"/>
      <c r="N129" s="8">
        <f t="shared" si="23"/>
        <v>-1</v>
      </c>
      <c r="O129" s="12"/>
      <c r="P129" s="7">
        <v>125</v>
      </c>
      <c r="Q129" s="3"/>
      <c r="R129" s="8">
        <f t="shared" si="24"/>
        <v>2.8142157175685894E-5</v>
      </c>
      <c r="S129" s="3"/>
      <c r="T129" s="7">
        <v>-282.14999999999998</v>
      </c>
      <c r="U129" s="3"/>
      <c r="V129" s="8">
        <f t="shared" si="25"/>
        <v>-1.3891440795277523E-4</v>
      </c>
      <c r="W129" s="3"/>
      <c r="X129" s="7">
        <f t="shared" si="26"/>
        <v>407.15</v>
      </c>
      <c r="Y129" s="3"/>
      <c r="Z129" s="8">
        <f t="shared" si="27"/>
        <v>-1.4430267588162324</v>
      </c>
    </row>
    <row r="130" spans="1:26" s="69" customFormat="1" ht="15" hidden="1" customHeight="1" outlineLevel="2" x14ac:dyDescent="0.25">
      <c r="A130" s="25"/>
      <c r="B130" s="12" t="str">
        <f>CONCATENATE("          ","6275"," - ","SUBSCRIPTIONS")</f>
        <v xml:space="preserve">          6275 - SUBSCRIPTIONS</v>
      </c>
      <c r="C130" s="12"/>
      <c r="D130" s="7"/>
      <c r="E130" s="3"/>
      <c r="F130" s="8">
        <f t="shared" si="20"/>
        <v>0</v>
      </c>
      <c r="G130" s="3"/>
      <c r="H130" s="7"/>
      <c r="I130" s="3"/>
      <c r="J130" s="8">
        <f t="shared" si="21"/>
        <v>0</v>
      </c>
      <c r="K130" s="3"/>
      <c r="L130" s="7">
        <f t="shared" si="22"/>
        <v>0</v>
      </c>
      <c r="M130" s="3"/>
      <c r="N130" s="8">
        <f t="shared" si="23"/>
        <v>0</v>
      </c>
      <c r="O130" s="12"/>
      <c r="P130" s="7"/>
      <c r="Q130" s="3"/>
      <c r="R130" s="8">
        <f t="shared" si="24"/>
        <v>0</v>
      </c>
      <c r="S130" s="3"/>
      <c r="T130" s="7">
        <v>75.73</v>
      </c>
      <c r="U130" s="3"/>
      <c r="V130" s="8">
        <f t="shared" si="25"/>
        <v>3.7285089896380182E-5</v>
      </c>
      <c r="W130" s="3"/>
      <c r="X130" s="7">
        <f t="shared" si="26"/>
        <v>-75.73</v>
      </c>
      <c r="Y130" s="3"/>
      <c r="Z130" s="8">
        <f t="shared" si="27"/>
        <v>-1</v>
      </c>
    </row>
    <row r="131" spans="1:26" s="68" customFormat="1" ht="15" customHeight="1" outlineLevel="1" collapsed="1" x14ac:dyDescent="0.25">
      <c r="A131" s="26"/>
      <c r="B131" s="14" t="str">
        <f>CONCATENATE("     ","Supplies                                          ")</f>
        <v xml:space="preserve">     Supplies                                          </v>
      </c>
      <c r="C131" s="14"/>
      <c r="D131" s="2">
        <f>SUM(OSRRefD22_13x_0)</f>
        <v>3052.13</v>
      </c>
      <c r="E131" s="2"/>
      <c r="F131" s="6">
        <f t="shared" si="20"/>
        <v>4.1222121722444046E-3</v>
      </c>
      <c r="G131" s="2"/>
      <c r="H131" s="2">
        <f>SUM(OSRRefH22_13x_0)</f>
        <v>51.7</v>
      </c>
      <c r="I131" s="2"/>
      <c r="J131" s="6">
        <f t="shared" si="21"/>
        <v>1.307476687842394E-4</v>
      </c>
      <c r="K131" s="2"/>
      <c r="L131" s="2">
        <f t="shared" si="22"/>
        <v>3000.4300000000003</v>
      </c>
      <c r="M131" s="2"/>
      <c r="N131" s="6">
        <f t="shared" si="23"/>
        <v>58.035396518375244</v>
      </c>
      <c r="O131" s="14"/>
      <c r="P131" s="2">
        <f>SUM(OSRRefP22_13x_0)</f>
        <v>11446.14</v>
      </c>
      <c r="Q131" s="2"/>
      <c r="R131" s="6">
        <f t="shared" si="24"/>
        <v>2.5769525674792424E-3</v>
      </c>
      <c r="S131" s="2"/>
      <c r="T131" s="2">
        <f>SUM(OSRRefT22_13x_0)</f>
        <v>3811.53</v>
      </c>
      <c r="U131" s="2"/>
      <c r="V131" s="6">
        <f t="shared" si="25"/>
        <v>1.8765778250726258E-3</v>
      </c>
      <c r="W131" s="2"/>
      <c r="X131" s="2">
        <f t="shared" si="26"/>
        <v>7634.6099999999988</v>
      </c>
      <c r="Y131" s="2"/>
      <c r="Z131" s="6">
        <f t="shared" si="27"/>
        <v>2.0030302791792267</v>
      </c>
    </row>
    <row r="132" spans="1:26" s="69" customFormat="1" ht="15" hidden="1" customHeight="1" outlineLevel="2" x14ac:dyDescent="0.25">
      <c r="A132" s="25"/>
      <c r="B132" s="12" t="str">
        <f>CONCATENATE("          ","6234"," - ","EXPENDABLE SUPPLIES &amp; EQUIPMEN")</f>
        <v xml:space="preserve">          6234 - EXPENDABLE SUPPLIES &amp; EQUIPMEN</v>
      </c>
      <c r="C132" s="12"/>
      <c r="D132" s="7"/>
      <c r="E132" s="3"/>
      <c r="F132" s="8">
        <f t="shared" si="20"/>
        <v>0</v>
      </c>
      <c r="G132" s="3"/>
      <c r="H132" s="7"/>
      <c r="I132" s="3"/>
      <c r="J132" s="8">
        <f t="shared" si="21"/>
        <v>0</v>
      </c>
      <c r="K132" s="3"/>
      <c r="L132" s="7">
        <f t="shared" si="22"/>
        <v>0</v>
      </c>
      <c r="M132" s="3"/>
      <c r="N132" s="8">
        <f t="shared" si="23"/>
        <v>0</v>
      </c>
      <c r="O132" s="12"/>
      <c r="P132" s="7"/>
      <c r="Q132" s="3"/>
      <c r="R132" s="8">
        <f t="shared" si="24"/>
        <v>0</v>
      </c>
      <c r="S132" s="3"/>
      <c r="T132" s="7">
        <v>449.5</v>
      </c>
      <c r="U132" s="3"/>
      <c r="V132" s="8">
        <f t="shared" si="25"/>
        <v>2.2130790846986519E-4</v>
      </c>
      <c r="W132" s="3"/>
      <c r="X132" s="7">
        <f t="shared" si="26"/>
        <v>-449.5</v>
      </c>
      <c r="Y132" s="3"/>
      <c r="Z132" s="8">
        <f t="shared" si="27"/>
        <v>-1</v>
      </c>
    </row>
    <row r="133" spans="1:26" s="69" customFormat="1" ht="15" hidden="1" customHeight="1" outlineLevel="2" x14ac:dyDescent="0.25">
      <c r="A133" s="25"/>
      <c r="B133" s="12" t="str">
        <f>CONCATENATE("          ","6235"," - ","COVID-19 EXPENSES")</f>
        <v xml:space="preserve">          6235 - COVID-19 EXPENSES</v>
      </c>
      <c r="C133" s="12"/>
      <c r="D133" s="7"/>
      <c r="E133" s="3"/>
      <c r="F133" s="8">
        <f t="shared" si="20"/>
        <v>0</v>
      </c>
      <c r="G133" s="3"/>
      <c r="H133" s="7"/>
      <c r="I133" s="3"/>
      <c r="J133" s="8">
        <f t="shared" si="21"/>
        <v>0</v>
      </c>
      <c r="K133" s="3"/>
      <c r="L133" s="7">
        <f t="shared" si="22"/>
        <v>0</v>
      </c>
      <c r="M133" s="3"/>
      <c r="N133" s="8">
        <f t="shared" si="23"/>
        <v>0</v>
      </c>
      <c r="O133" s="12"/>
      <c r="P133" s="7"/>
      <c r="Q133" s="3"/>
      <c r="R133" s="8">
        <f t="shared" si="24"/>
        <v>0</v>
      </c>
      <c r="S133" s="3"/>
      <c r="T133" s="7">
        <v>1026.43</v>
      </c>
      <c r="U133" s="3"/>
      <c r="V133" s="8">
        <f t="shared" si="25"/>
        <v>5.0535500887813963E-4</v>
      </c>
      <c r="W133" s="3"/>
      <c r="X133" s="7">
        <f t="shared" si="26"/>
        <v>-1026.43</v>
      </c>
      <c r="Y133" s="3"/>
      <c r="Z133" s="8">
        <f t="shared" si="27"/>
        <v>-1</v>
      </c>
    </row>
    <row r="134" spans="1:26" s="69" customFormat="1" ht="15" hidden="1" customHeight="1" outlineLevel="2" x14ac:dyDescent="0.25">
      <c r="A134" s="25"/>
      <c r="B134" s="12" t="str">
        <f>CONCATENATE("          ","6241"," - ","OFFICE EXPENSE")</f>
        <v xml:space="preserve">          6241 - OFFICE EXPENSE</v>
      </c>
      <c r="C134" s="12"/>
      <c r="D134" s="7">
        <v>139.19</v>
      </c>
      <c r="E134" s="3"/>
      <c r="F134" s="8">
        <f t="shared" si="20"/>
        <v>1.8799026000029443E-4</v>
      </c>
      <c r="G134" s="3"/>
      <c r="H134" s="7">
        <v>51.7</v>
      </c>
      <c r="I134" s="3"/>
      <c r="J134" s="8">
        <f t="shared" si="21"/>
        <v>1.307476687842394E-4</v>
      </c>
      <c r="K134" s="3"/>
      <c r="L134" s="7">
        <f t="shared" si="22"/>
        <v>87.49</v>
      </c>
      <c r="M134" s="3"/>
      <c r="N134" s="8">
        <f t="shared" si="23"/>
        <v>1.6922630560928431</v>
      </c>
      <c r="O134" s="12"/>
      <c r="P134" s="7">
        <v>2082.08</v>
      </c>
      <c r="Q134" s="3"/>
      <c r="R134" s="8">
        <f t="shared" si="24"/>
        <v>4.6875378089881667E-4</v>
      </c>
      <c r="S134" s="3"/>
      <c r="T134" s="7">
        <v>1225.3699999999999</v>
      </c>
      <c r="U134" s="3"/>
      <c r="V134" s="8">
        <f t="shared" si="25"/>
        <v>6.0330160578802824E-4</v>
      </c>
      <c r="W134" s="3"/>
      <c r="X134" s="7">
        <f t="shared" si="26"/>
        <v>856.71</v>
      </c>
      <c r="Y134" s="3"/>
      <c r="Z134" s="8">
        <f t="shared" si="27"/>
        <v>0.69914393203685432</v>
      </c>
    </row>
    <row r="135" spans="1:26" s="69" customFormat="1" ht="15" hidden="1" customHeight="1" outlineLevel="2" x14ac:dyDescent="0.25">
      <c r="A135" s="25"/>
      <c r="B135" s="12" t="str">
        <f>CONCATENATE("          ","6245"," - ","PRINTING")</f>
        <v xml:space="preserve">          6245 - PRINTING</v>
      </c>
      <c r="C135" s="12"/>
      <c r="D135" s="7"/>
      <c r="E135" s="3"/>
      <c r="F135" s="8">
        <f t="shared" si="20"/>
        <v>0</v>
      </c>
      <c r="G135" s="3"/>
      <c r="H135" s="7"/>
      <c r="I135" s="3"/>
      <c r="J135" s="8">
        <f t="shared" si="21"/>
        <v>0</v>
      </c>
      <c r="K135" s="3"/>
      <c r="L135" s="7">
        <f t="shared" si="22"/>
        <v>0</v>
      </c>
      <c r="M135" s="3"/>
      <c r="N135" s="8">
        <f t="shared" si="23"/>
        <v>0</v>
      </c>
      <c r="O135" s="12"/>
      <c r="P135" s="7">
        <v>35.549999999999997</v>
      </c>
      <c r="Q135" s="3"/>
      <c r="R135" s="8">
        <f t="shared" si="24"/>
        <v>8.003629500765067E-6</v>
      </c>
      <c r="S135" s="3"/>
      <c r="T135" s="7"/>
      <c r="U135" s="3"/>
      <c r="V135" s="8">
        <f t="shared" si="25"/>
        <v>0</v>
      </c>
      <c r="W135" s="3"/>
      <c r="X135" s="7">
        <f t="shared" si="26"/>
        <v>35.549999999999997</v>
      </c>
      <c r="Y135" s="3"/>
      <c r="Z135" s="8">
        <f t="shared" si="27"/>
        <v>0</v>
      </c>
    </row>
    <row r="136" spans="1:26" s="69" customFormat="1" ht="15" hidden="1" customHeight="1" outlineLevel="2" x14ac:dyDescent="0.25">
      <c r="A136" s="25"/>
      <c r="B136" s="12" t="str">
        <f>CONCATENATE("          ","6247"," - ","STORE SUPPLIES")</f>
        <v xml:space="preserve">          6247 - STORE SUPPLIES</v>
      </c>
      <c r="C136" s="12"/>
      <c r="D136" s="7">
        <v>2912.94</v>
      </c>
      <c r="E136" s="3"/>
      <c r="F136" s="8">
        <f t="shared" si="20"/>
        <v>3.93422191224411E-3</v>
      </c>
      <c r="G136" s="3"/>
      <c r="H136" s="7"/>
      <c r="I136" s="3"/>
      <c r="J136" s="8">
        <f t="shared" si="21"/>
        <v>0</v>
      </c>
      <c r="K136" s="3"/>
      <c r="L136" s="7">
        <f t="shared" si="22"/>
        <v>2912.94</v>
      </c>
      <c r="M136" s="3"/>
      <c r="N136" s="8">
        <f t="shared" si="23"/>
        <v>0</v>
      </c>
      <c r="O136" s="12"/>
      <c r="P136" s="7">
        <v>9328.51</v>
      </c>
      <c r="Q136" s="3"/>
      <c r="R136" s="8">
        <f t="shared" si="24"/>
        <v>2.1001951570796609E-3</v>
      </c>
      <c r="S136" s="3"/>
      <c r="T136" s="7">
        <v>1110.23</v>
      </c>
      <c r="U136" s="3"/>
      <c r="V136" s="8">
        <f t="shared" si="25"/>
        <v>5.4661330193659275E-4</v>
      </c>
      <c r="W136" s="3"/>
      <c r="X136" s="7">
        <f t="shared" si="26"/>
        <v>8218.2800000000007</v>
      </c>
      <c r="Y136" s="3"/>
      <c r="Z136" s="8">
        <f t="shared" si="27"/>
        <v>7.402322041378814</v>
      </c>
    </row>
    <row r="137" spans="1:26" s="68" customFormat="1" ht="15" customHeight="1" outlineLevel="1" collapsed="1" x14ac:dyDescent="0.25">
      <c r="A137" s="26"/>
      <c r="B137" s="14" t="str">
        <f>CONCATENATE("     ","Telephone/Data Lines                              ")</f>
        <v xml:space="preserve">     Telephone/Data Lines                              </v>
      </c>
      <c r="C137" s="14"/>
      <c r="D137" s="2">
        <f>SUM(OSRRefD22_14x_0)</f>
        <v>315.10000000000002</v>
      </c>
      <c r="E137" s="2"/>
      <c r="F137" s="6">
        <f t="shared" si="20"/>
        <v>4.2557461689843225E-4</v>
      </c>
      <c r="G137" s="2"/>
      <c r="H137" s="2">
        <f>SUM(OSRRefH22_14x_0)</f>
        <v>189.55</v>
      </c>
      <c r="I137" s="2"/>
      <c r="J137" s="6">
        <f t="shared" si="21"/>
        <v>4.7936596940140381E-4</v>
      </c>
      <c r="K137" s="2"/>
      <c r="L137" s="2">
        <f t="shared" si="22"/>
        <v>125.55000000000001</v>
      </c>
      <c r="M137" s="2"/>
      <c r="N137" s="6">
        <f t="shared" si="23"/>
        <v>0.6623582168293326</v>
      </c>
      <c r="O137" s="14"/>
      <c r="P137" s="2">
        <f>SUM(OSRRefP22_14x_0)</f>
        <v>2567.15</v>
      </c>
      <c r="Q137" s="2"/>
      <c r="R137" s="6">
        <f t="shared" si="24"/>
        <v>5.7796111034849628E-4</v>
      </c>
      <c r="S137" s="2"/>
      <c r="T137" s="2">
        <f>SUM(OSRRefT22_14x_0)</f>
        <v>3157.34</v>
      </c>
      <c r="U137" s="2"/>
      <c r="V137" s="6">
        <f t="shared" si="25"/>
        <v>1.554492350897095E-3</v>
      </c>
      <c r="W137" s="2"/>
      <c r="X137" s="2">
        <f t="shared" si="26"/>
        <v>-590.19000000000005</v>
      </c>
      <c r="Y137" s="2"/>
      <c r="Z137" s="6">
        <f t="shared" si="27"/>
        <v>-0.18692633672648495</v>
      </c>
    </row>
    <row r="138" spans="1:26" s="69" customFormat="1" ht="15" hidden="1" customHeight="1" outlineLevel="2" x14ac:dyDescent="0.25">
      <c r="A138" s="25"/>
      <c r="B138" s="12" t="str">
        <f>CONCATENATE("          ","6309"," - ","TELEPHONE")</f>
        <v xml:space="preserve">          6309 - TELEPHONE</v>
      </c>
      <c r="C138" s="12"/>
      <c r="D138" s="7">
        <v>315.10000000000002</v>
      </c>
      <c r="E138" s="3"/>
      <c r="F138" s="8">
        <f t="shared" si="20"/>
        <v>4.2557461689843225E-4</v>
      </c>
      <c r="G138" s="3"/>
      <c r="H138" s="7">
        <v>189.55</v>
      </c>
      <c r="I138" s="3"/>
      <c r="J138" s="8">
        <f t="shared" si="21"/>
        <v>4.7936596940140381E-4</v>
      </c>
      <c r="K138" s="3"/>
      <c r="L138" s="7">
        <f t="shared" si="22"/>
        <v>125.55000000000001</v>
      </c>
      <c r="M138" s="3"/>
      <c r="N138" s="8">
        <f t="shared" si="23"/>
        <v>0.6623582168293326</v>
      </c>
      <c r="O138" s="12"/>
      <c r="P138" s="7">
        <v>2567.15</v>
      </c>
      <c r="Q138" s="3"/>
      <c r="R138" s="8">
        <f t="shared" si="24"/>
        <v>5.7796111034849628E-4</v>
      </c>
      <c r="S138" s="3"/>
      <c r="T138" s="7">
        <v>3157.34</v>
      </c>
      <c r="U138" s="3"/>
      <c r="V138" s="8">
        <f t="shared" si="25"/>
        <v>1.554492350897095E-3</v>
      </c>
      <c r="W138" s="3"/>
      <c r="X138" s="7">
        <f t="shared" si="26"/>
        <v>-590.19000000000005</v>
      </c>
      <c r="Y138" s="3"/>
      <c r="Z138" s="8">
        <f t="shared" si="27"/>
        <v>-0.18692633672648495</v>
      </c>
    </row>
    <row r="139" spans="1:26" s="68" customFormat="1" ht="15" customHeight="1" outlineLevel="1" collapsed="1" x14ac:dyDescent="0.25">
      <c r="A139" s="26"/>
      <c r="B139" s="14" t="str">
        <f>CONCATENATE("     ","Training                                          ")</f>
        <v xml:space="preserve">     Training                                          </v>
      </c>
      <c r="C139" s="14"/>
      <c r="D139" s="2">
        <f>SUM(OSRRefD22_15x_0)</f>
        <v>0</v>
      </c>
      <c r="E139" s="2"/>
      <c r="F139" s="6">
        <f t="shared" si="20"/>
        <v>0</v>
      </c>
      <c r="G139" s="2"/>
      <c r="H139" s="2">
        <f>SUM(OSRRefH22_15x_0)</f>
        <v>0</v>
      </c>
      <c r="I139" s="2"/>
      <c r="J139" s="6">
        <f t="shared" si="21"/>
        <v>0</v>
      </c>
      <c r="K139" s="2"/>
      <c r="L139" s="2">
        <f t="shared" si="22"/>
        <v>0</v>
      </c>
      <c r="M139" s="2"/>
      <c r="N139" s="6">
        <f t="shared" si="23"/>
        <v>0</v>
      </c>
      <c r="O139" s="14"/>
      <c r="P139" s="2">
        <f>SUM(OSRRefP22_15x_0)</f>
        <v>300</v>
      </c>
      <c r="Q139" s="2"/>
      <c r="R139" s="6">
        <f t="shared" si="24"/>
        <v>6.754117722164614E-5</v>
      </c>
      <c r="S139" s="2"/>
      <c r="T139" s="2">
        <f>SUM(OSRRefT22_15x_0)</f>
        <v>0</v>
      </c>
      <c r="U139" s="2"/>
      <c r="V139" s="6">
        <f t="shared" si="25"/>
        <v>0</v>
      </c>
      <c r="W139" s="2"/>
      <c r="X139" s="2">
        <f t="shared" si="26"/>
        <v>300</v>
      </c>
      <c r="Y139" s="2"/>
      <c r="Z139" s="6">
        <f t="shared" si="27"/>
        <v>0</v>
      </c>
    </row>
    <row r="140" spans="1:26" s="69" customFormat="1" ht="15" hidden="1" customHeight="1" outlineLevel="2" x14ac:dyDescent="0.25">
      <c r="A140" s="25"/>
      <c r="B140" s="12" t="str">
        <f>CONCATENATE("          ","6376"," - ","TRAINING")</f>
        <v xml:space="preserve">          6376 - TRAINING</v>
      </c>
      <c r="C140" s="12"/>
      <c r="D140" s="7"/>
      <c r="E140" s="3"/>
      <c r="F140" s="8">
        <f t="shared" si="20"/>
        <v>0</v>
      </c>
      <c r="G140" s="3"/>
      <c r="H140" s="7"/>
      <c r="I140" s="3"/>
      <c r="J140" s="8">
        <f t="shared" si="21"/>
        <v>0</v>
      </c>
      <c r="K140" s="3"/>
      <c r="L140" s="7">
        <f t="shared" si="22"/>
        <v>0</v>
      </c>
      <c r="M140" s="3"/>
      <c r="N140" s="8">
        <f t="shared" si="23"/>
        <v>0</v>
      </c>
      <c r="O140" s="12"/>
      <c r="P140" s="7">
        <v>300</v>
      </c>
      <c r="Q140" s="3"/>
      <c r="R140" s="8">
        <f t="shared" si="24"/>
        <v>6.754117722164614E-5</v>
      </c>
      <c r="S140" s="3"/>
      <c r="T140" s="7"/>
      <c r="U140" s="3"/>
      <c r="V140" s="8">
        <f t="shared" si="25"/>
        <v>0</v>
      </c>
      <c r="W140" s="3"/>
      <c r="X140" s="7">
        <f t="shared" si="26"/>
        <v>300</v>
      </c>
      <c r="Y140" s="3"/>
      <c r="Z140" s="8">
        <f t="shared" si="27"/>
        <v>0</v>
      </c>
    </row>
    <row r="141" spans="1:26" s="68" customFormat="1" ht="15" customHeight="1" outlineLevel="1" collapsed="1" x14ac:dyDescent="0.25">
      <c r="A141" s="26"/>
      <c r="B141" s="14" t="str">
        <f>CONCATENATE("     ","Travel                                            ")</f>
        <v xml:space="preserve">     Travel                                            </v>
      </c>
      <c r="C141" s="14"/>
      <c r="D141" s="2">
        <f>SUM(OSRRefD22_16x_0)</f>
        <v>168.44</v>
      </c>
      <c r="E141" s="2"/>
      <c r="F141" s="6">
        <f t="shared" si="20"/>
        <v>2.2749536169588042E-4</v>
      </c>
      <c r="G141" s="2"/>
      <c r="H141" s="2">
        <f>SUM(OSRRefH22_16x_0)</f>
        <v>0</v>
      </c>
      <c r="I141" s="2"/>
      <c r="J141" s="6">
        <f t="shared" si="21"/>
        <v>0</v>
      </c>
      <c r="K141" s="2"/>
      <c r="L141" s="2">
        <f t="shared" si="22"/>
        <v>168.44</v>
      </c>
      <c r="M141" s="2"/>
      <c r="N141" s="6">
        <f t="shared" si="23"/>
        <v>0</v>
      </c>
      <c r="O141" s="14"/>
      <c r="P141" s="2">
        <f>SUM(OSRRefP22_16x_0)</f>
        <v>245.83</v>
      </c>
      <c r="Q141" s="2"/>
      <c r="R141" s="6">
        <f t="shared" si="24"/>
        <v>5.5345491987990908E-5</v>
      </c>
      <c r="S141" s="2"/>
      <c r="T141" s="2">
        <f>SUM(OSRRefT22_16x_0)</f>
        <v>113.82</v>
      </c>
      <c r="U141" s="2"/>
      <c r="V141" s="6">
        <f t="shared" si="25"/>
        <v>5.6038411884405015E-5</v>
      </c>
      <c r="W141" s="2"/>
      <c r="X141" s="2">
        <f t="shared" si="26"/>
        <v>132.01000000000002</v>
      </c>
      <c r="Y141" s="2"/>
      <c r="Z141" s="6">
        <f t="shared" si="27"/>
        <v>1.159813740994553</v>
      </c>
    </row>
    <row r="142" spans="1:26" s="69" customFormat="1" ht="15" hidden="1" customHeight="1" outlineLevel="2" x14ac:dyDescent="0.25">
      <c r="A142" s="25"/>
      <c r="B142" s="12" t="str">
        <f>CONCATENATE("          ","6294"," - ","TRAVEL OPERATIONAL")</f>
        <v xml:space="preserve">          6294 - TRAVEL OPERATIONAL</v>
      </c>
      <c r="C142" s="12"/>
      <c r="D142" s="7">
        <v>168.44</v>
      </c>
      <c r="E142" s="3"/>
      <c r="F142" s="8">
        <f t="shared" si="20"/>
        <v>2.2749536169588042E-4</v>
      </c>
      <c r="G142" s="3"/>
      <c r="H142" s="7"/>
      <c r="I142" s="3"/>
      <c r="J142" s="8">
        <f t="shared" si="21"/>
        <v>0</v>
      </c>
      <c r="K142" s="3"/>
      <c r="L142" s="7">
        <f t="shared" si="22"/>
        <v>168.44</v>
      </c>
      <c r="M142" s="3"/>
      <c r="N142" s="8">
        <f t="shared" si="23"/>
        <v>0</v>
      </c>
      <c r="O142" s="12"/>
      <c r="P142" s="7">
        <v>245.83</v>
      </c>
      <c r="Q142" s="3"/>
      <c r="R142" s="8">
        <f t="shared" si="24"/>
        <v>5.5345491987990908E-5</v>
      </c>
      <c r="S142" s="3"/>
      <c r="T142" s="7">
        <v>113.82</v>
      </c>
      <c r="U142" s="3"/>
      <c r="V142" s="8">
        <f t="shared" si="25"/>
        <v>5.6038411884405015E-5</v>
      </c>
      <c r="W142" s="3"/>
      <c r="X142" s="7">
        <f t="shared" si="26"/>
        <v>132.01000000000002</v>
      </c>
      <c r="Y142" s="3"/>
      <c r="Z142" s="8">
        <f t="shared" si="27"/>
        <v>1.159813740994553</v>
      </c>
    </row>
    <row r="143" spans="1:26" s="64" customFormat="1" ht="15" customHeight="1" x14ac:dyDescent="0.25">
      <c r="A143" s="36"/>
      <c r="B143" s="36"/>
      <c r="C143" s="36"/>
      <c r="D143" s="2"/>
      <c r="E143" s="2"/>
      <c r="F143" s="6"/>
      <c r="G143" s="2"/>
      <c r="H143" s="2"/>
      <c r="I143" s="2"/>
      <c r="J143" s="6"/>
      <c r="K143" s="2"/>
      <c r="L143" s="2"/>
      <c r="M143" s="2"/>
      <c r="N143" s="6"/>
      <c r="O143" s="36"/>
      <c r="P143" s="2"/>
      <c r="Q143" s="2"/>
      <c r="R143" s="6"/>
      <c r="S143" s="2"/>
      <c r="T143" s="2"/>
      <c r="U143" s="2"/>
      <c r="V143" s="6"/>
      <c r="W143" s="2"/>
      <c r="X143" s="2"/>
      <c r="Y143" s="2"/>
      <c r="Z143" s="6"/>
    </row>
    <row r="144" spans="1:26" s="62" customFormat="1" ht="15" customHeight="1" collapsed="1" x14ac:dyDescent="0.25">
      <c r="A144" s="11"/>
      <c r="B144" s="28" t="s">
        <v>290</v>
      </c>
      <c r="C144" s="11"/>
      <c r="D144" s="5">
        <f>SUM(OSRRefD25x_0)</f>
        <v>384795</v>
      </c>
      <c r="E144" s="5"/>
      <c r="F144" s="13">
        <f>IF(D$12=0,0,D144/D$12)</f>
        <v>0.51970480707531652</v>
      </c>
      <c r="G144" s="5"/>
      <c r="H144" s="5">
        <f>SUM(OSRRefH25x_0)</f>
        <v>1862</v>
      </c>
      <c r="I144" s="5"/>
      <c r="J144" s="13">
        <f>IF(H$12=0,0,H144/H$12)</f>
        <v>4.708939250991368E-3</v>
      </c>
      <c r="K144" s="5"/>
      <c r="L144" s="5">
        <f>+D144-H144</f>
        <v>382933</v>
      </c>
      <c r="M144" s="5"/>
      <c r="N144" s="13">
        <f>IF(H144=0,0,L144/H144)</f>
        <v>205.65682062298603</v>
      </c>
      <c r="O144" s="11"/>
      <c r="P144" s="5">
        <f>SUM(OSRRefP25x_0)</f>
        <v>752375.02999999991</v>
      </c>
      <c r="Q144" s="5"/>
      <c r="R144" s="13">
        <f>IF(P$12=0,0,P144/P$12)</f>
        <v>0.1693876507945711</v>
      </c>
      <c r="S144" s="5"/>
      <c r="T144" s="5">
        <f>SUM(OSRRefT25x_0)</f>
        <v>412686.77999999997</v>
      </c>
      <c r="U144" s="5"/>
      <c r="V144" s="13">
        <f>IF(T$12=0,0,T144/T$12)</f>
        <v>0.2031831994103746</v>
      </c>
      <c r="W144" s="5"/>
      <c r="X144" s="5">
        <f>+P144-T144</f>
        <v>339688.24999999994</v>
      </c>
      <c r="Y144" s="5"/>
      <c r="Z144" s="13">
        <f>IF(T144=0,0,X144/T144)</f>
        <v>0.82311396066527731</v>
      </c>
    </row>
    <row r="145" spans="1:26" s="69" customFormat="1" ht="15" hidden="1" customHeight="1" outlineLevel="1" x14ac:dyDescent="0.25">
      <c r="A145" s="42"/>
      <c r="B145" s="12" t="str">
        <f>CONCATENATE("          ","4098"," - ","TAXABLE SALES-GRAD RENTALS")</f>
        <v xml:space="preserve">          4098 - TAXABLE SALES-GRAD RENTALS</v>
      </c>
      <c r="C145" s="12"/>
      <c r="D145" s="3">
        <f>0</f>
        <v>0</v>
      </c>
      <c r="E145" s="3"/>
      <c r="F145" s="20">
        <f>IF(D$12=0,0,D145/D$12)</f>
        <v>0</v>
      </c>
      <c r="G145" s="3"/>
      <c r="H145" s="3">
        <f>0</f>
        <v>0</v>
      </c>
      <c r="I145" s="3"/>
      <c r="J145" s="20">
        <f>IF(H$12=0,0,H145/H$12)</f>
        <v>0</v>
      </c>
      <c r="K145" s="3"/>
      <c r="L145" s="3">
        <f>+D145-H145</f>
        <v>0</v>
      </c>
      <c r="M145" s="3"/>
      <c r="N145" s="20">
        <f>IF(H145=0,0,L145/H145)</f>
        <v>0</v>
      </c>
      <c r="O145" s="12"/>
      <c r="P145" s="3">
        <f>0</f>
        <v>0</v>
      </c>
      <c r="Q145" s="3"/>
      <c r="R145" s="20">
        <f>IF(P$12=0,0,P145/P$12)</f>
        <v>0</v>
      </c>
      <c r="S145" s="3"/>
      <c r="T145" s="3">
        <f>--49.95</f>
        <v>49.95</v>
      </c>
      <c r="U145" s="3"/>
      <c r="V145" s="20">
        <f>IF(T$12=0,0,T145/T$12)</f>
        <v>2.4592502843314277E-5</v>
      </c>
      <c r="W145" s="3"/>
      <c r="X145" s="3">
        <f>+P145-T145</f>
        <v>-49.95</v>
      </c>
      <c r="Y145" s="3"/>
      <c r="Z145" s="20">
        <f>IF(T145=0,0,X145/T145)</f>
        <v>-1</v>
      </c>
    </row>
    <row r="146" spans="1:26" s="69" customFormat="1" ht="15" hidden="1" customHeight="1" outlineLevel="1" x14ac:dyDescent="0.25">
      <c r="A146" s="42"/>
      <c r="B146" s="12" t="str">
        <f>CONCATENATE("          ","9150"," - ","MISC. INCOME")</f>
        <v xml:space="preserve">          9150 - MISC. INCOME</v>
      </c>
      <c r="C146" s="12"/>
      <c r="D146" s="3">
        <f>--145</f>
        <v>145</v>
      </c>
      <c r="E146" s="3"/>
      <c r="F146" s="20">
        <f>IF(D$12=0,0,D146/D$12)</f>
        <v>1.9583725626871681E-4</v>
      </c>
      <c r="G146" s="3"/>
      <c r="H146" s="3">
        <f>0</f>
        <v>0</v>
      </c>
      <c r="I146" s="3"/>
      <c r="J146" s="20">
        <f>IF(H$12=0,0,H146/H$12)</f>
        <v>0</v>
      </c>
      <c r="K146" s="3"/>
      <c r="L146" s="3">
        <f>+D146-H146</f>
        <v>145</v>
      </c>
      <c r="M146" s="3"/>
      <c r="N146" s="20">
        <f>IF(H146=0,0,L146/H146)</f>
        <v>0</v>
      </c>
      <c r="O146" s="12"/>
      <c r="P146" s="3">
        <f>--110905.33</f>
        <v>110905.33</v>
      </c>
      <c r="Q146" s="3"/>
      <c r="R146" s="20">
        <f>IF(P$12=0,0,P146/P$12)</f>
        <v>2.4968921827850495E-2</v>
      </c>
      <c r="S146" s="3"/>
      <c r="T146" s="3">
        <f>--64296.27</f>
        <v>64296.27</v>
      </c>
      <c r="U146" s="3"/>
      <c r="V146" s="20">
        <f>IF(T$12=0,0,T146/T$12)</f>
        <v>3.1655779835625668E-2</v>
      </c>
      <c r="W146" s="3"/>
      <c r="X146" s="3">
        <f>+P146-T146</f>
        <v>46609.060000000005</v>
      </c>
      <c r="Y146" s="3"/>
      <c r="Z146" s="20">
        <f>IF(T146=0,0,X146/T146)</f>
        <v>0.72491079187019725</v>
      </c>
    </row>
    <row r="147" spans="1:26" s="69" customFormat="1" ht="15" hidden="1" customHeight="1" outlineLevel="1" x14ac:dyDescent="0.25">
      <c r="A147" s="42"/>
      <c r="B147" s="12" t="str">
        <f>CONCATENATE("          ","9163"," - ","MISC. INCOME")</f>
        <v xml:space="preserve">          9163 - MISC. INCOME</v>
      </c>
      <c r="C147" s="12"/>
      <c r="D147" s="3">
        <f>--384650</f>
        <v>384650</v>
      </c>
      <c r="E147" s="3"/>
      <c r="F147" s="20">
        <f>IF(D$12=0,0,D147/D$12)</f>
        <v>0.51950896981904771</v>
      </c>
      <c r="G147" s="3"/>
      <c r="H147" s="3">
        <f>--1862</f>
        <v>1862</v>
      </c>
      <c r="I147" s="3"/>
      <c r="J147" s="20">
        <f>IF(H$12=0,0,H147/H$12)</f>
        <v>4.708939250991368E-3</v>
      </c>
      <c r="K147" s="3"/>
      <c r="L147" s="3">
        <f>+D147-H147</f>
        <v>382788</v>
      </c>
      <c r="M147" s="3"/>
      <c r="N147" s="20">
        <f>IF(H147=0,0,L147/H147)</f>
        <v>205.57894736842104</v>
      </c>
      <c r="O147" s="12"/>
      <c r="P147" s="3">
        <f>--641469.7</f>
        <v>641469.69999999995</v>
      </c>
      <c r="Q147" s="3"/>
      <c r="R147" s="20">
        <f>IF(P$12=0,0,P147/P$12)</f>
        <v>0.14441872896672062</v>
      </c>
      <c r="S147" s="3"/>
      <c r="T147" s="3">
        <f>--348340.56</f>
        <v>348340.56</v>
      </c>
      <c r="U147" s="3"/>
      <c r="V147" s="20">
        <f>IF(T$12=0,0,T147/T$12)</f>
        <v>0.17150282707190564</v>
      </c>
      <c r="W147" s="3"/>
      <c r="X147" s="3">
        <f>+P147-T147</f>
        <v>293129.13999999996</v>
      </c>
      <c r="Y147" s="3"/>
      <c r="Z147" s="20">
        <f>IF(T147=0,0,X147/T147)</f>
        <v>0.84150160406241514</v>
      </c>
    </row>
    <row r="148" spans="1:26" ht="15" customHeight="1" x14ac:dyDescent="0.25">
      <c r="A148" s="10"/>
      <c r="B148" s="11"/>
      <c r="C148" s="11"/>
      <c r="D148" s="4"/>
      <c r="E148" s="4"/>
      <c r="F148" s="9"/>
      <c r="G148" s="4"/>
      <c r="H148" s="4"/>
      <c r="I148" s="4"/>
      <c r="J148" s="9"/>
      <c r="K148" s="4"/>
      <c r="L148" s="4"/>
      <c r="M148" s="4"/>
      <c r="N148" s="9"/>
      <c r="O148" s="11"/>
      <c r="P148" s="4"/>
      <c r="Q148" s="4"/>
      <c r="R148" s="9"/>
      <c r="S148" s="4"/>
      <c r="T148" s="4"/>
      <c r="U148" s="4"/>
      <c r="V148" s="9"/>
      <c r="W148" s="4"/>
      <c r="X148" s="4"/>
      <c r="Y148" s="4"/>
      <c r="Z148" s="9"/>
    </row>
    <row r="149" spans="1:26" s="62" customFormat="1" ht="15" customHeight="1" x14ac:dyDescent="0.25">
      <c r="A149" s="11"/>
      <c r="B149" s="27" t="s">
        <v>291</v>
      </c>
      <c r="C149" s="27"/>
      <c r="D149" s="22">
        <f>+D84-D86+D144</f>
        <v>710588.45</v>
      </c>
      <c r="E149" s="15"/>
      <c r="F149" s="23">
        <f>IF(D$12=0,0,D149/D$12)</f>
        <v>0.95972201644303623</v>
      </c>
      <c r="G149" s="15"/>
      <c r="H149" s="22">
        <f>+H84-H86+H144</f>
        <v>176332.73</v>
      </c>
      <c r="I149" s="15"/>
      <c r="J149" s="23">
        <f>IF(H$12=0,0,H149/H$12)</f>
        <v>0.44593991059691901</v>
      </c>
      <c r="K149" s="16"/>
      <c r="L149" s="22">
        <f>+D149-H149</f>
        <v>534255.72</v>
      </c>
      <c r="M149" s="16"/>
      <c r="N149" s="23">
        <f>IF(H149=0,0,L149/H149)</f>
        <v>3.0298159621302294</v>
      </c>
      <c r="O149" s="28"/>
      <c r="P149" s="22">
        <f>+P84-P86+P144</f>
        <v>2178463.6499999985</v>
      </c>
      <c r="Q149" s="15"/>
      <c r="R149" s="23">
        <f>IF(P$12=0,0,P149/P$12)</f>
        <v>0.4904533315185467</v>
      </c>
      <c r="S149" s="15"/>
      <c r="T149" s="22">
        <f>+T84-T86+T144</f>
        <v>835093.69000000088</v>
      </c>
      <c r="U149" s="15"/>
      <c r="V149" s="23">
        <f>IF(T$12=0,0,T149/T$12)</f>
        <v>0.41115203094612274</v>
      </c>
      <c r="W149" s="16"/>
      <c r="X149" s="22">
        <f>+P149-T149</f>
        <v>1343369.9599999976</v>
      </c>
      <c r="Y149" s="16"/>
      <c r="Z149" s="23">
        <f>IF(T149=0,0,X149/T149)</f>
        <v>1.6086458035624676</v>
      </c>
    </row>
    <row r="150" spans="1:26" ht="15" customHeight="1" x14ac:dyDescent="0.25">
      <c r="A150" s="10"/>
      <c r="B150" s="11"/>
      <c r="C150" s="10"/>
      <c r="D150" s="4"/>
      <c r="E150" s="4"/>
      <c r="F150" s="9"/>
      <c r="G150" s="4"/>
      <c r="H150" s="4"/>
      <c r="I150" s="4"/>
      <c r="J150" s="9"/>
      <c r="K150" s="4"/>
      <c r="L150" s="4"/>
      <c r="M150" s="4"/>
      <c r="N150" s="9"/>
      <c r="P150" s="4"/>
      <c r="Q150" s="4"/>
      <c r="R150" s="9"/>
      <c r="S150" s="4"/>
      <c r="T150" s="4"/>
      <c r="U150" s="4"/>
      <c r="V150" s="9"/>
      <c r="W150" s="4"/>
      <c r="X150" s="4"/>
      <c r="Y150" s="4"/>
      <c r="Z150" s="9"/>
    </row>
    <row r="151" spans="1:26" s="62" customFormat="1" ht="15" customHeight="1" x14ac:dyDescent="0.25">
      <c r="A151" s="48"/>
      <c r="B151" s="11" t="s">
        <v>292</v>
      </c>
      <c r="C151" s="11"/>
      <c r="D151" s="5">
        <v>80063.25</v>
      </c>
      <c r="E151" s="5"/>
      <c r="F151" s="13">
        <f>IF(D$12=0,0,D151/D$12)</f>
        <v>0.10813356695142305</v>
      </c>
      <c r="G151" s="5"/>
      <c r="H151" s="5">
        <v>91835.56</v>
      </c>
      <c r="I151" s="5"/>
      <c r="J151" s="13">
        <f>IF(H$12=0,0,H151/H$12)</f>
        <v>0.23224923368462558</v>
      </c>
      <c r="K151" s="5"/>
      <c r="L151" s="5">
        <f>+D151-H151</f>
        <v>-11772.309999999998</v>
      </c>
      <c r="M151" s="5"/>
      <c r="N151" s="13">
        <f>IF(H151=0,0,L151/H151)</f>
        <v>-0.12818901523549264</v>
      </c>
      <c r="O151" s="11"/>
      <c r="P151" s="5">
        <v>499363.61</v>
      </c>
      <c r="Q151" s="5"/>
      <c r="R151" s="13">
        <f>IF(P$12=0,0,P151/P$12)</f>
        <v>0.11242535360350329</v>
      </c>
      <c r="S151" s="5"/>
      <c r="T151" s="5">
        <v>434028.27</v>
      </c>
      <c r="U151" s="5"/>
      <c r="V151" s="13">
        <f>IF(T$12=0,0,T151/T$12)</f>
        <v>0.21369051980087642</v>
      </c>
      <c r="W151" s="5"/>
      <c r="X151" s="5">
        <f>+P151-T151</f>
        <v>65335.339999999967</v>
      </c>
      <c r="Y151" s="5"/>
      <c r="Z151" s="13">
        <f>IF(T151=0,0,X151/T151)</f>
        <v>0.15053245264415602</v>
      </c>
    </row>
    <row r="152" spans="1:26" ht="15" customHeight="1" x14ac:dyDescent="0.25">
      <c r="A152" s="10"/>
      <c r="B152" s="11"/>
      <c r="C152" s="11"/>
      <c r="D152" s="4"/>
      <c r="E152" s="4"/>
      <c r="F152" s="9"/>
      <c r="G152" s="4"/>
      <c r="H152" s="4"/>
      <c r="I152" s="4"/>
      <c r="J152" s="9"/>
      <c r="K152" s="4"/>
      <c r="L152" s="4"/>
      <c r="M152" s="4"/>
      <c r="N152" s="9"/>
      <c r="O152" s="11"/>
      <c r="P152" s="4"/>
      <c r="Q152" s="4"/>
      <c r="R152" s="9"/>
      <c r="S152" s="4"/>
      <c r="T152" s="4"/>
      <c r="U152" s="4"/>
      <c r="V152" s="9"/>
      <c r="W152" s="4"/>
      <c r="X152" s="4"/>
      <c r="Y152" s="4"/>
      <c r="Z152" s="9"/>
    </row>
    <row r="153" spans="1:26" s="62" customFormat="1" ht="15" customHeight="1" x14ac:dyDescent="0.25">
      <c r="A153" s="11"/>
      <c r="B153" s="27" t="s">
        <v>293</v>
      </c>
      <c r="C153" s="27"/>
      <c r="D153" s="35">
        <f>+D149-D151</f>
        <v>630525.19999999995</v>
      </c>
      <c r="E153" s="15"/>
      <c r="F153" s="30">
        <f>IF(D$12=0,0,D153/D$12)</f>
        <v>0.85158844949161328</v>
      </c>
      <c r="G153" s="15"/>
      <c r="H153" s="35">
        <f>+H149-H151</f>
        <v>84497.170000000013</v>
      </c>
      <c r="I153" s="15"/>
      <c r="J153" s="30">
        <f>IF(H$12=0,0,H153/H$12)</f>
        <v>0.21369067691229343</v>
      </c>
      <c r="K153" s="16"/>
      <c r="L153" s="35">
        <f>D153-H153</f>
        <v>546028.02999999991</v>
      </c>
      <c r="M153" s="16"/>
      <c r="N153" s="30">
        <f>IF(H153=0,0,L153/H153)</f>
        <v>6.4620866000600943</v>
      </c>
      <c r="O153" s="28"/>
      <c r="P153" s="35">
        <f>+P149-P151</f>
        <v>1679100.0399999986</v>
      </c>
      <c r="Q153" s="15"/>
      <c r="R153" s="30">
        <f>IF(P$12=0,0,P153/P$12)</f>
        <v>0.37802797791504344</v>
      </c>
      <c r="S153" s="15"/>
      <c r="T153" s="35">
        <f>+T149-T151</f>
        <v>401065.42000000086</v>
      </c>
      <c r="U153" s="15"/>
      <c r="V153" s="30">
        <f>IF(T$12=0,0,T153/T$12)</f>
        <v>0.19746151114524635</v>
      </c>
      <c r="W153" s="16"/>
      <c r="X153" s="35">
        <f>P153-T153</f>
        <v>1278034.6199999978</v>
      </c>
      <c r="Y153" s="16"/>
      <c r="Z153" s="30">
        <f>IF(T153=0,0,X153/T153)</f>
        <v>3.1865988845410684</v>
      </c>
    </row>
    <row r="154" spans="1:26" ht="15" customHeight="1" x14ac:dyDescent="0.25">
      <c r="A154" s="10"/>
      <c r="B154" s="10"/>
      <c r="C154" s="10"/>
      <c r="D154" s="4"/>
      <c r="E154" s="4"/>
      <c r="F154" s="9"/>
      <c r="G154" s="4"/>
      <c r="H154" s="4"/>
      <c r="I154" s="4"/>
      <c r="J154" s="9"/>
      <c r="K154" s="4"/>
      <c r="L154" s="4"/>
      <c r="M154" s="4"/>
      <c r="N154" s="9"/>
      <c r="P154" s="4"/>
      <c r="Q154" s="4"/>
      <c r="R154" s="9"/>
      <c r="S154" s="4"/>
      <c r="T154" s="4"/>
      <c r="U154" s="4"/>
      <c r="V154" s="9"/>
      <c r="W154" s="4"/>
      <c r="X154" s="4"/>
      <c r="Y154" s="4"/>
      <c r="Z154" s="9"/>
    </row>
    <row r="155" spans="1:26" ht="15" customHeight="1" x14ac:dyDescent="0.25">
      <c r="A155" s="10"/>
      <c r="B155" s="10"/>
      <c r="C155" s="10"/>
      <c r="D155" s="4"/>
      <c r="E155" s="4"/>
      <c r="F155" s="9"/>
      <c r="G155" s="4"/>
      <c r="H155" s="4"/>
      <c r="I155" s="4"/>
      <c r="J155" s="9"/>
      <c r="K155" s="4"/>
      <c r="L155" s="4"/>
      <c r="M155" s="4"/>
      <c r="N155" s="9"/>
      <c r="P155" s="4"/>
      <c r="Q155" s="4"/>
      <c r="R155" s="9"/>
      <c r="S155" s="4"/>
      <c r="T155" s="4"/>
      <c r="U155" s="4"/>
      <c r="V155" s="9"/>
      <c r="W155" s="4"/>
      <c r="X155" s="4"/>
      <c r="Y155" s="4"/>
      <c r="Z155" s="9"/>
    </row>
    <row r="156" spans="1:26" s="62" customFormat="1" ht="15" customHeight="1" x14ac:dyDescent="0.25">
      <c r="A156" s="11"/>
      <c r="B156" s="27" t="s">
        <v>296</v>
      </c>
      <c r="C156" s="27"/>
      <c r="D156" s="32">
        <f>SUM(D153:D155)</f>
        <v>630525.19999999995</v>
      </c>
      <c r="E156" s="15"/>
      <c r="F156" s="34">
        <f>IF(D$12=0,0,D156/D$12)</f>
        <v>0.85158844949161328</v>
      </c>
      <c r="G156" s="15"/>
      <c r="H156" s="32">
        <f>SUM(H153:H155)</f>
        <v>84497.170000000013</v>
      </c>
      <c r="I156" s="15"/>
      <c r="J156" s="34">
        <f>IF(H$12=0,0,H156/H$12)</f>
        <v>0.21369067691229343</v>
      </c>
      <c r="K156" s="16"/>
      <c r="L156" s="32">
        <f>+D156-H156</f>
        <v>546028.02999999991</v>
      </c>
      <c r="M156" s="16"/>
      <c r="N156" s="34">
        <f>IF(H156=0,0,L156/H156)</f>
        <v>6.4620866000600943</v>
      </c>
      <c r="O156" s="28"/>
      <c r="P156" s="32">
        <f>SUM(P153:P155)</f>
        <v>1679100.0399999986</v>
      </c>
      <c r="Q156" s="15"/>
      <c r="R156" s="34">
        <f>IF(P$12=0,0,P156/P$12)</f>
        <v>0.37802797791504344</v>
      </c>
      <c r="S156" s="15"/>
      <c r="T156" s="32">
        <f>SUM(T153:T155)</f>
        <v>401065.42000000086</v>
      </c>
      <c r="U156" s="15"/>
      <c r="V156" s="34">
        <f>IF(T$12=0,0,T156/T$12)</f>
        <v>0.19746151114524635</v>
      </c>
      <c r="W156" s="16"/>
      <c r="X156" s="32">
        <f>+P156-T156</f>
        <v>1278034.6199999978</v>
      </c>
      <c r="Y156" s="16"/>
      <c r="Z156" s="34">
        <f>IF(T156=0,0,X156/T156)</f>
        <v>3.1865988845410684</v>
      </c>
    </row>
    <row r="157" spans="1:26" ht="15" customHeight="1" x14ac:dyDescent="0.25">
      <c r="A157" s="10"/>
      <c r="C157" s="10"/>
      <c r="D157" s="18"/>
      <c r="E157" s="18"/>
      <c r="G157" s="18"/>
      <c r="H157" s="18"/>
      <c r="I157" s="18"/>
      <c r="J157" s="41"/>
      <c r="K157" s="18"/>
      <c r="L157" s="18"/>
      <c r="M157" s="18"/>
      <c r="P157" s="18"/>
      <c r="Q157" s="18"/>
      <c r="R157" s="41"/>
      <c r="S157" s="18"/>
      <c r="T157" s="18"/>
      <c r="U157" s="18"/>
      <c r="V157" s="41"/>
      <c r="W157" s="18"/>
      <c r="X157" s="18"/>
    </row>
    <row r="158" spans="1:26" ht="15" customHeight="1" x14ac:dyDescent="0.25">
      <c r="A158" s="10"/>
      <c r="B158" s="50">
        <v>44727.879654085649</v>
      </c>
      <c r="D158" s="18"/>
      <c r="E158" s="18"/>
      <c r="G158" s="18"/>
      <c r="H158" s="18"/>
      <c r="I158" s="18"/>
      <c r="J158" s="41"/>
      <c r="K158" s="18"/>
      <c r="L158" s="18"/>
      <c r="M158" s="18"/>
      <c r="P158" s="18"/>
      <c r="Q158" s="18"/>
      <c r="R158" s="41"/>
      <c r="S158" s="18"/>
      <c r="T158" s="18"/>
      <c r="U158" s="18"/>
      <c r="V158" s="41"/>
      <c r="W158" s="18"/>
      <c r="X158" s="18"/>
    </row>
    <row r="159" spans="1:26" ht="15" customHeight="1" x14ac:dyDescent="0.25">
      <c r="A159" s="10"/>
      <c r="B159" s="53" t="s">
        <v>297</v>
      </c>
      <c r="D159" s="18"/>
      <c r="E159" s="18"/>
      <c r="G159" s="18"/>
      <c r="H159" s="18"/>
      <c r="I159" s="18"/>
      <c r="J159" s="41"/>
      <c r="K159" s="18"/>
      <c r="L159" s="18"/>
      <c r="M159" s="18"/>
      <c r="P159" s="18"/>
      <c r="Q159" s="18"/>
      <c r="R159" s="41"/>
      <c r="S159" s="18"/>
      <c r="T159" s="18"/>
      <c r="U159" s="18"/>
      <c r="V159" s="41"/>
      <c r="W159" s="18"/>
      <c r="X159" s="18"/>
    </row>
    <row r="160" spans="1:26" ht="15" customHeight="1" x14ac:dyDescent="0.25">
      <c r="A160" s="10"/>
      <c r="B160" s="55"/>
      <c r="D160" s="18"/>
      <c r="E160" s="18"/>
      <c r="G160" s="18"/>
      <c r="H160" s="18"/>
      <c r="I160" s="18"/>
      <c r="J160" s="41"/>
      <c r="K160" s="18"/>
      <c r="L160" s="18"/>
      <c r="M160" s="18"/>
      <c r="P160" s="18"/>
      <c r="Q160" s="18"/>
      <c r="R160" s="41"/>
      <c r="S160" s="18"/>
      <c r="T160" s="18"/>
      <c r="U160" s="18"/>
      <c r="V160" s="41"/>
      <c r="W160" s="18"/>
      <c r="X160" s="18"/>
    </row>
    <row r="161" spans="4:24" ht="15" customHeight="1" x14ac:dyDescent="0.25">
      <c r="D161" s="18"/>
      <c r="E161" s="18"/>
      <c r="G161" s="18"/>
      <c r="H161" s="18"/>
      <c r="I161" s="18"/>
      <c r="J161" s="41"/>
      <c r="K161" s="18"/>
      <c r="L161" s="18"/>
      <c r="M161" s="18"/>
      <c r="P161" s="18"/>
      <c r="Q161" s="18"/>
      <c r="R161" s="41"/>
      <c r="S161" s="18"/>
      <c r="T161" s="18"/>
      <c r="U161" s="18"/>
      <c r="V161" s="41"/>
      <c r="W161" s="18"/>
      <c r="X16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00AE-4818-C207-730D-1ACC00161B6E}">
  <sheetPr>
    <tabColor rgb="FF92D050"/>
    <outlinePr summaryBelow="0" summaryRight="0"/>
  </sheetPr>
  <dimension ref="A2:Z12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","326"," - ","2nd Street Store")</f>
        <v>Department 326 - 2nd Street Store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41673.31</v>
      </c>
      <c r="E12" s="5"/>
      <c r="F12" s="13"/>
      <c r="G12" s="5"/>
      <c r="H12" s="5">
        <f>SUM(OSRRefH13x_0)</f>
        <v>34704.179999999993</v>
      </c>
      <c r="I12" s="5"/>
      <c r="J12" s="13"/>
      <c r="K12" s="5"/>
      <c r="L12" s="5">
        <f t="shared" ref="L12:L36" si="0">+D12-H12</f>
        <v>6969.1300000000047</v>
      </c>
      <c r="M12" s="5"/>
      <c r="N12" s="13">
        <f t="shared" ref="N12:N36" si="1">IF(H12=0,0,L12/H12)</f>
        <v>0.20081529083816435</v>
      </c>
      <c r="O12" s="11"/>
      <c r="P12" s="5">
        <f>SUM(OSRRefP13x_0)</f>
        <v>378090.23999999999</v>
      </c>
      <c r="Q12" s="5"/>
      <c r="R12" s="13"/>
      <c r="S12" s="5"/>
      <c r="T12" s="5">
        <f>SUM(OSRRefT13x_0)</f>
        <v>286009.01</v>
      </c>
      <c r="U12" s="5"/>
      <c r="V12" s="13"/>
      <c r="W12" s="5"/>
      <c r="X12" s="5">
        <f t="shared" ref="X12:X36" si="2">+P12-T12</f>
        <v>92081.229999999981</v>
      </c>
      <c r="Y12" s="5"/>
      <c r="Z12" s="13">
        <f t="shared" ref="Z12:Z36" si="3">IF(T12=0,0,X12/T12)</f>
        <v>0.32195220003733444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--45026.36</f>
        <v>45026.36</v>
      </c>
      <c r="E13" s="3"/>
      <c r="F13" s="20"/>
      <c r="G13" s="3"/>
      <c r="H13" s="3">
        <f>-365.5</f>
        <v>-365.5</v>
      </c>
      <c r="I13" s="3"/>
      <c r="J13" s="20"/>
      <c r="K13" s="3"/>
      <c r="L13" s="3">
        <f t="shared" si="0"/>
        <v>45391.86</v>
      </c>
      <c r="M13" s="3"/>
      <c r="N13" s="20">
        <f t="shared" si="1"/>
        <v>-124.19113543091656</v>
      </c>
      <c r="O13" s="12"/>
      <c r="P13" s="3">
        <f>--402190.39</f>
        <v>402190.39</v>
      </c>
      <c r="Q13" s="3"/>
      <c r="R13" s="20"/>
      <c r="S13" s="3"/>
      <c r="T13" s="3">
        <f>-6357.99</f>
        <v>-6357.99</v>
      </c>
      <c r="U13" s="3"/>
      <c r="V13" s="20"/>
      <c r="W13" s="3"/>
      <c r="X13" s="3">
        <f t="shared" si="2"/>
        <v>408548.38</v>
      </c>
      <c r="Y13" s="3"/>
      <c r="Z13" s="20">
        <f t="shared" si="3"/>
        <v>-64.257474453404299</v>
      </c>
    </row>
    <row r="14" spans="1:26" s="69" customFormat="1" ht="15" hidden="1" customHeight="1" outlineLevel="1" x14ac:dyDescent="0.25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--36.37</f>
        <v>36.369999999999997</v>
      </c>
      <c r="I14" s="3"/>
      <c r="J14" s="20"/>
      <c r="K14" s="3"/>
      <c r="L14" s="3">
        <f t="shared" si="0"/>
        <v>-36.369999999999997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--283.04</f>
        <v>283.04000000000002</v>
      </c>
      <c r="U14" s="3"/>
      <c r="V14" s="20"/>
      <c r="W14" s="3"/>
      <c r="X14" s="3">
        <f t="shared" si="2"/>
        <v>-283.04000000000002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--19.71</f>
        <v>19.71</v>
      </c>
      <c r="I15" s="3"/>
      <c r="J15" s="20"/>
      <c r="K15" s="3"/>
      <c r="L15" s="3">
        <f t="shared" si="0"/>
        <v>-19.71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--433.63</f>
        <v>433.63</v>
      </c>
      <c r="U15" s="3"/>
      <c r="V15" s="20"/>
      <c r="W15" s="3"/>
      <c r="X15" s="3">
        <f t="shared" si="2"/>
        <v>-433.63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--29.24</f>
        <v>29.24</v>
      </c>
      <c r="U16" s="3"/>
      <c r="V16" s="20"/>
      <c r="W16" s="3"/>
      <c r="X16" s="3">
        <f t="shared" si="2"/>
        <v>-29.24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","4040"," - ","TAXABLE SALES-LOGO CLOTHING")</f>
        <v xml:space="preserve">          4040 - TAXABLE SALES-LOGO CLOTHING</v>
      </c>
      <c r="C17" s="12"/>
      <c r="D17" s="3">
        <f>0</f>
        <v>0</v>
      </c>
      <c r="E17" s="3"/>
      <c r="F17" s="20"/>
      <c r="G17" s="3"/>
      <c r="H17" s="3">
        <f>--30282.77</f>
        <v>30282.77</v>
      </c>
      <c r="I17" s="3"/>
      <c r="J17" s="20"/>
      <c r="K17" s="3"/>
      <c r="L17" s="3">
        <f t="shared" si="0"/>
        <v>-30282.77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--242002.35</f>
        <v>242002.35</v>
      </c>
      <c r="U17" s="3"/>
      <c r="V17" s="20"/>
      <c r="W17" s="3"/>
      <c r="X17" s="3">
        <f t="shared" si="2"/>
        <v>-242002.35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","4041"," - ","TAXABLE SALES-LOGO GIFTS")</f>
        <v xml:space="preserve">          4041 - TAXABLE SALES-LOGO GIFTS</v>
      </c>
      <c r="C18" s="12"/>
      <c r="D18" s="3">
        <f>0</f>
        <v>0</v>
      </c>
      <c r="E18" s="3"/>
      <c r="F18" s="20"/>
      <c r="G18" s="3"/>
      <c r="H18" s="3">
        <f>--4646.06</f>
        <v>4646.0600000000004</v>
      </c>
      <c r="I18" s="3"/>
      <c r="J18" s="20"/>
      <c r="K18" s="3"/>
      <c r="L18" s="3">
        <f t="shared" si="0"/>
        <v>-4646.0600000000004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--36159.39</f>
        <v>36159.39</v>
      </c>
      <c r="U18" s="3"/>
      <c r="V18" s="20"/>
      <c r="W18" s="3"/>
      <c r="X18" s="3">
        <f t="shared" si="2"/>
        <v>-36159.39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","4042"," - ","TAXABLE SALES-EVERYDAY GIFTS")</f>
        <v xml:space="preserve">          4042 - TAXABLE SALES-EVERYDAY GIFTS</v>
      </c>
      <c r="C19" s="12"/>
      <c r="D19" s="3">
        <f>0</f>
        <v>0</v>
      </c>
      <c r="E19" s="3"/>
      <c r="F19" s="20"/>
      <c r="G19" s="3"/>
      <c r="H19" s="3">
        <f>--678.43</f>
        <v>678.43</v>
      </c>
      <c r="I19" s="3"/>
      <c r="J19" s="20"/>
      <c r="K19" s="3"/>
      <c r="L19" s="3">
        <f t="shared" si="0"/>
        <v>-678.43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--9869.68</f>
        <v>9869.68</v>
      </c>
      <c r="U19" s="3"/>
      <c r="V19" s="20"/>
      <c r="W19" s="3"/>
      <c r="X19" s="3">
        <f t="shared" si="2"/>
        <v>-9869.68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","4043"," - ","TAXABLE SALES-CARDS")</f>
        <v xml:space="preserve">          4043 - TAXABLE SALES-CARDS</v>
      </c>
      <c r="C20" s="12"/>
      <c r="D20" s="3">
        <f>0</f>
        <v>0</v>
      </c>
      <c r="E20" s="3"/>
      <c r="F20" s="20"/>
      <c r="G20" s="3"/>
      <c r="H20" s="3">
        <f>--102.88</f>
        <v>102.88</v>
      </c>
      <c r="I20" s="3"/>
      <c r="J20" s="20"/>
      <c r="K20" s="3"/>
      <c r="L20" s="3">
        <f t="shared" si="0"/>
        <v>-102.88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--11050.13</f>
        <v>11050.13</v>
      </c>
      <c r="U20" s="3"/>
      <c r="V20" s="20"/>
      <c r="W20" s="3"/>
      <c r="X20" s="3">
        <f t="shared" si="2"/>
        <v>-11050.13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","4044"," - ","TAXABLE SALES-ACCESSORIES")</f>
        <v xml:space="preserve">          4044 - TAXABLE SALES-ACCESSORIES</v>
      </c>
      <c r="C21" s="12"/>
      <c r="D21" s="3">
        <f>0</f>
        <v>0</v>
      </c>
      <c r="E21" s="3"/>
      <c r="F21" s="20"/>
      <c r="G21" s="3"/>
      <c r="H21" s="3">
        <f>--173.77</f>
        <v>173.77</v>
      </c>
      <c r="I21" s="3"/>
      <c r="J21" s="20"/>
      <c r="K21" s="3"/>
      <c r="L21" s="3">
        <f t="shared" si="0"/>
        <v>-173.77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--2975.02</f>
        <v>2975.02</v>
      </c>
      <c r="U21" s="3"/>
      <c r="V21" s="20"/>
      <c r="W21" s="3"/>
      <c r="X21" s="3">
        <f t="shared" si="2"/>
        <v>-2975.02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","4045"," - ","TAXABLE SALES-SPECIAL ORDERS")</f>
        <v xml:space="preserve">          4045 - TAXABLE SALES-SPECIAL ORDERS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0</f>
        <v>0</v>
      </c>
      <c r="Q22" s="3"/>
      <c r="R22" s="20"/>
      <c r="S22" s="3"/>
      <c r="T22" s="3">
        <f>--326.37</f>
        <v>326.37</v>
      </c>
      <c r="U22" s="3"/>
      <c r="V22" s="20"/>
      <c r="W22" s="3"/>
      <c r="X22" s="3">
        <f t="shared" si="2"/>
        <v>-326.37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","4100"," - ","NON-TAXABLE SALES")</f>
        <v xml:space="preserve">          4100 - NON-TAXABLE SALES</v>
      </c>
      <c r="C23" s="12"/>
      <c r="D23" s="3">
        <f>--9.52</f>
        <v>9.52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9.52</v>
      </c>
      <c r="M23" s="3"/>
      <c r="N23" s="20">
        <f t="shared" si="1"/>
        <v>0</v>
      </c>
      <c r="O23" s="12"/>
      <c r="P23" s="3">
        <f>--270.41</f>
        <v>270.41000000000003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270.41000000000003</v>
      </c>
      <c r="Y23" s="3"/>
      <c r="Z23" s="20">
        <f t="shared" si="3"/>
        <v>0</v>
      </c>
    </row>
    <row r="24" spans="1:26" s="69" customFormat="1" ht="15" hidden="1" customHeight="1" outlineLevel="1" x14ac:dyDescent="0.25">
      <c r="A24" s="42"/>
      <c r="B24" s="12" t="str">
        <f>CONCATENATE("          ","4131"," - ","NON-TAXABLE SALES-FOOD")</f>
        <v xml:space="preserve">          4131 - NON-TAXABLE SALES-FOOD</v>
      </c>
      <c r="C24" s="12"/>
      <c r="D24" s="3">
        <f>0</f>
        <v>0</v>
      </c>
      <c r="E24" s="3"/>
      <c r="F24" s="20"/>
      <c r="G24" s="3"/>
      <c r="H24" s="3">
        <f>--3</f>
        <v>3</v>
      </c>
      <c r="I24" s="3"/>
      <c r="J24" s="20"/>
      <c r="K24" s="3"/>
      <c r="L24" s="3">
        <f t="shared" si="0"/>
        <v>-3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--63</f>
        <v>63</v>
      </c>
      <c r="U24" s="3"/>
      <c r="V24" s="20"/>
      <c r="W24" s="3"/>
      <c r="X24" s="3">
        <f t="shared" si="2"/>
        <v>-63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","4137"," - ","NON-TAXABLE SALES-WATER")</f>
        <v xml:space="preserve">          4137 - NON-TAXABLE SALES-WATER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--9</f>
        <v>9</v>
      </c>
      <c r="U25" s="3"/>
      <c r="V25" s="20"/>
      <c r="W25" s="3"/>
      <c r="X25" s="3">
        <f t="shared" si="2"/>
        <v>-9</v>
      </c>
      <c r="Y25" s="3"/>
      <c r="Z25" s="20">
        <f t="shared" si="3"/>
        <v>-1</v>
      </c>
    </row>
    <row r="26" spans="1:26" s="69" customFormat="1" ht="15" hidden="1" customHeight="1" outlineLevel="1" x14ac:dyDescent="0.25">
      <c r="A26" s="42"/>
      <c r="B26" s="12" t="str">
        <f>CONCATENATE("          ","4140"," - ","NON-TAXABLE SALES-LOGO CLOTHIN")</f>
        <v xml:space="preserve">          4140 - NON-TAXABLE SALES-LOGO CLOTHIN</v>
      </c>
      <c r="C26" s="12"/>
      <c r="D26" s="3">
        <f>0</f>
        <v>0</v>
      </c>
      <c r="E26" s="3"/>
      <c r="F26" s="20"/>
      <c r="G26" s="3"/>
      <c r="H26" s="3">
        <f>-106.16</f>
        <v>-106.16</v>
      </c>
      <c r="I26" s="3"/>
      <c r="J26" s="20"/>
      <c r="K26" s="3"/>
      <c r="L26" s="3">
        <f t="shared" si="0"/>
        <v>106.16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--218.18</f>
        <v>218.18</v>
      </c>
      <c r="U26" s="3"/>
      <c r="V26" s="20"/>
      <c r="W26" s="3"/>
      <c r="X26" s="3">
        <f t="shared" si="2"/>
        <v>-218.18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","4145"," - ","NON-TAXABLE SALES-SPECIAL ORDE")</f>
        <v xml:space="preserve">          4145 - NON-TAXABLE SALES-SPECIAL ORDE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</f>
        <v>7</v>
      </c>
      <c r="U27" s="3"/>
      <c r="V27" s="20"/>
      <c r="W27" s="3"/>
      <c r="X27" s="3">
        <f t="shared" si="2"/>
        <v>-7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","4200"," - ","TAXABLE RETURNS")</f>
        <v xml:space="preserve">          4200 - TAXABLE RETURNS</v>
      </c>
      <c r="C28" s="12"/>
      <c r="D28" s="3">
        <f>-2193.07</f>
        <v>-2193.0700000000002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-2193.0700000000002</v>
      </c>
      <c r="M28" s="3"/>
      <c r="N28" s="20">
        <f t="shared" si="1"/>
        <v>0</v>
      </c>
      <c r="O28" s="12"/>
      <c r="P28" s="3">
        <f>-16409.96</f>
        <v>-16409.96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-16409.96</v>
      </c>
      <c r="Y28" s="3"/>
      <c r="Z28" s="20">
        <f t="shared" si="3"/>
        <v>0</v>
      </c>
    </row>
    <row r="29" spans="1:26" s="69" customFormat="1" ht="15" hidden="1" customHeight="1" outlineLevel="1" x14ac:dyDescent="0.25">
      <c r="A29" s="42"/>
      <c r="B29" s="12" t="str">
        <f>CONCATENATE("          ","4226"," - ","SALES RETURN TAXABLE-WRITING I")</f>
        <v xml:space="preserve">          4226 - SALES RETURN TAXABLE-WRITING I</v>
      </c>
      <c r="C29" s="12"/>
      <c r="D29" s="3">
        <f>0</f>
        <v>0</v>
      </c>
      <c r="E29" s="3"/>
      <c r="F29" s="20"/>
      <c r="G29" s="3"/>
      <c r="H29" s="3">
        <f>-0.79</f>
        <v>-0.79</v>
      </c>
      <c r="I29" s="3"/>
      <c r="J29" s="20"/>
      <c r="K29" s="3"/>
      <c r="L29" s="3">
        <f t="shared" si="0"/>
        <v>0.79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-28.64</f>
        <v>-28.64</v>
      </c>
      <c r="U29" s="3"/>
      <c r="V29" s="20"/>
      <c r="W29" s="3"/>
      <c r="X29" s="3">
        <f t="shared" si="2"/>
        <v>28.64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","4227"," - ","SALES RETURN TAXABLE-SCHOOL SU")</f>
        <v xml:space="preserve">          4227 - SALES RETURN TAXABLE-SCHOOL SU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-43.21</f>
        <v>-43.21</v>
      </c>
      <c r="U30" s="3"/>
      <c r="V30" s="20"/>
      <c r="W30" s="3"/>
      <c r="X30" s="3">
        <f t="shared" si="2"/>
        <v>43.21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","4240"," - ","SALES RETURN TAXABLE-LOGO CLOT")</f>
        <v xml:space="preserve">          4240 - SALES RETURN TAXABLE-LOGO CLOT</v>
      </c>
      <c r="C31" s="12"/>
      <c r="D31" s="3">
        <f>0</f>
        <v>0</v>
      </c>
      <c r="E31" s="3"/>
      <c r="F31" s="20"/>
      <c r="G31" s="3"/>
      <c r="H31" s="3">
        <f>-698.15</f>
        <v>-698.15</v>
      </c>
      <c r="I31" s="3"/>
      <c r="J31" s="20"/>
      <c r="K31" s="3"/>
      <c r="L31" s="3">
        <f t="shared" si="0"/>
        <v>698.15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-9894.38</f>
        <v>-9894.3799999999992</v>
      </c>
      <c r="U31" s="3"/>
      <c r="V31" s="20"/>
      <c r="W31" s="3"/>
      <c r="X31" s="3">
        <f t="shared" si="2"/>
        <v>9894.3799999999992</v>
      </c>
      <c r="Y31" s="3"/>
      <c r="Z31" s="20">
        <f t="shared" si="3"/>
        <v>-1</v>
      </c>
    </row>
    <row r="32" spans="1:26" s="69" customFormat="1" ht="15" hidden="1" customHeight="1" outlineLevel="1" x14ac:dyDescent="0.25">
      <c r="A32" s="42"/>
      <c r="B32" s="12" t="str">
        <f>CONCATENATE("          ","4241"," - ","SALES RETURN TAXABLE-LOGO GIFT")</f>
        <v xml:space="preserve">          4241 - SALES RETURN TAXABLE-LOGO GIFT</v>
      </c>
      <c r="C32" s="12"/>
      <c r="D32" s="3">
        <f>0</f>
        <v>0</v>
      </c>
      <c r="E32" s="3"/>
      <c r="F32" s="20"/>
      <c r="G32" s="3"/>
      <c r="H32" s="3">
        <f>-51.26</f>
        <v>-51.26</v>
      </c>
      <c r="I32" s="3"/>
      <c r="J32" s="20"/>
      <c r="K32" s="3"/>
      <c r="L32" s="3">
        <f t="shared" si="0"/>
        <v>51.26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-699.91</f>
        <v>-699.91</v>
      </c>
      <c r="U32" s="3"/>
      <c r="V32" s="20"/>
      <c r="W32" s="3"/>
      <c r="X32" s="3">
        <f t="shared" si="2"/>
        <v>699.91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","4242"," - ","SALES RETURN TAXABLE-EVERYDAY")</f>
        <v xml:space="preserve">          4242 - SALES RETURN TAXABLE-EVERYDAY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-326.06</f>
        <v>-326.06</v>
      </c>
      <c r="U33" s="3"/>
      <c r="V33" s="20"/>
      <c r="W33" s="3"/>
      <c r="X33" s="3">
        <f t="shared" si="2"/>
        <v>326.06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","4244"," - ","SALES RETURN TAXABLE-ACCESSORI")</f>
        <v xml:space="preserve">          4244 - SALES RETURN TAXABLE-ACCESSORI</v>
      </c>
      <c r="C34" s="12"/>
      <c r="D34" s="3">
        <f>0</f>
        <v>0</v>
      </c>
      <c r="E34" s="3"/>
      <c r="F34" s="20"/>
      <c r="G34" s="3"/>
      <c r="H34" s="3">
        <f>-16.95</f>
        <v>-16.95</v>
      </c>
      <c r="I34" s="3"/>
      <c r="J34" s="20"/>
      <c r="K34" s="3"/>
      <c r="L34" s="3">
        <f t="shared" si="0"/>
        <v>16.95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-59.83</f>
        <v>-59.83</v>
      </c>
      <c r="U34" s="3"/>
      <c r="V34" s="20"/>
      <c r="W34" s="3"/>
      <c r="X34" s="3">
        <f t="shared" si="2"/>
        <v>59.83</v>
      </c>
      <c r="Y34" s="3"/>
      <c r="Z34" s="20">
        <f t="shared" si="3"/>
        <v>-1</v>
      </c>
    </row>
    <row r="35" spans="1:26" s="69" customFormat="1" ht="15" hidden="1" customHeight="1" outlineLevel="1" x14ac:dyDescent="0.25">
      <c r="A35" s="42"/>
      <c r="B35" s="12" t="str">
        <f>CONCATENATE("          ","4245"," - ","SALES RETURN TAXABLE-SPECIAL O")</f>
        <v xml:space="preserve">          4245 - SALES RETURN TAXABLE-SPECIAL O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-7</f>
        <v>-7</v>
      </c>
      <c r="U35" s="3"/>
      <c r="V35" s="20"/>
      <c r="W35" s="3"/>
      <c r="X35" s="3">
        <f t="shared" si="2"/>
        <v>7</v>
      </c>
      <c r="Y35" s="3"/>
      <c r="Z35" s="20">
        <f t="shared" si="3"/>
        <v>-1</v>
      </c>
    </row>
    <row r="36" spans="1:26" s="69" customFormat="1" ht="15" hidden="1" customHeight="1" outlineLevel="1" x14ac:dyDescent="0.25">
      <c r="A36" s="42"/>
      <c r="B36" s="12" t="str">
        <f>CONCATENATE("          ","4500"," - ","SALES DISCOUNT")</f>
        <v xml:space="preserve">          4500 - SALES DISCOUNT</v>
      </c>
      <c r="C36" s="12"/>
      <c r="D36" s="3">
        <f>-1169.5</f>
        <v>-1169.5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-1169.5</v>
      </c>
      <c r="M36" s="3"/>
      <c r="N36" s="20">
        <f t="shared" si="1"/>
        <v>0</v>
      </c>
      <c r="O36" s="12"/>
      <c r="P36" s="3">
        <f>-7960.6</f>
        <v>-7960.6</v>
      </c>
      <c r="Q36" s="3"/>
      <c r="R36" s="20"/>
      <c r="S36" s="3"/>
      <c r="T36" s="3">
        <f>0</f>
        <v>0</v>
      </c>
      <c r="U36" s="3"/>
      <c r="V36" s="20"/>
      <c r="W36" s="3"/>
      <c r="X36" s="3">
        <f t="shared" si="2"/>
        <v>-7960.6</v>
      </c>
      <c r="Y36" s="3"/>
      <c r="Z36" s="20">
        <f t="shared" si="3"/>
        <v>0</v>
      </c>
    </row>
    <row r="37" spans="1:26" ht="15" customHeight="1" x14ac:dyDescent="0.25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collapsed="1" x14ac:dyDescent="0.25">
      <c r="A38" s="11"/>
      <c r="B38" s="28" t="s">
        <v>287</v>
      </c>
      <c r="C38" s="11"/>
      <c r="D38" s="5">
        <f>SUM(OSRRefD16x_0)</f>
        <v>18522.48</v>
      </c>
      <c r="E38" s="5"/>
      <c r="F38" s="13">
        <f t="shared" ref="F38:F47" si="4">IF(D$12=0,0,D38/D$12)</f>
        <v>0.44446865391781937</v>
      </c>
      <c r="G38" s="5"/>
      <c r="H38" s="5">
        <f>SUM(OSRRefH16x_0)</f>
        <v>20443</v>
      </c>
      <c r="I38" s="5"/>
      <c r="J38" s="13">
        <f t="shared" ref="J38:J47" si="5">IF(H$12=0,0,H38/H$12)</f>
        <v>0.58906448733264993</v>
      </c>
      <c r="K38" s="5"/>
      <c r="L38" s="5">
        <f t="shared" ref="L38:L47" si="6">+D38-H38</f>
        <v>-1920.5200000000004</v>
      </c>
      <c r="M38" s="5"/>
      <c r="N38" s="13">
        <f t="shared" ref="N38:N47" si="7">IF(H38=0,0,L38/H38)</f>
        <v>-9.3945115687521424E-2</v>
      </c>
      <c r="O38" s="11"/>
      <c r="P38" s="5">
        <f>SUM(OSRRefP16x_0)</f>
        <v>172945.19</v>
      </c>
      <c r="Q38" s="5"/>
      <c r="R38" s="13">
        <f t="shared" ref="R38:R47" si="8">IF(P$12=0,0,P38/P$12)</f>
        <v>0.4574177582579228</v>
      </c>
      <c r="S38" s="5"/>
      <c r="T38" s="5">
        <f>SUM(OSRRefT16x_0)</f>
        <v>130973</v>
      </c>
      <c r="U38" s="5"/>
      <c r="V38" s="13">
        <f t="shared" ref="V38:V47" si="9">IF(T$12=0,0,T38/T$12)</f>
        <v>0.45793312595292013</v>
      </c>
      <c r="W38" s="5"/>
      <c r="X38" s="5">
        <f t="shared" ref="X38:X47" si="10">+P38-T38</f>
        <v>41972.19</v>
      </c>
      <c r="Y38" s="5"/>
      <c r="Z38" s="13">
        <f t="shared" ref="Z38:Z47" si="11">IF(T38=0,0,X38/T38)</f>
        <v>0.32046444687072911</v>
      </c>
    </row>
    <row r="39" spans="1:26" s="69" customFormat="1" ht="15" hidden="1" customHeight="1" outlineLevel="1" x14ac:dyDescent="0.25">
      <c r="A39" s="42"/>
      <c r="B39" s="12" t="str">
        <f>CONCATENATE("          ","5000"," - ","PURCHASES @ COST")</f>
        <v xml:space="preserve">          5000 - PURCHASES @ COST</v>
      </c>
      <c r="C39" s="12"/>
      <c r="D39" s="3">
        <v>93.15</v>
      </c>
      <c r="E39" s="3"/>
      <c r="F39" s="20">
        <f t="shared" si="4"/>
        <v>2.2352436127583823E-3</v>
      </c>
      <c r="G39" s="3"/>
      <c r="H39" s="3"/>
      <c r="I39" s="3"/>
      <c r="J39" s="20">
        <f t="shared" si="5"/>
        <v>0</v>
      </c>
      <c r="K39" s="3"/>
      <c r="L39" s="3">
        <f t="shared" si="6"/>
        <v>93.15</v>
      </c>
      <c r="M39" s="3"/>
      <c r="N39" s="20">
        <f t="shared" si="7"/>
        <v>0</v>
      </c>
      <c r="O39" s="12"/>
      <c r="P39" s="3">
        <v>5654.8</v>
      </c>
      <c r="Q39" s="3"/>
      <c r="R39" s="20">
        <f t="shared" si="8"/>
        <v>1.4956217859524754E-2</v>
      </c>
      <c r="S39" s="3"/>
      <c r="T39" s="3"/>
      <c r="U39" s="3"/>
      <c r="V39" s="20">
        <f t="shared" si="9"/>
        <v>0</v>
      </c>
      <c r="W39" s="3"/>
      <c r="X39" s="3">
        <f t="shared" si="10"/>
        <v>5654.8</v>
      </c>
      <c r="Y39" s="3"/>
      <c r="Z39" s="20">
        <f t="shared" si="11"/>
        <v>0</v>
      </c>
    </row>
    <row r="40" spans="1:26" s="69" customFormat="1" ht="15" hidden="1" customHeight="1" outlineLevel="1" x14ac:dyDescent="0.25">
      <c r="A40" s="42"/>
      <c r="B40" s="12" t="str">
        <f>CONCATENATE("          ","5026"," - ","PURCHASES @ COST-WRITING INSTR")</f>
        <v xml:space="preserve">          5026 - PURCHASES @ COST-WRITING INSTR</v>
      </c>
      <c r="C40" s="12"/>
      <c r="D40" s="3"/>
      <c r="E40" s="3"/>
      <c r="F40" s="20">
        <f t="shared" si="4"/>
        <v>0</v>
      </c>
      <c r="G40" s="3"/>
      <c r="H40" s="3">
        <v>-2.0499999999999998</v>
      </c>
      <c r="I40" s="3"/>
      <c r="J40" s="20">
        <f t="shared" si="5"/>
        <v>-5.9070694077773922E-5</v>
      </c>
      <c r="K40" s="3"/>
      <c r="L40" s="3">
        <f t="shared" si="6"/>
        <v>2.0499999999999998</v>
      </c>
      <c r="M40" s="3"/>
      <c r="N40" s="20">
        <f t="shared" si="7"/>
        <v>-1</v>
      </c>
      <c r="O40" s="12"/>
      <c r="P40" s="3"/>
      <c r="Q40" s="3"/>
      <c r="R40" s="20">
        <f t="shared" si="8"/>
        <v>0</v>
      </c>
      <c r="S40" s="3"/>
      <c r="T40" s="3">
        <v>-2.0499999999999998</v>
      </c>
      <c r="U40" s="3"/>
      <c r="V40" s="20">
        <f t="shared" si="9"/>
        <v>-7.1676063631701665E-6</v>
      </c>
      <c r="W40" s="3"/>
      <c r="X40" s="3">
        <f t="shared" si="10"/>
        <v>2.0499999999999998</v>
      </c>
      <c r="Y40" s="3"/>
      <c r="Z40" s="20">
        <f t="shared" si="11"/>
        <v>-1</v>
      </c>
    </row>
    <row r="41" spans="1:26" s="69" customFormat="1" ht="15" hidden="1" customHeight="1" outlineLevel="1" x14ac:dyDescent="0.25">
      <c r="A41" s="42"/>
      <c r="B41" s="12" t="str">
        <f>CONCATENATE("          ","5040"," - ","PURCHASES @ COST-LOGO CLOTHING")</f>
        <v xml:space="preserve">          5040 - PURCHASES @ COST-LOGO CLOTHING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/>
      <c r="Q41" s="3"/>
      <c r="R41" s="20">
        <f t="shared" si="8"/>
        <v>0</v>
      </c>
      <c r="S41" s="3"/>
      <c r="T41" s="3">
        <v>0</v>
      </c>
      <c r="U41" s="3"/>
      <c r="V41" s="20">
        <f t="shared" si="9"/>
        <v>0</v>
      </c>
      <c r="W41" s="3"/>
      <c r="X41" s="3">
        <f t="shared" si="10"/>
        <v>0</v>
      </c>
      <c r="Y41" s="3"/>
      <c r="Z41" s="20">
        <f t="shared" si="11"/>
        <v>0</v>
      </c>
    </row>
    <row r="42" spans="1:26" s="69" customFormat="1" ht="15" hidden="1" customHeight="1" outlineLevel="1" x14ac:dyDescent="0.25">
      <c r="A42" s="42"/>
      <c r="B42" s="12" t="str">
        <f>CONCATENATE("          ","5041"," - ","PURCHASES @ COST-LOGO GIFTS")</f>
        <v xml:space="preserve">          5041 - PURCHASES @ COST-LOGO GIFTS</v>
      </c>
      <c r="C42" s="12"/>
      <c r="D42" s="3"/>
      <c r="E42" s="3"/>
      <c r="F42" s="20">
        <f t="shared" si="4"/>
        <v>0</v>
      </c>
      <c r="G42" s="3"/>
      <c r="H42" s="3"/>
      <c r="I42" s="3"/>
      <c r="J42" s="20">
        <f t="shared" si="5"/>
        <v>0</v>
      </c>
      <c r="K42" s="3"/>
      <c r="L42" s="3">
        <f t="shared" si="6"/>
        <v>0</v>
      </c>
      <c r="M42" s="3"/>
      <c r="N42" s="20">
        <f t="shared" si="7"/>
        <v>0</v>
      </c>
      <c r="O42" s="12"/>
      <c r="P42" s="3"/>
      <c r="Q42" s="3"/>
      <c r="R42" s="20">
        <f t="shared" si="8"/>
        <v>0</v>
      </c>
      <c r="S42" s="3"/>
      <c r="T42" s="3">
        <v>207.6</v>
      </c>
      <c r="U42" s="3"/>
      <c r="V42" s="20">
        <f t="shared" si="9"/>
        <v>7.2585125902152516E-4</v>
      </c>
      <c r="W42" s="3"/>
      <c r="X42" s="3">
        <f t="shared" si="10"/>
        <v>-207.6</v>
      </c>
      <c r="Y42" s="3"/>
      <c r="Z42" s="20">
        <f t="shared" si="11"/>
        <v>-1</v>
      </c>
    </row>
    <row r="43" spans="1:26" s="69" customFormat="1" ht="15" hidden="1" customHeight="1" outlineLevel="1" x14ac:dyDescent="0.25">
      <c r="A43" s="42"/>
      <c r="B43" s="12" t="str">
        <f>CONCATENATE("          ","5042"," - ","PURCHASES @ COST-EVERYDAY GIFT")</f>
        <v xml:space="preserve">          5042 - PURCHASES @ COST-EVERYDAY GIFT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/>
      <c r="Q43" s="3"/>
      <c r="R43" s="20">
        <f t="shared" si="8"/>
        <v>0</v>
      </c>
      <c r="S43" s="3"/>
      <c r="T43" s="3">
        <v>7946.04</v>
      </c>
      <c r="U43" s="3"/>
      <c r="V43" s="20">
        <f t="shared" si="9"/>
        <v>2.7782481398051062E-2</v>
      </c>
      <c r="W43" s="3"/>
      <c r="X43" s="3">
        <f t="shared" si="10"/>
        <v>-7946.04</v>
      </c>
      <c r="Y43" s="3"/>
      <c r="Z43" s="20">
        <f t="shared" si="11"/>
        <v>-1</v>
      </c>
    </row>
    <row r="44" spans="1:26" s="69" customFormat="1" ht="15" hidden="1" customHeight="1" outlineLevel="1" x14ac:dyDescent="0.25">
      <c r="A44" s="42"/>
      <c r="B44" s="12" t="str">
        <f>CONCATENATE("          ","5086"," - ","PURCHASES @ COST-COMPUTER SUPP")</f>
        <v xml:space="preserve">          5086 - PURCHASES @ COST-COMPUTER SUPP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/>
      <c r="Q44" s="3"/>
      <c r="R44" s="20">
        <f t="shared" si="8"/>
        <v>0</v>
      </c>
      <c r="S44" s="3"/>
      <c r="T44" s="3">
        <v>13.21</v>
      </c>
      <c r="U44" s="3"/>
      <c r="V44" s="20">
        <f t="shared" si="9"/>
        <v>4.6187356125598985E-5</v>
      </c>
      <c r="W44" s="3"/>
      <c r="X44" s="3">
        <f t="shared" si="10"/>
        <v>-13.21</v>
      </c>
      <c r="Y44" s="3"/>
      <c r="Z44" s="20">
        <f t="shared" si="11"/>
        <v>-1</v>
      </c>
    </row>
    <row r="45" spans="1:26" s="69" customFormat="1" ht="15" hidden="1" customHeight="1" outlineLevel="1" x14ac:dyDescent="0.25">
      <c r="A45" s="42"/>
      <c r="B45" s="12" t="str">
        <f>CONCATENATE("          ","5200"," - ","PURCHASES OFFSET")</f>
        <v xml:space="preserve">          5200 - PURCHASES OFFSET</v>
      </c>
      <c r="C45" s="12"/>
      <c r="D45" s="3">
        <v>-93.15</v>
      </c>
      <c r="E45" s="3"/>
      <c r="F45" s="20">
        <f t="shared" si="4"/>
        <v>-2.2352436127583823E-3</v>
      </c>
      <c r="G45" s="3"/>
      <c r="H45" s="3">
        <v>2.0499999999999998</v>
      </c>
      <c r="I45" s="3"/>
      <c r="J45" s="20">
        <f t="shared" si="5"/>
        <v>5.9070694077773922E-5</v>
      </c>
      <c r="K45" s="3"/>
      <c r="L45" s="3">
        <f t="shared" si="6"/>
        <v>-95.2</v>
      </c>
      <c r="M45" s="3"/>
      <c r="N45" s="20">
        <f t="shared" si="7"/>
        <v>-46.439024390243908</v>
      </c>
      <c r="O45" s="12"/>
      <c r="P45" s="3">
        <v>-5747.79</v>
      </c>
      <c r="Q45" s="3"/>
      <c r="R45" s="20">
        <f t="shared" si="8"/>
        <v>-1.5202164435664883E-2</v>
      </c>
      <c r="S45" s="3"/>
      <c r="T45" s="3">
        <v>-8164.8</v>
      </c>
      <c r="U45" s="3"/>
      <c r="V45" s="20">
        <f t="shared" si="9"/>
        <v>-2.8547352406835015E-2</v>
      </c>
      <c r="W45" s="3"/>
      <c r="X45" s="3">
        <f t="shared" si="10"/>
        <v>2417.0100000000002</v>
      </c>
      <c r="Y45" s="3"/>
      <c r="Z45" s="20">
        <f t="shared" si="11"/>
        <v>-0.29602807172251616</v>
      </c>
    </row>
    <row r="46" spans="1:26" s="69" customFormat="1" ht="15" hidden="1" customHeight="1" outlineLevel="1" x14ac:dyDescent="0.25">
      <c r="A46" s="42"/>
      <c r="B46" s="12" t="str">
        <f>CONCATENATE("          ","5300"," - ","COG$ OFFSET")</f>
        <v xml:space="preserve">          5300 - COG$ OFFSET</v>
      </c>
      <c r="C46" s="12"/>
      <c r="D46" s="3">
        <v>18522.48</v>
      </c>
      <c r="E46" s="3"/>
      <c r="F46" s="20">
        <f t="shared" si="4"/>
        <v>0.44446865391781937</v>
      </c>
      <c r="G46" s="3"/>
      <c r="H46" s="3">
        <v>20443</v>
      </c>
      <c r="I46" s="3"/>
      <c r="J46" s="20">
        <f t="shared" si="5"/>
        <v>0.58906448733264993</v>
      </c>
      <c r="K46" s="3"/>
      <c r="L46" s="3">
        <f t="shared" si="6"/>
        <v>-1920.5200000000004</v>
      </c>
      <c r="M46" s="3"/>
      <c r="N46" s="20">
        <f t="shared" si="7"/>
        <v>-9.3945115687521424E-2</v>
      </c>
      <c r="O46" s="12"/>
      <c r="P46" s="3">
        <v>172945.19</v>
      </c>
      <c r="Q46" s="3"/>
      <c r="R46" s="20">
        <f t="shared" si="8"/>
        <v>0.4574177582579228</v>
      </c>
      <c r="S46" s="3"/>
      <c r="T46" s="3">
        <v>130973</v>
      </c>
      <c r="U46" s="3"/>
      <c r="V46" s="20">
        <f t="shared" si="9"/>
        <v>0.45793312595292013</v>
      </c>
      <c r="W46" s="3"/>
      <c r="X46" s="3">
        <f t="shared" si="10"/>
        <v>41972.19</v>
      </c>
      <c r="Y46" s="3"/>
      <c r="Z46" s="20">
        <f t="shared" si="11"/>
        <v>0.32046444687072911</v>
      </c>
    </row>
    <row r="47" spans="1:26" s="69" customFormat="1" ht="15" hidden="1" customHeight="1" outlineLevel="1" x14ac:dyDescent="0.25">
      <c r="A47" s="42"/>
      <c r="B47" s="12" t="str">
        <f>CONCATENATE("          ","5500"," - ","FREIGHT-IN")</f>
        <v xml:space="preserve">          5500 - FREIGHT-IN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92.99</v>
      </c>
      <c r="Q47" s="3"/>
      <c r="R47" s="20">
        <f t="shared" si="8"/>
        <v>2.4594657614012994E-4</v>
      </c>
      <c r="S47" s="3"/>
      <c r="T47" s="3"/>
      <c r="U47" s="3"/>
      <c r="V47" s="20">
        <f t="shared" si="9"/>
        <v>0</v>
      </c>
      <c r="W47" s="3"/>
      <c r="X47" s="3">
        <f t="shared" si="10"/>
        <v>92.99</v>
      </c>
      <c r="Y47" s="3"/>
      <c r="Z47" s="20">
        <f t="shared" si="11"/>
        <v>0</v>
      </c>
    </row>
    <row r="48" spans="1:26" ht="15" customHeight="1" x14ac:dyDescent="0.25">
      <c r="A48" s="10"/>
      <c r="B48" s="11"/>
      <c r="C48" s="11"/>
      <c r="D48" s="4"/>
      <c r="E48" s="4"/>
      <c r="F48" s="9"/>
      <c r="G48" s="4"/>
      <c r="H48" s="4"/>
      <c r="I48" s="4"/>
      <c r="J48" s="9"/>
      <c r="K48" s="4"/>
      <c r="L48" s="4"/>
      <c r="M48" s="4"/>
      <c r="N48" s="9"/>
      <c r="O48" s="11"/>
      <c r="P48" s="4"/>
      <c r="Q48" s="4"/>
      <c r="R48" s="9"/>
      <c r="S48" s="4"/>
      <c r="T48" s="4"/>
      <c r="U48" s="4"/>
      <c r="V48" s="9"/>
      <c r="W48" s="4"/>
      <c r="X48" s="4"/>
      <c r="Y48" s="4"/>
      <c r="Z48" s="9"/>
    </row>
    <row r="49" spans="1:26" s="62" customFormat="1" ht="15" customHeight="1" x14ac:dyDescent="0.25">
      <c r="A49" s="11"/>
      <c r="B49" s="27" t="s">
        <v>288</v>
      </c>
      <c r="C49" s="27"/>
      <c r="D49" s="22">
        <f>D12-D38</f>
        <v>23150.829999999998</v>
      </c>
      <c r="E49" s="15"/>
      <c r="F49" s="23">
        <f>IF(D$12=0,0,D49/D$12)</f>
        <v>0.55553134608218069</v>
      </c>
      <c r="G49" s="15"/>
      <c r="H49" s="22">
        <f>H12-H38</f>
        <v>14261.179999999993</v>
      </c>
      <c r="I49" s="15"/>
      <c r="J49" s="23">
        <f>IF(H$12=0,0,H49/H$12)</f>
        <v>0.41093551266735007</v>
      </c>
      <c r="K49" s="16"/>
      <c r="L49" s="22">
        <f>+D49-H49</f>
        <v>8889.6500000000051</v>
      </c>
      <c r="M49" s="16"/>
      <c r="N49" s="23">
        <f>IF(H49=0,0,L49/H49)</f>
        <v>0.62334603447961601</v>
      </c>
      <c r="O49" s="28"/>
      <c r="P49" s="22">
        <f>P12-P38</f>
        <v>205145.05</v>
      </c>
      <c r="Q49" s="15"/>
      <c r="R49" s="23">
        <f>IF(P$12=0,0,P49/P$12)</f>
        <v>0.54258224174207725</v>
      </c>
      <c r="S49" s="15"/>
      <c r="T49" s="22">
        <f>T12-T38</f>
        <v>155036.01</v>
      </c>
      <c r="U49" s="15"/>
      <c r="V49" s="23">
        <f>IF(T$12=0,0,T49/T$12)</f>
        <v>0.54206687404707987</v>
      </c>
      <c r="W49" s="16"/>
      <c r="X49" s="22">
        <f>+P49-T49</f>
        <v>50109.039999999979</v>
      </c>
      <c r="Y49" s="16"/>
      <c r="Z49" s="23">
        <f>IF(T49=0,0,X49/T49)</f>
        <v>0.3232090402739336</v>
      </c>
    </row>
    <row r="50" spans="1:26" ht="15" customHeight="1" x14ac:dyDescent="0.25">
      <c r="A50" s="10"/>
      <c r="B50" s="11"/>
      <c r="C50" s="10"/>
      <c r="D50" s="2"/>
      <c r="E50" s="2"/>
      <c r="F50" s="6"/>
      <c r="G50" s="2"/>
      <c r="H50" s="2"/>
      <c r="I50" s="2"/>
      <c r="J50" s="6"/>
      <c r="K50" s="2"/>
      <c r="L50" s="2"/>
      <c r="M50" s="2"/>
      <c r="N50" s="6"/>
      <c r="O50" s="36"/>
      <c r="P50" s="2"/>
      <c r="Q50" s="2"/>
      <c r="R50" s="6"/>
      <c r="S50" s="2"/>
      <c r="T50" s="2"/>
      <c r="U50" s="2"/>
      <c r="V50" s="6"/>
      <c r="W50" s="2"/>
      <c r="X50" s="2"/>
      <c r="Y50" s="2"/>
      <c r="Z50" s="6"/>
    </row>
    <row r="51" spans="1:26" s="62" customFormat="1" ht="15" customHeight="1" x14ac:dyDescent="0.25">
      <c r="A51" s="11"/>
      <c r="B51" s="28" t="s">
        <v>289</v>
      </c>
      <c r="C51" s="11"/>
      <c r="D51" s="21" cm="1">
        <f t="array" ref="D51">SUM(OSRRefD22x_0)</f>
        <v>18057.329999999998</v>
      </c>
      <c r="E51" s="21"/>
      <c r="F51" s="31">
        <f t="shared" ref="F51:F82" si="12">IF(D$12=0,0,D51/D$12)</f>
        <v>0.43330683355845739</v>
      </c>
      <c r="G51" s="21"/>
      <c r="H51" s="21" cm="1">
        <f t="array" ref="H51">SUM(OSRRefH22x_0)</f>
        <v>19146.02</v>
      </c>
      <c r="I51" s="21"/>
      <c r="J51" s="31">
        <f t="shared" ref="J51:J82" si="13">IF(H$12=0,0,H51/H$12)</f>
        <v>0.55169204401314209</v>
      </c>
      <c r="K51" s="5"/>
      <c r="L51" s="21">
        <f t="shared" ref="L51:L82" si="14">+D51-H51</f>
        <v>-1088.6900000000023</v>
      </c>
      <c r="M51" s="5"/>
      <c r="N51" s="31">
        <f t="shared" ref="N51:N82" si="15">IF(H51=0,0,L51/H51)</f>
        <v>-5.6862470633583496E-2</v>
      </c>
      <c r="O51" s="11"/>
      <c r="P51" s="21" cm="1">
        <f t="array" ref="P51">SUM(OSRRefP22x_0)</f>
        <v>194859.67000000007</v>
      </c>
      <c r="Q51" s="21"/>
      <c r="R51" s="31">
        <f t="shared" ref="R51:R82" si="16">IF(P$12=0,0,P51/P$12)</f>
        <v>0.51537873603931184</v>
      </c>
      <c r="S51" s="21"/>
      <c r="T51" s="21" cm="1">
        <f t="array" ref="T51">SUM(OSRRefT22x_0)</f>
        <v>236296.53000000003</v>
      </c>
      <c r="U51" s="21"/>
      <c r="V51" s="31">
        <f t="shared" ref="V51:V82" si="17">IF(T$12=0,0,T51/T$12)</f>
        <v>0.82618561562099047</v>
      </c>
      <c r="W51" s="5"/>
      <c r="X51" s="21">
        <f t="shared" ref="X51:X82" si="18">+P51-T51</f>
        <v>-41436.859999999957</v>
      </c>
      <c r="Y51" s="5"/>
      <c r="Z51" s="31">
        <f t="shared" ref="Z51:Z82" si="19">IF(T51=0,0,X51/T51)</f>
        <v>-0.17535957891552598</v>
      </c>
    </row>
    <row r="52" spans="1:26" s="68" customFormat="1" ht="15" customHeight="1" outlineLevel="1" collapsed="1" x14ac:dyDescent="0.25">
      <c r="A52" s="26"/>
      <c r="B52" s="14" t="str">
        <f>CONCATENATE("     ","*Benefits                                         ")</f>
        <v xml:space="preserve">     *Benefits                                         </v>
      </c>
      <c r="C52" s="14"/>
      <c r="D52" s="2">
        <f>SUM(OSRRefD22_0x_0)</f>
        <v>1375.4000000000003</v>
      </c>
      <c r="E52" s="2"/>
      <c r="F52" s="6">
        <f t="shared" si="12"/>
        <v>3.3004337788383027E-2</v>
      </c>
      <c r="G52" s="2"/>
      <c r="H52" s="2">
        <f>SUM(OSRRefH22_0x_0)</f>
        <v>3745.6499999999996</v>
      </c>
      <c r="I52" s="2"/>
      <c r="J52" s="6">
        <f t="shared" si="13"/>
        <v>0.10793080257190922</v>
      </c>
      <c r="K52" s="2"/>
      <c r="L52" s="2">
        <f t="shared" si="14"/>
        <v>-2370.2499999999991</v>
      </c>
      <c r="M52" s="2"/>
      <c r="N52" s="6">
        <f t="shared" si="15"/>
        <v>-0.63280071549664263</v>
      </c>
      <c r="O52" s="14"/>
      <c r="P52" s="2">
        <f>SUM(OSRRefP22_0x_0)</f>
        <v>14232.470000000001</v>
      </c>
      <c r="Q52" s="2"/>
      <c r="R52" s="6">
        <f t="shared" si="16"/>
        <v>3.7643050505614749E-2</v>
      </c>
      <c r="S52" s="2"/>
      <c r="T52" s="2">
        <f>SUM(OSRRefT22_0x_0)</f>
        <v>51235.38</v>
      </c>
      <c r="U52" s="2"/>
      <c r="V52" s="6">
        <f t="shared" si="17"/>
        <v>0.17913904180850804</v>
      </c>
      <c r="W52" s="2"/>
      <c r="X52" s="2">
        <f t="shared" si="18"/>
        <v>-37002.909999999996</v>
      </c>
      <c r="Y52" s="2"/>
      <c r="Z52" s="6">
        <f t="shared" si="19"/>
        <v>-0.72221402476179541</v>
      </c>
    </row>
    <row r="53" spans="1:26" s="69" customFormat="1" ht="15" hidden="1" customHeight="1" outlineLevel="2" x14ac:dyDescent="0.25">
      <c r="A53" s="25"/>
      <c r="B53" s="12" t="str">
        <f>CONCATENATE("          ","6111"," - ","F.I.C.A.")</f>
        <v xml:space="preserve">          6111 - F.I.C.A.</v>
      </c>
      <c r="C53" s="12"/>
      <c r="D53" s="7">
        <v>232.04</v>
      </c>
      <c r="E53" s="3"/>
      <c r="F53" s="8">
        <f t="shared" si="12"/>
        <v>5.5680722265641965E-3</v>
      </c>
      <c r="G53" s="3"/>
      <c r="H53" s="7">
        <v>532.12</v>
      </c>
      <c r="I53" s="3"/>
      <c r="J53" s="8">
        <f t="shared" si="13"/>
        <v>1.533302328422686E-2</v>
      </c>
      <c r="K53" s="3"/>
      <c r="L53" s="7">
        <f t="shared" si="14"/>
        <v>-300.08000000000004</v>
      </c>
      <c r="M53" s="3"/>
      <c r="N53" s="8">
        <f t="shared" si="15"/>
        <v>-0.5639329474554613</v>
      </c>
      <c r="O53" s="12"/>
      <c r="P53" s="7">
        <v>2647.88</v>
      </c>
      <c r="Q53" s="3"/>
      <c r="R53" s="8">
        <f t="shared" si="16"/>
        <v>7.0033016456600419E-3</v>
      </c>
      <c r="S53" s="3"/>
      <c r="T53" s="7">
        <v>7394.26</v>
      </c>
      <c r="U53" s="3"/>
      <c r="V53" s="8">
        <f t="shared" si="17"/>
        <v>2.5853241476553483E-2</v>
      </c>
      <c r="W53" s="3"/>
      <c r="X53" s="7">
        <f t="shared" si="18"/>
        <v>-4746.38</v>
      </c>
      <c r="Y53" s="3"/>
      <c r="Z53" s="8">
        <f t="shared" si="19"/>
        <v>-0.6419006093916092</v>
      </c>
    </row>
    <row r="54" spans="1:26" s="69" customFormat="1" ht="15" hidden="1" customHeight="1" outlineLevel="2" x14ac:dyDescent="0.25">
      <c r="A54" s="25"/>
      <c r="B54" s="12" t="str">
        <f>CONCATENATE("          ","6112"," - ","COMPENSATION INSURANCE")</f>
        <v xml:space="preserve">          6112 - COMPENSATION INSURANCE</v>
      </c>
      <c r="C54" s="12"/>
      <c r="D54" s="7">
        <v>179.83</v>
      </c>
      <c r="E54" s="3"/>
      <c r="F54" s="8">
        <f t="shared" si="12"/>
        <v>4.3152319794132026E-3</v>
      </c>
      <c r="G54" s="3"/>
      <c r="H54" s="7">
        <v>168.91</v>
      </c>
      <c r="I54" s="3"/>
      <c r="J54" s="8">
        <f t="shared" si="13"/>
        <v>4.867137042281363E-3</v>
      </c>
      <c r="K54" s="3"/>
      <c r="L54" s="7">
        <f t="shared" si="14"/>
        <v>10.920000000000016</v>
      </c>
      <c r="M54" s="3"/>
      <c r="N54" s="8">
        <f t="shared" si="15"/>
        <v>6.4649813510153434E-2</v>
      </c>
      <c r="O54" s="12"/>
      <c r="P54" s="7">
        <v>848.15</v>
      </c>
      <c r="Q54" s="3"/>
      <c r="R54" s="8">
        <f t="shared" si="16"/>
        <v>2.2432475379422648E-3</v>
      </c>
      <c r="S54" s="3"/>
      <c r="T54" s="7">
        <v>2361.65</v>
      </c>
      <c r="U54" s="3"/>
      <c r="V54" s="8">
        <f t="shared" si="17"/>
        <v>8.2572573500394267E-3</v>
      </c>
      <c r="W54" s="3"/>
      <c r="X54" s="7">
        <f t="shared" si="18"/>
        <v>-1513.5</v>
      </c>
      <c r="Y54" s="3"/>
      <c r="Z54" s="8">
        <f t="shared" si="19"/>
        <v>-0.6408654965807804</v>
      </c>
    </row>
    <row r="55" spans="1:26" s="69" customFormat="1" ht="15" hidden="1" customHeight="1" outlineLevel="2" x14ac:dyDescent="0.25">
      <c r="A55" s="25"/>
      <c r="B55" s="12" t="str">
        <f>CONCATENATE("          ","6113"," - ","GROUP INSURANCE")</f>
        <v xml:space="preserve">          6113 - GROUP INSURANCE</v>
      </c>
      <c r="C55" s="12"/>
      <c r="D55" s="7">
        <v>487.33</v>
      </c>
      <c r="E55" s="3"/>
      <c r="F55" s="8">
        <f t="shared" si="12"/>
        <v>1.1694055499791113E-2</v>
      </c>
      <c r="G55" s="3"/>
      <c r="H55" s="7">
        <v>1998.43</v>
      </c>
      <c r="I55" s="3"/>
      <c r="J55" s="8">
        <f t="shared" si="13"/>
        <v>5.7584705934558902E-2</v>
      </c>
      <c r="K55" s="3"/>
      <c r="L55" s="7">
        <f t="shared" si="14"/>
        <v>-1511.1000000000001</v>
      </c>
      <c r="M55" s="3"/>
      <c r="N55" s="8">
        <f t="shared" si="15"/>
        <v>-0.75614357270457311</v>
      </c>
      <c r="O55" s="12"/>
      <c r="P55" s="7">
        <v>5608.1</v>
      </c>
      <c r="Q55" s="3"/>
      <c r="R55" s="8">
        <f t="shared" si="16"/>
        <v>1.483270237285152E-2</v>
      </c>
      <c r="S55" s="3"/>
      <c r="T55" s="7">
        <v>26285.759999999998</v>
      </c>
      <c r="U55" s="3"/>
      <c r="V55" s="8">
        <f t="shared" si="17"/>
        <v>9.1905356408177485E-2</v>
      </c>
      <c r="W55" s="3"/>
      <c r="X55" s="7">
        <f t="shared" si="18"/>
        <v>-20677.659999999996</v>
      </c>
      <c r="Y55" s="3"/>
      <c r="Z55" s="8">
        <f t="shared" si="19"/>
        <v>-0.78664874061088574</v>
      </c>
    </row>
    <row r="56" spans="1:26" s="69" customFormat="1" ht="15" hidden="1" customHeight="1" outlineLevel="2" x14ac:dyDescent="0.25">
      <c r="A56" s="25"/>
      <c r="B56" s="12" t="str">
        <f>CONCATENATE("          ","6114"," - ","STATE UNEMPLOYMENT INSURANCE")</f>
        <v xml:space="preserve">          6114 - STATE UNEMPLOYMENT INSURANCE</v>
      </c>
      <c r="C56" s="12"/>
      <c r="D56" s="7">
        <v>31.59</v>
      </c>
      <c r="E56" s="3"/>
      <c r="F56" s="8">
        <f t="shared" si="12"/>
        <v>7.5803913823979912E-4</v>
      </c>
      <c r="G56" s="3"/>
      <c r="H56" s="7">
        <v>23.74</v>
      </c>
      <c r="I56" s="3"/>
      <c r="J56" s="8">
        <f t="shared" si="13"/>
        <v>6.8406745239334296E-4</v>
      </c>
      <c r="K56" s="3"/>
      <c r="L56" s="7">
        <f t="shared" si="14"/>
        <v>7.8500000000000014</v>
      </c>
      <c r="M56" s="3"/>
      <c r="N56" s="8">
        <f t="shared" si="15"/>
        <v>0.33066554338668919</v>
      </c>
      <c r="O56" s="12"/>
      <c r="P56" s="7">
        <v>149</v>
      </c>
      <c r="Q56" s="3"/>
      <c r="R56" s="8">
        <f t="shared" si="16"/>
        <v>3.9408581401096206E-4</v>
      </c>
      <c r="S56" s="3"/>
      <c r="T56" s="7">
        <v>305.57</v>
      </c>
      <c r="U56" s="3"/>
      <c r="V56" s="8">
        <f t="shared" si="17"/>
        <v>1.0683929153141015E-3</v>
      </c>
      <c r="W56" s="3"/>
      <c r="X56" s="7">
        <f t="shared" si="18"/>
        <v>-156.57</v>
      </c>
      <c r="Y56" s="3"/>
      <c r="Z56" s="8">
        <f t="shared" si="19"/>
        <v>-0.51238668717478808</v>
      </c>
    </row>
    <row r="57" spans="1:26" s="69" customFormat="1" ht="15" hidden="1" customHeight="1" outlineLevel="2" x14ac:dyDescent="0.25">
      <c r="A57" s="25"/>
      <c r="B57" s="12" t="str">
        <f>CONCATENATE("          ","6115"," - ","P.E.R.S.")</f>
        <v xml:space="preserve">          6115 - P.E.R.S.</v>
      </c>
      <c r="C57" s="12"/>
      <c r="D57" s="7">
        <v>99.84</v>
      </c>
      <c r="E57" s="3"/>
      <c r="F57" s="8">
        <f t="shared" si="12"/>
        <v>2.3957780171529452E-3</v>
      </c>
      <c r="G57" s="3"/>
      <c r="H57" s="7">
        <v>362.12</v>
      </c>
      <c r="I57" s="3"/>
      <c r="J57" s="8">
        <f t="shared" si="13"/>
        <v>1.0434477921679754E-2</v>
      </c>
      <c r="K57" s="3"/>
      <c r="L57" s="7">
        <f t="shared" si="14"/>
        <v>-262.27999999999997</v>
      </c>
      <c r="M57" s="3"/>
      <c r="N57" s="8">
        <f t="shared" si="15"/>
        <v>-0.72429029051143257</v>
      </c>
      <c r="O57" s="12"/>
      <c r="P57" s="7">
        <v>1078.01</v>
      </c>
      <c r="Q57" s="3"/>
      <c r="R57" s="8">
        <f t="shared" si="16"/>
        <v>2.8511976400131356E-3</v>
      </c>
      <c r="S57" s="3"/>
      <c r="T57" s="7">
        <v>4218.6899999999996</v>
      </c>
      <c r="U57" s="3"/>
      <c r="V57" s="8">
        <f t="shared" si="17"/>
        <v>1.4750199652801145E-2</v>
      </c>
      <c r="W57" s="3"/>
      <c r="X57" s="7">
        <f t="shared" si="18"/>
        <v>-3140.6799999999994</v>
      </c>
      <c r="Y57" s="3"/>
      <c r="Z57" s="8">
        <f t="shared" si="19"/>
        <v>-0.74446806947180277</v>
      </c>
    </row>
    <row r="58" spans="1:26" s="69" customFormat="1" ht="15" hidden="1" customHeight="1" outlineLevel="2" x14ac:dyDescent="0.25">
      <c r="A58" s="25"/>
      <c r="B58" s="12" t="str">
        <f>CONCATENATE("          ","6118"," - ","VACATION")</f>
        <v xml:space="preserve">          6118 - VACATION</v>
      </c>
      <c r="C58" s="12"/>
      <c r="D58" s="7">
        <v>96.19</v>
      </c>
      <c r="E58" s="3"/>
      <c r="F58" s="8">
        <f t="shared" si="12"/>
        <v>2.3081919818704107E-3</v>
      </c>
      <c r="G58" s="3"/>
      <c r="H58" s="7">
        <v>342.56</v>
      </c>
      <c r="I58" s="3"/>
      <c r="J58" s="8">
        <f t="shared" si="13"/>
        <v>9.870857055259627E-3</v>
      </c>
      <c r="K58" s="3"/>
      <c r="L58" s="7">
        <f t="shared" si="14"/>
        <v>-246.37</v>
      </c>
      <c r="M58" s="3"/>
      <c r="N58" s="8">
        <f t="shared" si="15"/>
        <v>-0.71920247547874827</v>
      </c>
      <c r="O58" s="12"/>
      <c r="P58" s="7">
        <v>1307.6099999999999</v>
      </c>
      <c r="Q58" s="3"/>
      <c r="R58" s="8">
        <f t="shared" si="16"/>
        <v>3.4584600755629131E-3</v>
      </c>
      <c r="S58" s="3"/>
      <c r="T58" s="7">
        <v>5126.0200000000004</v>
      </c>
      <c r="U58" s="3"/>
      <c r="V58" s="8">
        <f t="shared" si="17"/>
        <v>1.7922582229140265E-2</v>
      </c>
      <c r="W58" s="3"/>
      <c r="X58" s="7">
        <f t="shared" si="18"/>
        <v>-3818.4100000000008</v>
      </c>
      <c r="Y58" s="3"/>
      <c r="Z58" s="8">
        <f t="shared" si="19"/>
        <v>-0.74490735502397576</v>
      </c>
    </row>
    <row r="59" spans="1:26" s="69" customFormat="1" ht="15" hidden="1" customHeight="1" outlineLevel="2" x14ac:dyDescent="0.25">
      <c r="A59" s="25"/>
      <c r="B59" s="12" t="str">
        <f>CONCATENATE("          ","6119"," - ","SICK LEAVE")</f>
        <v xml:space="preserve">          6119 - SICK LEAVE</v>
      </c>
      <c r="C59" s="12"/>
      <c r="D59" s="7">
        <v>60.68</v>
      </c>
      <c r="E59" s="3"/>
      <c r="F59" s="8">
        <f t="shared" si="12"/>
        <v>1.4560878413545746E-3</v>
      </c>
      <c r="G59" s="3"/>
      <c r="H59" s="7">
        <v>216.08</v>
      </c>
      <c r="I59" s="3"/>
      <c r="J59" s="8">
        <f t="shared" si="13"/>
        <v>6.2263393055245813E-3</v>
      </c>
      <c r="K59" s="3"/>
      <c r="L59" s="7">
        <f t="shared" si="14"/>
        <v>-155.4</v>
      </c>
      <c r="M59" s="3"/>
      <c r="N59" s="8">
        <f t="shared" si="15"/>
        <v>-0.71917808219178081</v>
      </c>
      <c r="O59" s="12"/>
      <c r="P59" s="7">
        <v>905.22</v>
      </c>
      <c r="Q59" s="3"/>
      <c r="R59" s="8">
        <f t="shared" si="16"/>
        <v>2.3941903393221685E-3</v>
      </c>
      <c r="S59" s="3"/>
      <c r="T59" s="7">
        <v>3983.95</v>
      </c>
      <c r="U59" s="3"/>
      <c r="V59" s="8">
        <f t="shared" si="17"/>
        <v>1.3929456278317945E-2</v>
      </c>
      <c r="W59" s="3"/>
      <c r="X59" s="7">
        <f t="shared" si="18"/>
        <v>-3078.7299999999996</v>
      </c>
      <c r="Y59" s="3"/>
      <c r="Z59" s="8">
        <f t="shared" si="19"/>
        <v>-0.77278329296301407</v>
      </c>
    </row>
    <row r="60" spans="1:26" s="69" customFormat="1" ht="15" hidden="1" customHeight="1" outlineLevel="2" x14ac:dyDescent="0.25">
      <c r="A60" s="25"/>
      <c r="B60" s="12" t="str">
        <f>CONCATENATE("          ","6156"," - ","EMPLOYEE MEALS")</f>
        <v xml:space="preserve">          6156 - EMPLOYEE MEALS</v>
      </c>
      <c r="C60" s="12"/>
      <c r="D60" s="7">
        <v>187.9</v>
      </c>
      <c r="E60" s="3"/>
      <c r="F60" s="8">
        <f t="shared" si="12"/>
        <v>4.5088811039967792E-3</v>
      </c>
      <c r="G60" s="3"/>
      <c r="H60" s="7">
        <v>101.69</v>
      </c>
      <c r="I60" s="3"/>
      <c r="J60" s="8">
        <f t="shared" si="13"/>
        <v>2.9301945759847956E-3</v>
      </c>
      <c r="K60" s="3"/>
      <c r="L60" s="7">
        <f t="shared" si="14"/>
        <v>86.210000000000008</v>
      </c>
      <c r="M60" s="3"/>
      <c r="N60" s="8">
        <f t="shared" si="15"/>
        <v>0.8477726423443801</v>
      </c>
      <c r="O60" s="12"/>
      <c r="P60" s="7">
        <v>1688.5</v>
      </c>
      <c r="Q60" s="3"/>
      <c r="R60" s="8">
        <f t="shared" si="16"/>
        <v>4.4658650802517413E-3</v>
      </c>
      <c r="S60" s="3"/>
      <c r="T60" s="7">
        <v>1559.48</v>
      </c>
      <c r="U60" s="3"/>
      <c r="V60" s="8">
        <f t="shared" si="17"/>
        <v>5.4525554981642013E-3</v>
      </c>
      <c r="W60" s="3"/>
      <c r="X60" s="7">
        <f t="shared" si="18"/>
        <v>129.01999999999998</v>
      </c>
      <c r="Y60" s="3"/>
      <c r="Z60" s="8">
        <f t="shared" si="19"/>
        <v>8.2732705773719425E-2</v>
      </c>
    </row>
    <row r="61" spans="1:26" s="68" customFormat="1" ht="15" customHeight="1" outlineLevel="1" collapsed="1" x14ac:dyDescent="0.25">
      <c r="A61" s="26"/>
      <c r="B61" s="14" t="str">
        <f>CONCATENATE("     ","*Payroll                                          ")</f>
        <v xml:space="preserve">     *Payroll                                          </v>
      </c>
      <c r="C61" s="14"/>
      <c r="D61" s="2">
        <f>SUM(OSRRefD22_1x_0)</f>
        <v>7600.55</v>
      </c>
      <c r="E61" s="2"/>
      <c r="F61" s="6">
        <f t="shared" si="12"/>
        <v>0.18238412067579945</v>
      </c>
      <c r="G61" s="2"/>
      <c r="H61" s="2">
        <f>SUM(OSRRefH22_1x_0)</f>
        <v>7647.45</v>
      </c>
      <c r="I61" s="2"/>
      <c r="J61" s="6">
        <f t="shared" si="13"/>
        <v>0.22036106313418158</v>
      </c>
      <c r="K61" s="2"/>
      <c r="L61" s="2">
        <f t="shared" si="14"/>
        <v>-46.899999999999636</v>
      </c>
      <c r="M61" s="2"/>
      <c r="N61" s="6">
        <f t="shared" si="15"/>
        <v>-6.1327632086512025E-3</v>
      </c>
      <c r="O61" s="14"/>
      <c r="P61" s="2">
        <f>SUM(OSRRefP22_1x_0)</f>
        <v>80771.5</v>
      </c>
      <c r="Q61" s="2"/>
      <c r="R61" s="6">
        <f t="shared" si="16"/>
        <v>0.21363021695561357</v>
      </c>
      <c r="S61" s="2"/>
      <c r="T61" s="2">
        <f>SUM(OSRRefT22_1x_0)</f>
        <v>90835.67</v>
      </c>
      <c r="U61" s="2"/>
      <c r="V61" s="6">
        <f t="shared" si="17"/>
        <v>0.31759723233893922</v>
      </c>
      <c r="W61" s="2"/>
      <c r="X61" s="2">
        <f t="shared" si="18"/>
        <v>-10064.169999999998</v>
      </c>
      <c r="Y61" s="2"/>
      <c r="Z61" s="6">
        <f t="shared" si="19"/>
        <v>-0.11079535164985295</v>
      </c>
    </row>
    <row r="62" spans="1:26" s="69" customFormat="1" ht="15" hidden="1" customHeight="1" outlineLevel="2" x14ac:dyDescent="0.25">
      <c r="A62" s="25"/>
      <c r="B62" s="12" t="str">
        <f>CONCATENATE("          ","6002"," - ","STAFF SALARIES")</f>
        <v xml:space="preserve">          6002 - STAFF SALARIES</v>
      </c>
      <c r="C62" s="12"/>
      <c r="D62" s="7">
        <v>1315.44</v>
      </c>
      <c r="E62" s="3"/>
      <c r="F62" s="8">
        <f t="shared" si="12"/>
        <v>3.1565527192344456E-2</v>
      </c>
      <c r="G62" s="3"/>
      <c r="H62" s="7">
        <v>4684.62</v>
      </c>
      <c r="I62" s="3"/>
      <c r="J62" s="8">
        <f t="shared" si="13"/>
        <v>0.13498719750762014</v>
      </c>
      <c r="K62" s="3"/>
      <c r="L62" s="7">
        <f t="shared" si="14"/>
        <v>-3369.18</v>
      </c>
      <c r="M62" s="3"/>
      <c r="N62" s="8">
        <f t="shared" si="15"/>
        <v>-0.71920027664997377</v>
      </c>
      <c r="O62" s="12"/>
      <c r="P62" s="7">
        <v>14468.09</v>
      </c>
      <c r="Q62" s="3"/>
      <c r="R62" s="8">
        <f t="shared" si="16"/>
        <v>3.8266235065999063E-2</v>
      </c>
      <c r="S62" s="3"/>
      <c r="T62" s="7">
        <v>52692.74</v>
      </c>
      <c r="U62" s="3"/>
      <c r="V62" s="8">
        <f t="shared" si="17"/>
        <v>0.18423454561798594</v>
      </c>
      <c r="W62" s="3"/>
      <c r="X62" s="7">
        <f t="shared" si="18"/>
        <v>-38224.649999999994</v>
      </c>
      <c r="Y62" s="3"/>
      <c r="Z62" s="8">
        <f t="shared" si="19"/>
        <v>-0.72542536220359766</v>
      </c>
    </row>
    <row r="63" spans="1:26" s="69" customFormat="1" ht="15" hidden="1" customHeight="1" outlineLevel="2" x14ac:dyDescent="0.25">
      <c r="A63" s="25"/>
      <c r="B63" s="12" t="str">
        <f>CONCATENATE("          ","6004"," - ","STAFF HOURLY")</f>
        <v xml:space="preserve">          6004 - STAFF HOURLY</v>
      </c>
      <c r="C63" s="12"/>
      <c r="D63" s="7"/>
      <c r="E63" s="3"/>
      <c r="F63" s="8">
        <f t="shared" si="12"/>
        <v>0</v>
      </c>
      <c r="G63" s="3"/>
      <c r="H63" s="7"/>
      <c r="I63" s="3"/>
      <c r="J63" s="8">
        <f t="shared" si="13"/>
        <v>0</v>
      </c>
      <c r="K63" s="3"/>
      <c r="L63" s="7">
        <f t="shared" si="14"/>
        <v>0</v>
      </c>
      <c r="M63" s="3"/>
      <c r="N63" s="8">
        <f t="shared" si="15"/>
        <v>0</v>
      </c>
      <c r="O63" s="12"/>
      <c r="P63" s="7">
        <v>4272.3900000000003</v>
      </c>
      <c r="Q63" s="3"/>
      <c r="R63" s="8">
        <f t="shared" si="16"/>
        <v>1.1299921415585867E-2</v>
      </c>
      <c r="S63" s="3"/>
      <c r="T63" s="7">
        <v>3456.21</v>
      </c>
      <c r="U63" s="3"/>
      <c r="V63" s="8">
        <f t="shared" si="17"/>
        <v>1.2084269652903592E-2</v>
      </c>
      <c r="W63" s="3"/>
      <c r="X63" s="7">
        <f t="shared" si="18"/>
        <v>816.18000000000029</v>
      </c>
      <c r="Y63" s="3"/>
      <c r="Z63" s="8">
        <f t="shared" si="19"/>
        <v>0.23614884512225828</v>
      </c>
    </row>
    <row r="64" spans="1:26" s="69" customFormat="1" ht="15" hidden="1" customHeight="1" outlineLevel="2" x14ac:dyDescent="0.25">
      <c r="A64" s="25"/>
      <c r="B64" s="12" t="str">
        <f>CONCATENATE("          ","6005"," - ","TEMPORARY WAGES-HOURLY")</f>
        <v xml:space="preserve">          6005 - TEMPORARY WAGES-HOURLY</v>
      </c>
      <c r="C64" s="12"/>
      <c r="D64" s="7"/>
      <c r="E64" s="3"/>
      <c r="F64" s="8">
        <f t="shared" si="12"/>
        <v>0</v>
      </c>
      <c r="G64" s="3"/>
      <c r="H64" s="7">
        <v>1457.48</v>
      </c>
      <c r="I64" s="3"/>
      <c r="J64" s="8">
        <f t="shared" si="13"/>
        <v>4.1997246441206802E-2</v>
      </c>
      <c r="K64" s="3"/>
      <c r="L64" s="7">
        <f t="shared" si="14"/>
        <v>-1457.48</v>
      </c>
      <c r="M64" s="3"/>
      <c r="N64" s="8">
        <f t="shared" si="15"/>
        <v>-1</v>
      </c>
      <c r="O64" s="12"/>
      <c r="P64" s="7">
        <v>7890.68</v>
      </c>
      <c r="Q64" s="3"/>
      <c r="R64" s="8">
        <f t="shared" si="16"/>
        <v>2.0869832556375961E-2</v>
      </c>
      <c r="S64" s="3"/>
      <c r="T64" s="7">
        <v>18040.59</v>
      </c>
      <c r="U64" s="3"/>
      <c r="V64" s="8">
        <f t="shared" si="17"/>
        <v>6.3076998867972731E-2</v>
      </c>
      <c r="W64" s="3"/>
      <c r="X64" s="7">
        <f t="shared" si="18"/>
        <v>-10149.91</v>
      </c>
      <c r="Y64" s="3"/>
      <c r="Z64" s="8">
        <f t="shared" si="19"/>
        <v>-0.56261519163175921</v>
      </c>
    </row>
    <row r="65" spans="1:26" s="69" customFormat="1" ht="15" hidden="1" customHeight="1" outlineLevel="2" x14ac:dyDescent="0.25">
      <c r="A65" s="25"/>
      <c r="B65" s="12" t="str">
        <f>CONCATENATE("          ","6006"," - ","TEMPORARY PART TIME")</f>
        <v xml:space="preserve">          6006 - TEMPORARY PART TIME</v>
      </c>
      <c r="C65" s="12"/>
      <c r="D65" s="7"/>
      <c r="E65" s="3"/>
      <c r="F65" s="8">
        <f t="shared" si="12"/>
        <v>0</v>
      </c>
      <c r="G65" s="3"/>
      <c r="H65" s="7"/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/>
      <c r="Q65" s="3"/>
      <c r="R65" s="8">
        <f t="shared" si="16"/>
        <v>0</v>
      </c>
      <c r="S65" s="3"/>
      <c r="T65" s="7">
        <v>710.96</v>
      </c>
      <c r="U65" s="3"/>
      <c r="V65" s="8">
        <f t="shared" si="17"/>
        <v>2.4857958146143719E-3</v>
      </c>
      <c r="W65" s="3"/>
      <c r="X65" s="7">
        <f t="shared" si="18"/>
        <v>-710.96</v>
      </c>
      <c r="Y65" s="3"/>
      <c r="Z65" s="8">
        <f t="shared" si="19"/>
        <v>-1</v>
      </c>
    </row>
    <row r="66" spans="1:26" s="69" customFormat="1" ht="15" hidden="1" customHeight="1" outlineLevel="2" x14ac:dyDescent="0.25">
      <c r="A66" s="25"/>
      <c r="B66" s="12" t="str">
        <f>CONCATENATE("          ","6007"," - ","STUDENT HOURLY")</f>
        <v xml:space="preserve">          6007 - STUDENT HOURLY</v>
      </c>
      <c r="C66" s="12"/>
      <c r="D66" s="7">
        <v>5359.16</v>
      </c>
      <c r="E66" s="3"/>
      <c r="F66" s="8">
        <f t="shared" si="12"/>
        <v>0.12859933612184873</v>
      </c>
      <c r="G66" s="3"/>
      <c r="H66" s="7">
        <v>1308.3699999999999</v>
      </c>
      <c r="I66" s="3"/>
      <c r="J66" s="8">
        <f t="shared" si="13"/>
        <v>3.7700645858798572E-2</v>
      </c>
      <c r="K66" s="3"/>
      <c r="L66" s="7">
        <f t="shared" si="14"/>
        <v>4050.79</v>
      </c>
      <c r="M66" s="3"/>
      <c r="N66" s="8">
        <f t="shared" si="15"/>
        <v>3.0960584544127427</v>
      </c>
      <c r="O66" s="12"/>
      <c r="P66" s="7">
        <v>50902.07</v>
      </c>
      <c r="Q66" s="3"/>
      <c r="R66" s="8">
        <f t="shared" si="16"/>
        <v>0.13462942074357698</v>
      </c>
      <c r="S66" s="3"/>
      <c r="T66" s="7">
        <v>13737.68</v>
      </c>
      <c r="U66" s="3"/>
      <c r="V66" s="8">
        <f t="shared" si="17"/>
        <v>4.803233296741246E-2</v>
      </c>
      <c r="W66" s="3"/>
      <c r="X66" s="7">
        <f t="shared" si="18"/>
        <v>37164.39</v>
      </c>
      <c r="Y66" s="3"/>
      <c r="Z66" s="8">
        <f t="shared" si="19"/>
        <v>2.7052886659173891</v>
      </c>
    </row>
    <row r="67" spans="1:26" s="69" customFormat="1" ht="15" hidden="1" customHeight="1" outlineLevel="2" x14ac:dyDescent="0.25">
      <c r="A67" s="25"/>
      <c r="B67" s="12" t="str">
        <f>CONCATENATE("          ","6008"," - ","STUDENT HOURLY-FICA EXEMPT")</f>
        <v xml:space="preserve">          6008 - STUDENT HOURLY-FICA EXEMPT</v>
      </c>
      <c r="C67" s="12"/>
      <c r="D67" s="7">
        <v>925.95</v>
      </c>
      <c r="E67" s="3"/>
      <c r="F67" s="8">
        <f t="shared" si="12"/>
        <v>2.2219257361606268E-2</v>
      </c>
      <c r="G67" s="3"/>
      <c r="H67" s="7">
        <v>196.98</v>
      </c>
      <c r="I67" s="3"/>
      <c r="J67" s="8">
        <f t="shared" si="13"/>
        <v>5.675973326556053E-3</v>
      </c>
      <c r="K67" s="3"/>
      <c r="L67" s="7">
        <f t="shared" si="14"/>
        <v>728.97</v>
      </c>
      <c r="M67" s="3"/>
      <c r="N67" s="8">
        <f t="shared" si="15"/>
        <v>3.7007310386841308</v>
      </c>
      <c r="O67" s="12"/>
      <c r="P67" s="7">
        <v>3238.27</v>
      </c>
      <c r="Q67" s="3"/>
      <c r="R67" s="8">
        <f t="shared" si="16"/>
        <v>8.564807174075692E-3</v>
      </c>
      <c r="S67" s="3"/>
      <c r="T67" s="7">
        <v>2197.4899999999998</v>
      </c>
      <c r="U67" s="3"/>
      <c r="V67" s="8">
        <f t="shared" si="17"/>
        <v>7.6832894180501503E-3</v>
      </c>
      <c r="W67" s="3"/>
      <c r="X67" s="7">
        <f t="shared" si="18"/>
        <v>1040.7800000000002</v>
      </c>
      <c r="Y67" s="3"/>
      <c r="Z67" s="8">
        <f t="shared" si="19"/>
        <v>0.47362217803038936</v>
      </c>
    </row>
    <row r="68" spans="1:26" s="68" customFormat="1" ht="15" customHeight="1" outlineLevel="1" collapsed="1" x14ac:dyDescent="0.25">
      <c r="A68" s="26"/>
      <c r="B68" s="14" t="str">
        <f>CONCATENATE("     ","Advertising/Promo                                 ")</f>
        <v xml:space="preserve">     Advertising/Promo                                 </v>
      </c>
      <c r="C68" s="14"/>
      <c r="D68" s="2">
        <f>SUM(OSRRefD22_2x_0)</f>
        <v>312.64</v>
      </c>
      <c r="E68" s="2"/>
      <c r="F68" s="6">
        <f t="shared" si="12"/>
        <v>7.5021638549949594E-3</v>
      </c>
      <c r="G68" s="2"/>
      <c r="H68" s="2">
        <f>SUM(OSRRefH22_2x_0)</f>
        <v>-546</v>
      </c>
      <c r="I68" s="2"/>
      <c r="J68" s="6">
        <f t="shared" si="13"/>
        <v>-1.5732975105592472E-2</v>
      </c>
      <c r="K68" s="2"/>
      <c r="L68" s="2">
        <f t="shared" si="14"/>
        <v>858.64</v>
      </c>
      <c r="M68" s="2"/>
      <c r="N68" s="6">
        <f t="shared" si="15"/>
        <v>-1.5726007326007325</v>
      </c>
      <c r="O68" s="14"/>
      <c r="P68" s="2">
        <f>SUM(OSRRefP22_2x_0)</f>
        <v>2374.91</v>
      </c>
      <c r="Q68" s="2"/>
      <c r="R68" s="6">
        <f t="shared" si="16"/>
        <v>6.2813311446494888E-3</v>
      </c>
      <c r="S68" s="2"/>
      <c r="T68" s="2">
        <f>SUM(OSRRefT22_2x_0)</f>
        <v>1414.2</v>
      </c>
      <c r="U68" s="2"/>
      <c r="V68" s="6">
        <f t="shared" si="17"/>
        <v>4.9445994725830491E-3</v>
      </c>
      <c r="W68" s="2"/>
      <c r="X68" s="2">
        <f t="shared" si="18"/>
        <v>960.70999999999981</v>
      </c>
      <c r="Y68" s="2"/>
      <c r="Z68" s="6">
        <f t="shared" si="19"/>
        <v>0.67933107056993336</v>
      </c>
    </row>
    <row r="69" spans="1:26" s="69" customFormat="1" ht="15" hidden="1" customHeight="1" outlineLevel="2" x14ac:dyDescent="0.25">
      <c r="A69" s="25"/>
      <c r="B69" s="12" t="str">
        <f>CONCATENATE("          ","6362"," - ","ADVERTISING EXPENSE")</f>
        <v xml:space="preserve">          6362 - ADVERTISING EXPENSE</v>
      </c>
      <c r="C69" s="12"/>
      <c r="D69" s="7">
        <v>312.64</v>
      </c>
      <c r="E69" s="3"/>
      <c r="F69" s="8">
        <f t="shared" si="12"/>
        <v>7.5021638549949594E-3</v>
      </c>
      <c r="G69" s="3"/>
      <c r="H69" s="7">
        <v>-546</v>
      </c>
      <c r="I69" s="3"/>
      <c r="J69" s="8">
        <f t="shared" si="13"/>
        <v>-1.5732975105592472E-2</v>
      </c>
      <c r="K69" s="3"/>
      <c r="L69" s="7">
        <f t="shared" si="14"/>
        <v>858.64</v>
      </c>
      <c r="M69" s="3"/>
      <c r="N69" s="8">
        <f t="shared" si="15"/>
        <v>-1.5726007326007325</v>
      </c>
      <c r="O69" s="12"/>
      <c r="P69" s="7">
        <v>2374.91</v>
      </c>
      <c r="Q69" s="3"/>
      <c r="R69" s="8">
        <f t="shared" si="16"/>
        <v>6.2813311446494888E-3</v>
      </c>
      <c r="S69" s="3"/>
      <c r="T69" s="7">
        <v>1414.2</v>
      </c>
      <c r="U69" s="3"/>
      <c r="V69" s="8">
        <f t="shared" si="17"/>
        <v>4.9445994725830491E-3</v>
      </c>
      <c r="W69" s="3"/>
      <c r="X69" s="7">
        <f t="shared" si="18"/>
        <v>960.70999999999981</v>
      </c>
      <c r="Y69" s="3"/>
      <c r="Z69" s="8">
        <f t="shared" si="19"/>
        <v>0.67933107056993336</v>
      </c>
    </row>
    <row r="70" spans="1:26" s="68" customFormat="1" ht="15" customHeight="1" outlineLevel="1" collapsed="1" x14ac:dyDescent="0.25">
      <c r="A70" s="26"/>
      <c r="B70" s="14" t="str">
        <f>CONCATENATE("     ","Bad Debts/Over/Short                              ")</f>
        <v xml:space="preserve">     Bad Debts/Over/Short                              </v>
      </c>
      <c r="C70" s="14"/>
      <c r="D70" s="2">
        <f>SUM(OSRRefD22_3x_0)</f>
        <v>-4.0199999999999996</v>
      </c>
      <c r="E70" s="2"/>
      <c r="F70" s="6">
        <f t="shared" si="12"/>
        <v>-9.6464619681038054E-5</v>
      </c>
      <c r="G70" s="2"/>
      <c r="H70" s="2">
        <f>SUM(OSRRefH22_3x_0)</f>
        <v>-1.4</v>
      </c>
      <c r="I70" s="2"/>
      <c r="J70" s="6">
        <f t="shared" si="13"/>
        <v>-4.0340961809211461E-5</v>
      </c>
      <c r="K70" s="2"/>
      <c r="L70" s="2">
        <f t="shared" si="14"/>
        <v>-2.6199999999999997</v>
      </c>
      <c r="M70" s="2"/>
      <c r="N70" s="6">
        <f t="shared" si="15"/>
        <v>1.8714285714285712</v>
      </c>
      <c r="O70" s="14"/>
      <c r="P70" s="2">
        <f>SUM(OSRRefP22_3x_0)</f>
        <v>-52.93</v>
      </c>
      <c r="Q70" s="2"/>
      <c r="R70" s="6">
        <f t="shared" si="16"/>
        <v>-1.3999303446711559E-4</v>
      </c>
      <c r="S70" s="2"/>
      <c r="T70" s="2">
        <f>SUM(OSRRefT22_3x_0)</f>
        <v>-24.5</v>
      </c>
      <c r="U70" s="2"/>
      <c r="V70" s="6">
        <f t="shared" si="17"/>
        <v>-8.5661637023253217E-5</v>
      </c>
      <c r="W70" s="2"/>
      <c r="X70" s="2">
        <f t="shared" si="18"/>
        <v>-28.43</v>
      </c>
      <c r="Y70" s="2"/>
      <c r="Z70" s="6">
        <f t="shared" si="19"/>
        <v>1.160408163265306</v>
      </c>
    </row>
    <row r="71" spans="1:26" s="69" customFormat="1" ht="15" hidden="1" customHeight="1" outlineLevel="2" x14ac:dyDescent="0.25">
      <c r="A71" s="25"/>
      <c r="B71" s="12" t="str">
        <f>CONCATENATE("          ","6272"," - ","CASH (OVER/SHORT)")</f>
        <v xml:space="preserve">          6272 - CASH (OVER/SHORT)</v>
      </c>
      <c r="C71" s="12"/>
      <c r="D71" s="7">
        <v>-4.0199999999999996</v>
      </c>
      <c r="E71" s="3"/>
      <c r="F71" s="8">
        <f t="shared" si="12"/>
        <v>-9.6464619681038054E-5</v>
      </c>
      <c r="G71" s="3"/>
      <c r="H71" s="7">
        <v>-1.4</v>
      </c>
      <c r="I71" s="3"/>
      <c r="J71" s="8">
        <f t="shared" si="13"/>
        <v>-4.0340961809211461E-5</v>
      </c>
      <c r="K71" s="3"/>
      <c r="L71" s="7">
        <f t="shared" si="14"/>
        <v>-2.6199999999999997</v>
      </c>
      <c r="M71" s="3"/>
      <c r="N71" s="8">
        <f t="shared" si="15"/>
        <v>1.8714285714285712</v>
      </c>
      <c r="O71" s="12"/>
      <c r="P71" s="7">
        <v>-52.93</v>
      </c>
      <c r="Q71" s="3"/>
      <c r="R71" s="8">
        <f t="shared" si="16"/>
        <v>-1.3999303446711559E-4</v>
      </c>
      <c r="S71" s="3"/>
      <c r="T71" s="7">
        <v>-24.5</v>
      </c>
      <c r="U71" s="3"/>
      <c r="V71" s="8">
        <f t="shared" si="17"/>
        <v>-8.5661637023253217E-5</v>
      </c>
      <c r="W71" s="3"/>
      <c r="X71" s="7">
        <f t="shared" si="18"/>
        <v>-28.43</v>
      </c>
      <c r="Y71" s="3"/>
      <c r="Z71" s="8">
        <f t="shared" si="19"/>
        <v>1.160408163265306</v>
      </c>
    </row>
    <row r="72" spans="1:26" s="68" customFormat="1" ht="15" customHeight="1" outlineLevel="1" collapsed="1" x14ac:dyDescent="0.25">
      <c r="A72" s="26"/>
      <c r="B72" s="14" t="str">
        <f>CONCATENATE("     ","Bank/card Fees                                    ")</f>
        <v xml:space="preserve">     Bank/card Fees                                    </v>
      </c>
      <c r="C72" s="14"/>
      <c r="D72" s="2">
        <f>SUM(OSRRefD22_4x_0)</f>
        <v>855.75</v>
      </c>
      <c r="E72" s="2"/>
      <c r="F72" s="6">
        <f t="shared" si="12"/>
        <v>2.0534725943295602E-2</v>
      </c>
      <c r="G72" s="2"/>
      <c r="H72" s="2">
        <f>SUM(OSRRefH22_4x_0)</f>
        <v>646.5</v>
      </c>
      <c r="I72" s="2"/>
      <c r="J72" s="6">
        <f t="shared" si="13"/>
        <v>1.8628879864039438E-2</v>
      </c>
      <c r="K72" s="2"/>
      <c r="L72" s="2">
        <f t="shared" si="14"/>
        <v>209.25</v>
      </c>
      <c r="M72" s="2"/>
      <c r="N72" s="6">
        <f t="shared" si="15"/>
        <v>0.32366589327146172</v>
      </c>
      <c r="O72" s="14"/>
      <c r="P72" s="2">
        <f>SUM(OSRRefP22_4x_0)</f>
        <v>6201.47</v>
      </c>
      <c r="Q72" s="2"/>
      <c r="R72" s="6">
        <f t="shared" si="16"/>
        <v>1.640208961754739E-2</v>
      </c>
      <c r="S72" s="2"/>
      <c r="T72" s="2">
        <f>SUM(OSRRefT22_4x_0)</f>
        <v>4478.8500000000004</v>
      </c>
      <c r="U72" s="2"/>
      <c r="V72" s="6">
        <f t="shared" si="17"/>
        <v>1.5659821346187663E-2</v>
      </c>
      <c r="W72" s="2"/>
      <c r="X72" s="2">
        <f t="shared" si="18"/>
        <v>1722.62</v>
      </c>
      <c r="Y72" s="2"/>
      <c r="Z72" s="6">
        <f t="shared" si="19"/>
        <v>0.38461212141509532</v>
      </c>
    </row>
    <row r="73" spans="1:26" s="69" customFormat="1" ht="15" hidden="1" customHeight="1" outlineLevel="2" x14ac:dyDescent="0.25">
      <c r="A73" s="25"/>
      <c r="B73" s="12" t="str">
        <f>CONCATENATE("          ","6381"," - ","BANK/CREDIT CARD FEES")</f>
        <v xml:space="preserve">          6381 - BANK/CREDIT CARD FEES</v>
      </c>
      <c r="C73" s="12"/>
      <c r="D73" s="7">
        <v>855.75</v>
      </c>
      <c r="E73" s="3"/>
      <c r="F73" s="8">
        <f t="shared" si="12"/>
        <v>2.0534725943295602E-2</v>
      </c>
      <c r="G73" s="3"/>
      <c r="H73" s="7">
        <v>646.5</v>
      </c>
      <c r="I73" s="3"/>
      <c r="J73" s="8">
        <f t="shared" si="13"/>
        <v>1.8628879864039438E-2</v>
      </c>
      <c r="K73" s="3"/>
      <c r="L73" s="7">
        <f t="shared" si="14"/>
        <v>209.25</v>
      </c>
      <c r="M73" s="3"/>
      <c r="N73" s="8">
        <f t="shared" si="15"/>
        <v>0.32366589327146172</v>
      </c>
      <c r="O73" s="12"/>
      <c r="P73" s="7">
        <v>6201.47</v>
      </c>
      <c r="Q73" s="3"/>
      <c r="R73" s="8">
        <f t="shared" si="16"/>
        <v>1.640208961754739E-2</v>
      </c>
      <c r="S73" s="3"/>
      <c r="T73" s="7">
        <v>4478.8500000000004</v>
      </c>
      <c r="U73" s="3"/>
      <c r="V73" s="8">
        <f t="shared" si="17"/>
        <v>1.5659821346187663E-2</v>
      </c>
      <c r="W73" s="3"/>
      <c r="X73" s="7">
        <f t="shared" si="18"/>
        <v>1722.62</v>
      </c>
      <c r="Y73" s="3"/>
      <c r="Z73" s="8">
        <f t="shared" si="19"/>
        <v>0.38461212141509532</v>
      </c>
    </row>
    <row r="74" spans="1:26" s="68" customFormat="1" ht="15" customHeight="1" outlineLevel="1" collapsed="1" x14ac:dyDescent="0.25">
      <c r="A74" s="26"/>
      <c r="B74" s="14" t="str">
        <f>CONCATENATE("     ","Discounts and Markdowns                           ")</f>
        <v xml:space="preserve">     Discounts and Markdowns                           </v>
      </c>
      <c r="C74" s="14"/>
      <c r="D74" s="2">
        <f>SUM(OSRRefD22_5x_0)</f>
        <v>0</v>
      </c>
      <c r="E74" s="2"/>
      <c r="F74" s="6">
        <f t="shared" si="12"/>
        <v>0</v>
      </c>
      <c r="G74" s="2"/>
      <c r="H74" s="2">
        <f>SUM(OSRRefH22_5x_0)</f>
        <v>0</v>
      </c>
      <c r="I74" s="2"/>
      <c r="J74" s="6">
        <f t="shared" si="13"/>
        <v>0</v>
      </c>
      <c r="K74" s="2"/>
      <c r="L74" s="2">
        <f t="shared" si="14"/>
        <v>0</v>
      </c>
      <c r="M74" s="2"/>
      <c r="N74" s="6">
        <f t="shared" si="15"/>
        <v>0</v>
      </c>
      <c r="O74" s="14"/>
      <c r="P74" s="2">
        <f>SUM(OSRRefP22_5x_0)</f>
        <v>0</v>
      </c>
      <c r="Q74" s="2"/>
      <c r="R74" s="6">
        <f t="shared" si="16"/>
        <v>0</v>
      </c>
      <c r="S74" s="2"/>
      <c r="T74" s="2">
        <f>SUM(OSRRefT22_5x_0)</f>
        <v>0</v>
      </c>
      <c r="U74" s="2"/>
      <c r="V74" s="6">
        <f t="shared" si="17"/>
        <v>0</v>
      </c>
      <c r="W74" s="2"/>
      <c r="X74" s="2">
        <f t="shared" si="18"/>
        <v>0</v>
      </c>
      <c r="Y74" s="2"/>
      <c r="Z74" s="6">
        <f t="shared" si="19"/>
        <v>0</v>
      </c>
    </row>
    <row r="75" spans="1:26" s="69" customFormat="1" ht="15" hidden="1" customHeight="1" outlineLevel="2" x14ac:dyDescent="0.25">
      <c r="A75" s="25"/>
      <c r="B75" s="12" t="str">
        <f>CONCATENATE("          ","6382"," - ","DISCOUNTS/MARK DOWNS")</f>
        <v xml:space="preserve">          6382 - DISCOUNTS/MARK DOWNS</v>
      </c>
      <c r="C75" s="12"/>
      <c r="D75" s="7"/>
      <c r="E75" s="3"/>
      <c r="F75" s="8">
        <f t="shared" si="12"/>
        <v>0</v>
      </c>
      <c r="G75" s="3"/>
      <c r="H75" s="7">
        <v>0</v>
      </c>
      <c r="I75" s="3"/>
      <c r="J75" s="8">
        <f t="shared" si="13"/>
        <v>0</v>
      </c>
      <c r="K75" s="3"/>
      <c r="L75" s="7">
        <f t="shared" si="14"/>
        <v>0</v>
      </c>
      <c r="M75" s="3"/>
      <c r="N75" s="8">
        <f t="shared" si="15"/>
        <v>0</v>
      </c>
      <c r="O75" s="12"/>
      <c r="P75" s="7"/>
      <c r="Q75" s="3"/>
      <c r="R75" s="8">
        <f t="shared" si="16"/>
        <v>0</v>
      </c>
      <c r="S75" s="3"/>
      <c r="T75" s="7">
        <v>0</v>
      </c>
      <c r="U75" s="3"/>
      <c r="V75" s="8">
        <f t="shared" si="17"/>
        <v>0</v>
      </c>
      <c r="W75" s="3"/>
      <c r="X75" s="7">
        <f t="shared" si="18"/>
        <v>0</v>
      </c>
      <c r="Y75" s="3"/>
      <c r="Z75" s="8">
        <f t="shared" si="19"/>
        <v>0</v>
      </c>
    </row>
    <row r="76" spans="1:26" s="68" customFormat="1" ht="15" customHeight="1" outlineLevel="1" collapsed="1" x14ac:dyDescent="0.25">
      <c r="A76" s="26"/>
      <c r="B76" s="14" t="str">
        <f>CONCATENATE("     ","General                                           ")</f>
        <v xml:space="preserve">     General                                           </v>
      </c>
      <c r="C76" s="14"/>
      <c r="D76" s="2">
        <f>SUM(OSRRefD22_6x_0)</f>
        <v>0</v>
      </c>
      <c r="E76" s="2"/>
      <c r="F76" s="6">
        <f t="shared" si="12"/>
        <v>0</v>
      </c>
      <c r="G76" s="2"/>
      <c r="H76" s="2">
        <f>SUM(OSRRefH22_6x_0)</f>
        <v>0</v>
      </c>
      <c r="I76" s="2"/>
      <c r="J76" s="6">
        <f t="shared" si="13"/>
        <v>0</v>
      </c>
      <c r="K76" s="2"/>
      <c r="L76" s="2">
        <f t="shared" si="14"/>
        <v>0</v>
      </c>
      <c r="M76" s="2"/>
      <c r="N76" s="6">
        <f t="shared" si="15"/>
        <v>0</v>
      </c>
      <c r="O76" s="14"/>
      <c r="P76" s="2">
        <f>SUM(OSRRefP22_6x_0)</f>
        <v>1414.19</v>
      </c>
      <c r="Q76" s="2"/>
      <c r="R76" s="6">
        <f t="shared" si="16"/>
        <v>3.7403504517863253E-3</v>
      </c>
      <c r="S76" s="2"/>
      <c r="T76" s="2">
        <f>SUM(OSRRefT22_6x_0)</f>
        <v>1380.29</v>
      </c>
      <c r="U76" s="2"/>
      <c r="V76" s="6">
        <f t="shared" si="17"/>
        <v>4.8260367741561703E-3</v>
      </c>
      <c r="W76" s="2"/>
      <c r="X76" s="2">
        <f t="shared" si="18"/>
        <v>33.900000000000091</v>
      </c>
      <c r="Y76" s="2"/>
      <c r="Z76" s="6">
        <f t="shared" si="19"/>
        <v>2.4560056220069761E-2</v>
      </c>
    </row>
    <row r="77" spans="1:26" s="69" customFormat="1" ht="15" hidden="1" customHeight="1" outlineLevel="2" x14ac:dyDescent="0.25">
      <c r="A77" s="25"/>
      <c r="B77" s="12" t="str">
        <f>CONCATENATE("          ","6279"," - ","GENERAL EXPENSE")</f>
        <v xml:space="preserve">          6279 - GENERAL EXPENSE</v>
      </c>
      <c r="C77" s="12"/>
      <c r="D77" s="7"/>
      <c r="E77" s="3"/>
      <c r="F77" s="8">
        <f t="shared" si="12"/>
        <v>0</v>
      </c>
      <c r="G77" s="3"/>
      <c r="H77" s="7"/>
      <c r="I77" s="3"/>
      <c r="J77" s="8">
        <f t="shared" si="13"/>
        <v>0</v>
      </c>
      <c r="K77" s="3"/>
      <c r="L77" s="7">
        <f t="shared" si="14"/>
        <v>0</v>
      </c>
      <c r="M77" s="3"/>
      <c r="N77" s="8">
        <f t="shared" si="15"/>
        <v>0</v>
      </c>
      <c r="O77" s="12"/>
      <c r="P77" s="7">
        <v>1414.19</v>
      </c>
      <c r="Q77" s="3"/>
      <c r="R77" s="8">
        <f t="shared" si="16"/>
        <v>3.7403504517863253E-3</v>
      </c>
      <c r="S77" s="3"/>
      <c r="T77" s="7">
        <v>1380.29</v>
      </c>
      <c r="U77" s="3"/>
      <c r="V77" s="8">
        <f t="shared" si="17"/>
        <v>4.8260367741561703E-3</v>
      </c>
      <c r="W77" s="3"/>
      <c r="X77" s="7">
        <f t="shared" si="18"/>
        <v>33.900000000000091</v>
      </c>
      <c r="Y77" s="3"/>
      <c r="Z77" s="8">
        <f t="shared" si="19"/>
        <v>2.4560056220069761E-2</v>
      </c>
    </row>
    <row r="78" spans="1:26" s="68" customFormat="1" ht="15" customHeight="1" outlineLevel="1" collapsed="1" x14ac:dyDescent="0.25">
      <c r="A78" s="26"/>
      <c r="B78" s="14" t="str">
        <f>CONCATENATE("     ","Insurance                                         ")</f>
        <v xml:space="preserve">     Insurance                                         </v>
      </c>
      <c r="C78" s="14"/>
      <c r="D78" s="2">
        <f>SUM(OSRRefD22_7x_0)</f>
        <v>219.08</v>
      </c>
      <c r="E78" s="2"/>
      <c r="F78" s="6">
        <f t="shared" si="12"/>
        <v>5.2570818108760749E-3</v>
      </c>
      <c r="G78" s="2"/>
      <c r="H78" s="2">
        <f>SUM(OSRRefH22_7x_0)</f>
        <v>161.18</v>
      </c>
      <c r="I78" s="2"/>
      <c r="J78" s="6">
        <f t="shared" si="13"/>
        <v>4.6443973031490742E-3</v>
      </c>
      <c r="K78" s="2"/>
      <c r="L78" s="2">
        <f t="shared" si="14"/>
        <v>57.900000000000006</v>
      </c>
      <c r="M78" s="2"/>
      <c r="N78" s="6">
        <f t="shared" si="15"/>
        <v>0.35922571038590395</v>
      </c>
      <c r="O78" s="14"/>
      <c r="P78" s="2">
        <f>SUM(OSRRefP22_7x_0)</f>
        <v>2409.88</v>
      </c>
      <c r="Q78" s="2"/>
      <c r="R78" s="6">
        <f t="shared" si="16"/>
        <v>6.3738222917364921E-3</v>
      </c>
      <c r="S78" s="2"/>
      <c r="T78" s="2">
        <f>SUM(OSRRefT22_7x_0)</f>
        <v>1772.98</v>
      </c>
      <c r="U78" s="2"/>
      <c r="V78" s="6">
        <f t="shared" si="17"/>
        <v>6.1990354779382648E-3</v>
      </c>
      <c r="W78" s="2"/>
      <c r="X78" s="2">
        <f t="shared" si="18"/>
        <v>636.90000000000009</v>
      </c>
      <c r="Y78" s="2"/>
      <c r="Z78" s="6">
        <f t="shared" si="19"/>
        <v>0.35922571038590401</v>
      </c>
    </row>
    <row r="79" spans="1:26" s="69" customFormat="1" ht="15" hidden="1" customHeight="1" outlineLevel="2" x14ac:dyDescent="0.25">
      <c r="A79" s="25"/>
      <c r="B79" s="12" t="str">
        <f>CONCATENATE("          ","6314"," - ","LIABILITY INSURANCE")</f>
        <v xml:space="preserve">          6314 - LIABILITY INSURANCE</v>
      </c>
      <c r="C79" s="12"/>
      <c r="D79" s="7">
        <v>219.08</v>
      </c>
      <c r="E79" s="3"/>
      <c r="F79" s="8">
        <f t="shared" si="12"/>
        <v>5.2570818108760749E-3</v>
      </c>
      <c r="G79" s="3"/>
      <c r="H79" s="7">
        <v>161.18</v>
      </c>
      <c r="I79" s="3"/>
      <c r="J79" s="8">
        <f t="shared" si="13"/>
        <v>4.6443973031490742E-3</v>
      </c>
      <c r="K79" s="3"/>
      <c r="L79" s="7">
        <f t="shared" si="14"/>
        <v>57.900000000000006</v>
      </c>
      <c r="M79" s="3"/>
      <c r="N79" s="8">
        <f t="shared" si="15"/>
        <v>0.35922571038590395</v>
      </c>
      <c r="O79" s="12"/>
      <c r="P79" s="7">
        <v>2409.88</v>
      </c>
      <c r="Q79" s="3"/>
      <c r="R79" s="8">
        <f t="shared" si="16"/>
        <v>6.3738222917364921E-3</v>
      </c>
      <c r="S79" s="3"/>
      <c r="T79" s="7">
        <v>1772.98</v>
      </c>
      <c r="U79" s="3"/>
      <c r="V79" s="8">
        <f t="shared" si="17"/>
        <v>6.1990354779382648E-3</v>
      </c>
      <c r="W79" s="3"/>
      <c r="X79" s="7">
        <f t="shared" si="18"/>
        <v>636.90000000000009</v>
      </c>
      <c r="Y79" s="3"/>
      <c r="Z79" s="8">
        <f t="shared" si="19"/>
        <v>0.35922571038590401</v>
      </c>
    </row>
    <row r="80" spans="1:26" s="68" customFormat="1" ht="15" customHeight="1" outlineLevel="1" collapsed="1" x14ac:dyDescent="0.25">
      <c r="A80" s="26"/>
      <c r="B80" s="14" t="str">
        <f>CONCATENATE("     ","Inventory Adjustment                              ")</f>
        <v xml:space="preserve">     Inventory Adjustment                              </v>
      </c>
      <c r="C80" s="14"/>
      <c r="D80" s="2">
        <f>SUM(OSRRefD22_8x_0)</f>
        <v>100</v>
      </c>
      <c r="E80" s="2"/>
      <c r="F80" s="6">
        <f t="shared" si="12"/>
        <v>2.399617405000947E-3</v>
      </c>
      <c r="G80" s="2"/>
      <c r="H80" s="2">
        <f>SUM(OSRRefH22_8x_0)</f>
        <v>100</v>
      </c>
      <c r="I80" s="2"/>
      <c r="J80" s="6">
        <f t="shared" si="13"/>
        <v>2.8814972720865332E-3</v>
      </c>
      <c r="K80" s="2"/>
      <c r="L80" s="2">
        <f t="shared" si="14"/>
        <v>0</v>
      </c>
      <c r="M80" s="2"/>
      <c r="N80" s="6">
        <f t="shared" si="15"/>
        <v>0</v>
      </c>
      <c r="O80" s="14"/>
      <c r="P80" s="2">
        <f>SUM(OSRRefP22_8x_0)</f>
        <v>1100</v>
      </c>
      <c r="Q80" s="2"/>
      <c r="R80" s="6">
        <f t="shared" si="16"/>
        <v>2.9093583584701896E-3</v>
      </c>
      <c r="S80" s="2"/>
      <c r="T80" s="2">
        <f>SUM(OSRRefT22_8x_0)</f>
        <v>1100</v>
      </c>
      <c r="U80" s="2"/>
      <c r="V80" s="6">
        <f t="shared" si="17"/>
        <v>3.8460326826766748E-3</v>
      </c>
      <c r="W80" s="2"/>
      <c r="X80" s="2">
        <f t="shared" si="18"/>
        <v>0</v>
      </c>
      <c r="Y80" s="2"/>
      <c r="Z80" s="6">
        <f t="shared" si="19"/>
        <v>0</v>
      </c>
    </row>
    <row r="81" spans="1:26" s="69" customFormat="1" ht="15" hidden="1" customHeight="1" outlineLevel="2" x14ac:dyDescent="0.25">
      <c r="A81" s="25"/>
      <c r="B81" s="12" t="str">
        <f>CONCATENATE("          ","6408"," - ","INVENTORY ADJUSTMENT")</f>
        <v xml:space="preserve">          6408 - INVENTORY ADJUSTMENT</v>
      </c>
      <c r="C81" s="12"/>
      <c r="D81" s="7">
        <v>100</v>
      </c>
      <c r="E81" s="3"/>
      <c r="F81" s="8">
        <f t="shared" si="12"/>
        <v>2.399617405000947E-3</v>
      </c>
      <c r="G81" s="3"/>
      <c r="H81" s="7">
        <v>100</v>
      </c>
      <c r="I81" s="3"/>
      <c r="J81" s="8">
        <f t="shared" si="13"/>
        <v>2.8814972720865332E-3</v>
      </c>
      <c r="K81" s="3"/>
      <c r="L81" s="7">
        <f t="shared" si="14"/>
        <v>0</v>
      </c>
      <c r="M81" s="3"/>
      <c r="N81" s="8">
        <f t="shared" si="15"/>
        <v>0</v>
      </c>
      <c r="O81" s="12"/>
      <c r="P81" s="7">
        <v>1100</v>
      </c>
      <c r="Q81" s="3"/>
      <c r="R81" s="8">
        <f t="shared" si="16"/>
        <v>2.9093583584701896E-3</v>
      </c>
      <c r="S81" s="3"/>
      <c r="T81" s="7">
        <v>1100</v>
      </c>
      <c r="U81" s="3"/>
      <c r="V81" s="8">
        <f t="shared" si="17"/>
        <v>3.8460326826766748E-3</v>
      </c>
      <c r="W81" s="3"/>
      <c r="X81" s="7">
        <f t="shared" si="18"/>
        <v>0</v>
      </c>
      <c r="Y81" s="3"/>
      <c r="Z81" s="8">
        <f t="shared" si="19"/>
        <v>0</v>
      </c>
    </row>
    <row r="82" spans="1:26" s="68" customFormat="1" ht="15" customHeight="1" outlineLevel="1" collapsed="1" x14ac:dyDescent="0.25">
      <c r="A82" s="26"/>
      <c r="B82" s="14" t="str">
        <f>CONCATENATE("     ","Professional Services                             ")</f>
        <v xml:space="preserve">     Professional Services                             </v>
      </c>
      <c r="C82" s="14"/>
      <c r="D82" s="2">
        <f>SUM(OSRRefD22_9x_0)</f>
        <v>0</v>
      </c>
      <c r="E82" s="2"/>
      <c r="F82" s="6">
        <f t="shared" si="12"/>
        <v>0</v>
      </c>
      <c r="G82" s="2"/>
      <c r="H82" s="2">
        <f>SUM(OSRRefH22_9x_0)</f>
        <v>0</v>
      </c>
      <c r="I82" s="2"/>
      <c r="J82" s="6">
        <f t="shared" si="13"/>
        <v>0</v>
      </c>
      <c r="K82" s="2"/>
      <c r="L82" s="2">
        <f t="shared" si="14"/>
        <v>0</v>
      </c>
      <c r="M82" s="2"/>
      <c r="N82" s="6">
        <f t="shared" si="15"/>
        <v>0</v>
      </c>
      <c r="O82" s="14"/>
      <c r="P82" s="2">
        <f>SUM(OSRRefP22_9x_0)</f>
        <v>161.46</v>
      </c>
      <c r="Q82" s="2"/>
      <c r="R82" s="6">
        <f t="shared" si="16"/>
        <v>4.2704090959872442E-4</v>
      </c>
      <c r="S82" s="2"/>
      <c r="T82" s="2">
        <f>SUM(OSRRefT22_9x_0)</f>
        <v>0</v>
      </c>
      <c r="U82" s="2"/>
      <c r="V82" s="6">
        <f t="shared" si="17"/>
        <v>0</v>
      </c>
      <c r="W82" s="2"/>
      <c r="X82" s="2">
        <f t="shared" si="18"/>
        <v>161.46</v>
      </c>
      <c r="Y82" s="2"/>
      <c r="Z82" s="6">
        <f t="shared" si="19"/>
        <v>0</v>
      </c>
    </row>
    <row r="83" spans="1:26" s="69" customFormat="1" ht="15" hidden="1" customHeight="1" outlineLevel="2" x14ac:dyDescent="0.25">
      <c r="A83" s="25"/>
      <c r="B83" s="12" t="str">
        <f>CONCATENATE("          ","6336"," - ","PROFESSIONAL SERVICES")</f>
        <v xml:space="preserve">          6336 - PROFESSIONAL SERVICES</v>
      </c>
      <c r="C83" s="12"/>
      <c r="D83" s="7"/>
      <c r="E83" s="3"/>
      <c r="F83" s="8">
        <f t="shared" ref="F83:F107" si="20">IF(D$12=0,0,D83/D$12)</f>
        <v>0</v>
      </c>
      <c r="G83" s="3"/>
      <c r="H83" s="7"/>
      <c r="I83" s="3"/>
      <c r="J83" s="8">
        <f t="shared" ref="J83:J107" si="21">IF(H$12=0,0,H83/H$12)</f>
        <v>0</v>
      </c>
      <c r="K83" s="3"/>
      <c r="L83" s="7">
        <f t="shared" ref="L83:L107" si="22">+D83-H83</f>
        <v>0</v>
      </c>
      <c r="M83" s="3"/>
      <c r="N83" s="8">
        <f t="shared" ref="N83:N107" si="23">IF(H83=0,0,L83/H83)</f>
        <v>0</v>
      </c>
      <c r="O83" s="12"/>
      <c r="P83" s="7">
        <v>161.46</v>
      </c>
      <c r="Q83" s="3"/>
      <c r="R83" s="8">
        <f t="shared" ref="R83:R107" si="24">IF(P$12=0,0,P83/P$12)</f>
        <v>4.2704090959872442E-4</v>
      </c>
      <c r="S83" s="3"/>
      <c r="T83" s="7"/>
      <c r="U83" s="3"/>
      <c r="V83" s="8">
        <f t="shared" ref="V83:V107" si="25">IF(T$12=0,0,T83/T$12)</f>
        <v>0</v>
      </c>
      <c r="W83" s="3"/>
      <c r="X83" s="7">
        <f t="shared" ref="X83:X107" si="26">+P83-T83</f>
        <v>161.46</v>
      </c>
      <c r="Y83" s="3"/>
      <c r="Z83" s="8">
        <f t="shared" ref="Z83:Z107" si="27">IF(T83=0,0,X83/T83)</f>
        <v>0</v>
      </c>
    </row>
    <row r="84" spans="1:26" s="68" customFormat="1" ht="15" customHeight="1" outlineLevel="1" collapsed="1" x14ac:dyDescent="0.25">
      <c r="A84" s="26"/>
      <c r="B84" s="14" t="str">
        <f>CONCATENATE("     ","Rent                                              ")</f>
        <v xml:space="preserve">     Rent                                              </v>
      </c>
      <c r="C84" s="14"/>
      <c r="D84" s="2">
        <f>SUM(OSRRefD22_10x_0)</f>
        <v>6900</v>
      </c>
      <c r="E84" s="2"/>
      <c r="F84" s="6">
        <f t="shared" si="20"/>
        <v>0.16557360094506532</v>
      </c>
      <c r="G84" s="2"/>
      <c r="H84" s="2">
        <f>SUM(OSRRefH22_10x_0)</f>
        <v>6900</v>
      </c>
      <c r="I84" s="2"/>
      <c r="J84" s="6">
        <f t="shared" si="21"/>
        <v>0.19882331177397078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SUM(OSRRefP22_10x_0)</f>
        <v>75900</v>
      </c>
      <c r="Q84" s="2"/>
      <c r="R84" s="6">
        <f t="shared" si="24"/>
        <v>0.20074572673444308</v>
      </c>
      <c r="S84" s="2"/>
      <c r="T84" s="2">
        <f>SUM(OSRRefT22_10x_0)</f>
        <v>75900</v>
      </c>
      <c r="U84" s="2"/>
      <c r="V84" s="6">
        <f t="shared" si="25"/>
        <v>0.26537625510469059</v>
      </c>
      <c r="W84" s="2"/>
      <c r="X84" s="2">
        <f t="shared" si="26"/>
        <v>0</v>
      </c>
      <c r="Y84" s="2"/>
      <c r="Z84" s="6">
        <f t="shared" si="27"/>
        <v>0</v>
      </c>
    </row>
    <row r="85" spans="1:26" s="69" customFormat="1" ht="15" hidden="1" customHeight="1" outlineLevel="2" x14ac:dyDescent="0.25">
      <c r="A85" s="25"/>
      <c r="B85" s="12" t="str">
        <f>CONCATENATE("          ","6273"," - ","RENT")</f>
        <v xml:space="preserve">          6273 - RENT</v>
      </c>
      <c r="C85" s="12"/>
      <c r="D85" s="7">
        <v>6900</v>
      </c>
      <c r="E85" s="3"/>
      <c r="F85" s="8">
        <f t="shared" si="20"/>
        <v>0.16557360094506532</v>
      </c>
      <c r="G85" s="3"/>
      <c r="H85" s="7">
        <v>6900</v>
      </c>
      <c r="I85" s="3"/>
      <c r="J85" s="8">
        <f t="shared" si="21"/>
        <v>0.19882331177397078</v>
      </c>
      <c r="K85" s="3"/>
      <c r="L85" s="7">
        <f t="shared" si="22"/>
        <v>0</v>
      </c>
      <c r="M85" s="3"/>
      <c r="N85" s="8">
        <f t="shared" si="23"/>
        <v>0</v>
      </c>
      <c r="O85" s="12"/>
      <c r="P85" s="7">
        <v>75900</v>
      </c>
      <c r="Q85" s="3"/>
      <c r="R85" s="8">
        <f t="shared" si="24"/>
        <v>0.20074572673444308</v>
      </c>
      <c r="S85" s="3"/>
      <c r="T85" s="7">
        <v>75900</v>
      </c>
      <c r="U85" s="3"/>
      <c r="V85" s="8">
        <f t="shared" si="25"/>
        <v>0.26537625510469059</v>
      </c>
      <c r="W85" s="3"/>
      <c r="X85" s="7">
        <f t="shared" si="26"/>
        <v>0</v>
      </c>
      <c r="Y85" s="3"/>
      <c r="Z85" s="8">
        <f t="shared" si="27"/>
        <v>0</v>
      </c>
    </row>
    <row r="86" spans="1:26" s="68" customFormat="1" ht="15" customHeight="1" outlineLevel="1" collapsed="1" x14ac:dyDescent="0.25">
      <c r="A86" s="26"/>
      <c r="B86" s="14" t="str">
        <f>CONCATENATE("     ","Repair and Maintenance                            ")</f>
        <v xml:space="preserve">     Repair and Maintenance                            </v>
      </c>
      <c r="C86" s="14"/>
      <c r="D86" s="2">
        <f>SUM(OSRRefD22_11x_0)</f>
        <v>0</v>
      </c>
      <c r="E86" s="2"/>
      <c r="F86" s="6">
        <f t="shared" si="20"/>
        <v>0</v>
      </c>
      <c r="G86" s="2"/>
      <c r="H86" s="2">
        <f>SUM(OSRRefH22_11x_0)</f>
        <v>0</v>
      </c>
      <c r="I86" s="2"/>
      <c r="J86" s="6">
        <f t="shared" si="21"/>
        <v>0</v>
      </c>
      <c r="K86" s="2"/>
      <c r="L86" s="2">
        <f t="shared" si="22"/>
        <v>0</v>
      </c>
      <c r="M86" s="2"/>
      <c r="N86" s="6">
        <f t="shared" si="23"/>
        <v>0</v>
      </c>
      <c r="O86" s="14"/>
      <c r="P86" s="2">
        <f>SUM(OSRRefP22_11x_0)</f>
        <v>1519.57</v>
      </c>
      <c r="Q86" s="2"/>
      <c r="R86" s="6">
        <f t="shared" si="24"/>
        <v>4.0190669825277692E-3</v>
      </c>
      <c r="S86" s="2"/>
      <c r="T86" s="2">
        <f>SUM(OSRRefT22_11x_0)</f>
        <v>309.70999999999998</v>
      </c>
      <c r="U86" s="2"/>
      <c r="V86" s="6">
        <f t="shared" si="25"/>
        <v>1.0828679837743573E-3</v>
      </c>
      <c r="W86" s="2"/>
      <c r="X86" s="2">
        <f t="shared" si="26"/>
        <v>1209.8599999999999</v>
      </c>
      <c r="Y86" s="2"/>
      <c r="Z86" s="6">
        <f t="shared" si="27"/>
        <v>3.9064285944916213</v>
      </c>
    </row>
    <row r="87" spans="1:26" s="69" customFormat="1" ht="15" hidden="1" customHeight="1" outlineLevel="2" x14ac:dyDescent="0.25">
      <c r="A87" s="25"/>
      <c r="B87" s="12" t="str">
        <f>CONCATENATE("          ","6372"," - ","COMPUTER HARDWARE MAINTENANCE")</f>
        <v xml:space="preserve">          6372 - COMPUTER HARDWARE MAINTENANCE</v>
      </c>
      <c r="C87" s="12"/>
      <c r="D87" s="7"/>
      <c r="E87" s="3"/>
      <c r="F87" s="8">
        <f t="shared" si="20"/>
        <v>0</v>
      </c>
      <c r="G87" s="3"/>
      <c r="H87" s="7"/>
      <c r="I87" s="3"/>
      <c r="J87" s="8">
        <f t="shared" si="21"/>
        <v>0</v>
      </c>
      <c r="K87" s="3"/>
      <c r="L87" s="7">
        <f t="shared" si="22"/>
        <v>0</v>
      </c>
      <c r="M87" s="3"/>
      <c r="N87" s="8">
        <f t="shared" si="23"/>
        <v>0</v>
      </c>
      <c r="O87" s="12"/>
      <c r="P87" s="7"/>
      <c r="Q87" s="3"/>
      <c r="R87" s="8">
        <f t="shared" si="24"/>
        <v>0</v>
      </c>
      <c r="S87" s="3"/>
      <c r="T87" s="7">
        <v>-0.52</v>
      </c>
      <c r="U87" s="3"/>
      <c r="V87" s="8">
        <f t="shared" si="25"/>
        <v>-1.818124540901701E-6</v>
      </c>
      <c r="W87" s="3"/>
      <c r="X87" s="7">
        <f t="shared" si="26"/>
        <v>0.52</v>
      </c>
      <c r="Y87" s="3"/>
      <c r="Z87" s="8">
        <f t="shared" si="27"/>
        <v>-1</v>
      </c>
    </row>
    <row r="88" spans="1:26" s="69" customFormat="1" ht="15" hidden="1" customHeight="1" outlineLevel="2" x14ac:dyDescent="0.25">
      <c r="A88" s="25"/>
      <c r="B88" s="12" t="str">
        <f>CONCATENATE("          ","6373"," - ","MAINTENANCE CONTRACTS")</f>
        <v xml:space="preserve">          6373 - MAINTENANCE CONTRACTS</v>
      </c>
      <c r="C88" s="12"/>
      <c r="D88" s="7"/>
      <c r="E88" s="3"/>
      <c r="F88" s="8">
        <f t="shared" si="20"/>
        <v>0</v>
      </c>
      <c r="G88" s="3"/>
      <c r="H88" s="7"/>
      <c r="I88" s="3"/>
      <c r="J88" s="8">
        <f t="shared" si="21"/>
        <v>0</v>
      </c>
      <c r="K88" s="3"/>
      <c r="L88" s="7">
        <f t="shared" si="22"/>
        <v>0</v>
      </c>
      <c r="M88" s="3"/>
      <c r="N88" s="8">
        <f t="shared" si="23"/>
        <v>0</v>
      </c>
      <c r="O88" s="12"/>
      <c r="P88" s="7">
        <v>696.76</v>
      </c>
      <c r="Q88" s="3"/>
      <c r="R88" s="8">
        <f t="shared" si="24"/>
        <v>1.8428404816797175E-3</v>
      </c>
      <c r="S88" s="3"/>
      <c r="T88" s="7">
        <v>144.66999999999999</v>
      </c>
      <c r="U88" s="3"/>
      <c r="V88" s="8">
        <f t="shared" si="25"/>
        <v>5.0582322563894045E-4</v>
      </c>
      <c r="W88" s="3"/>
      <c r="X88" s="7">
        <f t="shared" si="26"/>
        <v>552.09</v>
      </c>
      <c r="Y88" s="3"/>
      <c r="Z88" s="8">
        <f t="shared" si="27"/>
        <v>3.8162023916499623</v>
      </c>
    </row>
    <row r="89" spans="1:26" s="69" customFormat="1" ht="15" hidden="1" customHeight="1" outlineLevel="2" x14ac:dyDescent="0.25">
      <c r="A89" s="25"/>
      <c r="B89" s="12" t="str">
        <f>CONCATENATE("          ","6375"," - ","OUTSIDE REPAIRS &amp; MAINTENANCE")</f>
        <v xml:space="preserve">          6375 - OUTSIDE REPAIRS &amp; MAINTENANCE</v>
      </c>
      <c r="C89" s="12"/>
      <c r="D89" s="7"/>
      <c r="E89" s="3"/>
      <c r="F89" s="8">
        <f t="shared" si="20"/>
        <v>0</v>
      </c>
      <c r="G89" s="3"/>
      <c r="H89" s="7"/>
      <c r="I89" s="3"/>
      <c r="J89" s="8">
        <f t="shared" si="21"/>
        <v>0</v>
      </c>
      <c r="K89" s="3"/>
      <c r="L89" s="7">
        <f t="shared" si="22"/>
        <v>0</v>
      </c>
      <c r="M89" s="3"/>
      <c r="N89" s="8">
        <f t="shared" si="23"/>
        <v>0</v>
      </c>
      <c r="O89" s="12"/>
      <c r="P89" s="7">
        <v>822.81</v>
      </c>
      <c r="Q89" s="3"/>
      <c r="R89" s="8">
        <f t="shared" si="24"/>
        <v>2.1762265008480513E-3</v>
      </c>
      <c r="S89" s="3"/>
      <c r="T89" s="7">
        <v>165.56</v>
      </c>
      <c r="U89" s="3"/>
      <c r="V89" s="8">
        <f t="shared" si="25"/>
        <v>5.7886288267631851E-4</v>
      </c>
      <c r="W89" s="3"/>
      <c r="X89" s="7">
        <f t="shared" si="26"/>
        <v>657.25</v>
      </c>
      <c r="Y89" s="3"/>
      <c r="Z89" s="8">
        <f t="shared" si="27"/>
        <v>3.9698598695337037</v>
      </c>
    </row>
    <row r="90" spans="1:26" s="68" customFormat="1" ht="15" customHeight="1" outlineLevel="1" collapsed="1" x14ac:dyDescent="0.25">
      <c r="A90" s="26"/>
      <c r="B90" s="14" t="str">
        <f>CONCATENATE("     ","Services                                          ")</f>
        <v xml:space="preserve">     Services                                          </v>
      </c>
      <c r="C90" s="14"/>
      <c r="D90" s="2">
        <f>SUM(OSRRefD22_12x_0)</f>
        <v>223.45</v>
      </c>
      <c r="E90" s="2"/>
      <c r="F90" s="6">
        <f t="shared" si="20"/>
        <v>5.3619450914746151E-3</v>
      </c>
      <c r="G90" s="2"/>
      <c r="H90" s="2">
        <f>SUM(OSRRefH22_12x_0)</f>
        <v>155.59</v>
      </c>
      <c r="I90" s="2"/>
      <c r="J90" s="6">
        <f t="shared" si="21"/>
        <v>4.4833216056394372E-3</v>
      </c>
      <c r="K90" s="2"/>
      <c r="L90" s="2">
        <f t="shared" si="22"/>
        <v>67.859999999999985</v>
      </c>
      <c r="M90" s="2"/>
      <c r="N90" s="6">
        <f t="shared" si="23"/>
        <v>0.43614628189472321</v>
      </c>
      <c r="O90" s="14"/>
      <c r="P90" s="2">
        <f>SUM(OSRRefP22_12x_0)</f>
        <v>1876.0099999999998</v>
      </c>
      <c r="Q90" s="2"/>
      <c r="R90" s="6">
        <f t="shared" si="24"/>
        <v>4.9618048855215088E-3</v>
      </c>
      <c r="S90" s="2"/>
      <c r="T90" s="2">
        <f>SUM(OSRRefT22_12x_0)</f>
        <v>918.51999999999987</v>
      </c>
      <c r="U90" s="2"/>
      <c r="V90" s="6">
        <f t="shared" si="25"/>
        <v>3.2115072179019809E-3</v>
      </c>
      <c r="W90" s="2"/>
      <c r="X90" s="2">
        <f t="shared" si="26"/>
        <v>957.4899999999999</v>
      </c>
      <c r="Y90" s="2"/>
      <c r="Z90" s="6">
        <f t="shared" si="27"/>
        <v>1.0424269476984716</v>
      </c>
    </row>
    <row r="91" spans="1:26" s="69" customFormat="1" ht="15" hidden="1" customHeight="1" outlineLevel="2" x14ac:dyDescent="0.25">
      <c r="A91" s="25"/>
      <c r="B91" s="12" t="str">
        <f>CONCATENATE("          ","6283"," - ","PLANT SERVICE")</f>
        <v xml:space="preserve">          6283 - PLANT SERVICE</v>
      </c>
      <c r="C91" s="12"/>
      <c r="D91" s="7"/>
      <c r="E91" s="3"/>
      <c r="F91" s="8">
        <f t="shared" si="20"/>
        <v>0</v>
      </c>
      <c r="G91" s="3"/>
      <c r="H91" s="7"/>
      <c r="I91" s="3"/>
      <c r="J91" s="8">
        <f t="shared" si="21"/>
        <v>0</v>
      </c>
      <c r="K91" s="3"/>
      <c r="L91" s="7">
        <f t="shared" si="22"/>
        <v>0</v>
      </c>
      <c r="M91" s="3"/>
      <c r="N91" s="8">
        <f t="shared" si="23"/>
        <v>0</v>
      </c>
      <c r="O91" s="12"/>
      <c r="P91" s="7"/>
      <c r="Q91" s="3"/>
      <c r="R91" s="8">
        <f t="shared" si="24"/>
        <v>0</v>
      </c>
      <c r="S91" s="3"/>
      <c r="T91" s="7">
        <v>41.31</v>
      </c>
      <c r="U91" s="3"/>
      <c r="V91" s="8">
        <f t="shared" si="25"/>
        <v>1.4443600920124861E-4</v>
      </c>
      <c r="W91" s="3"/>
      <c r="X91" s="7">
        <f t="shared" si="26"/>
        <v>-41.31</v>
      </c>
      <c r="Y91" s="3"/>
      <c r="Z91" s="8">
        <f t="shared" si="27"/>
        <v>-1</v>
      </c>
    </row>
    <row r="92" spans="1:26" s="69" customFormat="1" ht="15" hidden="1" customHeight="1" outlineLevel="2" x14ac:dyDescent="0.25">
      <c r="A92" s="25"/>
      <c r="B92" s="12" t="str">
        <f>CONCATENATE("          ","6284"," - ","TRASH REMOVAL EXPENSE")</f>
        <v xml:space="preserve">          6284 - TRASH REMOVAL EXPENSE</v>
      </c>
      <c r="C92" s="12"/>
      <c r="D92" s="7">
        <v>149.69999999999999</v>
      </c>
      <c r="E92" s="3"/>
      <c r="F92" s="8">
        <f t="shared" si="20"/>
        <v>3.5922272552864169E-3</v>
      </c>
      <c r="G92" s="3"/>
      <c r="H92" s="7">
        <v>142.57</v>
      </c>
      <c r="I92" s="3"/>
      <c r="J92" s="8">
        <f t="shared" si="21"/>
        <v>4.1081506608137697E-3</v>
      </c>
      <c r="K92" s="3"/>
      <c r="L92" s="7">
        <f t="shared" si="22"/>
        <v>7.1299999999999955</v>
      </c>
      <c r="M92" s="3"/>
      <c r="N92" s="8">
        <f t="shared" si="23"/>
        <v>5.0010521147506461E-2</v>
      </c>
      <c r="O92" s="12"/>
      <c r="P92" s="7">
        <v>1489.87</v>
      </c>
      <c r="Q92" s="3"/>
      <c r="R92" s="8">
        <f t="shared" si="24"/>
        <v>3.9405143068490739E-3</v>
      </c>
      <c r="S92" s="3"/>
      <c r="T92" s="7">
        <v>1583.29</v>
      </c>
      <c r="U92" s="3"/>
      <c r="V92" s="8">
        <f t="shared" si="25"/>
        <v>5.5358046237774117E-3</v>
      </c>
      <c r="W92" s="3"/>
      <c r="X92" s="7">
        <f t="shared" si="26"/>
        <v>-93.420000000000073</v>
      </c>
      <c r="Y92" s="3"/>
      <c r="Z92" s="8">
        <f t="shared" si="27"/>
        <v>-5.9003720101813359E-2</v>
      </c>
    </row>
    <row r="93" spans="1:26" s="69" customFormat="1" ht="15" hidden="1" customHeight="1" outlineLevel="2" x14ac:dyDescent="0.25">
      <c r="A93" s="25"/>
      <c r="B93" s="12" t="str">
        <f>CONCATENATE("          ","6285"," - ","JANITORIAL SERVICES")</f>
        <v xml:space="preserve">          6285 - JANITORIAL SERVICES</v>
      </c>
      <c r="C93" s="12"/>
      <c r="D93" s="7">
        <v>73.75</v>
      </c>
      <c r="E93" s="3"/>
      <c r="F93" s="8">
        <f t="shared" si="20"/>
        <v>1.7697178361881982E-3</v>
      </c>
      <c r="G93" s="3"/>
      <c r="H93" s="7">
        <v>13.02</v>
      </c>
      <c r="I93" s="3"/>
      <c r="J93" s="8">
        <f t="shared" si="21"/>
        <v>3.7517094482566657E-4</v>
      </c>
      <c r="K93" s="3"/>
      <c r="L93" s="7">
        <f t="shared" si="22"/>
        <v>60.730000000000004</v>
      </c>
      <c r="M93" s="3"/>
      <c r="N93" s="8">
        <f t="shared" si="23"/>
        <v>4.6643625192012292</v>
      </c>
      <c r="O93" s="12"/>
      <c r="P93" s="7">
        <v>386.14</v>
      </c>
      <c r="Q93" s="3"/>
      <c r="R93" s="8">
        <f t="shared" si="24"/>
        <v>1.0212905786724355E-3</v>
      </c>
      <c r="S93" s="3"/>
      <c r="T93" s="7">
        <v>-706.08</v>
      </c>
      <c r="U93" s="3"/>
      <c r="V93" s="8">
        <f t="shared" si="25"/>
        <v>-2.4687334150766791E-3</v>
      </c>
      <c r="W93" s="3"/>
      <c r="X93" s="7">
        <f t="shared" si="26"/>
        <v>1092.22</v>
      </c>
      <c r="Y93" s="3"/>
      <c r="Z93" s="8">
        <f t="shared" si="27"/>
        <v>-1.5468785406752776</v>
      </c>
    </row>
    <row r="94" spans="1:26" s="68" customFormat="1" ht="15" customHeight="1" outlineLevel="1" collapsed="1" x14ac:dyDescent="0.25">
      <c r="A94" s="26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2">
        <f>SUM(OSRRefD22_13x_0)</f>
        <v>0</v>
      </c>
      <c r="E94" s="2"/>
      <c r="F94" s="6">
        <f t="shared" si="20"/>
        <v>0</v>
      </c>
      <c r="G94" s="2"/>
      <c r="H94" s="2">
        <f>SUM(OSRRefH22_13x_0)</f>
        <v>0</v>
      </c>
      <c r="I94" s="2"/>
      <c r="J94" s="6">
        <f t="shared" si="21"/>
        <v>0</v>
      </c>
      <c r="K94" s="2"/>
      <c r="L94" s="2">
        <f t="shared" si="22"/>
        <v>0</v>
      </c>
      <c r="M94" s="2"/>
      <c r="N94" s="6">
        <f t="shared" si="23"/>
        <v>0</v>
      </c>
      <c r="O94" s="14"/>
      <c r="P94" s="2">
        <f>SUM(OSRRefP22_13x_0)</f>
        <v>0</v>
      </c>
      <c r="Q94" s="2"/>
      <c r="R94" s="6">
        <f t="shared" si="24"/>
        <v>0</v>
      </c>
      <c r="S94" s="2"/>
      <c r="T94" s="2">
        <f>SUM(OSRRefT22_13x_0)</f>
        <v>2254.14</v>
      </c>
      <c r="U94" s="2"/>
      <c r="V94" s="6">
        <f t="shared" si="25"/>
        <v>7.881360101207999E-3</v>
      </c>
      <c r="W94" s="2"/>
      <c r="X94" s="2">
        <f t="shared" si="26"/>
        <v>-2254.14</v>
      </c>
      <c r="Y94" s="2"/>
      <c r="Z94" s="6">
        <f t="shared" si="27"/>
        <v>-1</v>
      </c>
    </row>
    <row r="95" spans="1:26" s="69" customFormat="1" ht="15" hidden="1" customHeight="1" outlineLevel="2" x14ac:dyDescent="0.25">
      <c r="A95" s="25"/>
      <c r="B95" s="12" t="str">
        <f>CONCATENATE("          ","6258"," - ","MEMBERSHIP DUES")</f>
        <v xml:space="preserve">          6258 - MEMBERSHIP DUES</v>
      </c>
      <c r="C95" s="12"/>
      <c r="D95" s="7"/>
      <c r="E95" s="3"/>
      <c r="F95" s="8">
        <f t="shared" si="20"/>
        <v>0</v>
      </c>
      <c r="G95" s="3"/>
      <c r="H95" s="7"/>
      <c r="I95" s="3"/>
      <c r="J95" s="8">
        <f t="shared" si="21"/>
        <v>0</v>
      </c>
      <c r="K95" s="3"/>
      <c r="L95" s="7">
        <f t="shared" si="22"/>
        <v>0</v>
      </c>
      <c r="M95" s="3"/>
      <c r="N95" s="8">
        <f t="shared" si="23"/>
        <v>0</v>
      </c>
      <c r="O95" s="12"/>
      <c r="P95" s="7"/>
      <c r="Q95" s="3"/>
      <c r="R95" s="8">
        <f t="shared" si="24"/>
        <v>0</v>
      </c>
      <c r="S95" s="3"/>
      <c r="T95" s="7">
        <v>-60.73</v>
      </c>
      <c r="U95" s="3"/>
      <c r="V95" s="8">
        <f t="shared" si="25"/>
        <v>-2.1233596801723133E-4</v>
      </c>
      <c r="W95" s="3"/>
      <c r="X95" s="7">
        <f t="shared" si="26"/>
        <v>60.73</v>
      </c>
      <c r="Y95" s="3"/>
      <c r="Z95" s="8">
        <f t="shared" si="27"/>
        <v>-1</v>
      </c>
    </row>
    <row r="96" spans="1:26" s="69" customFormat="1" ht="15" hidden="1" customHeight="1" outlineLevel="2" x14ac:dyDescent="0.25">
      <c r="A96" s="25"/>
      <c r="B96" s="12" t="str">
        <f>CONCATENATE("          ","6275"," - ","SUBSCRIPTIONS")</f>
        <v xml:space="preserve">          6275 - SUBSCRIPTIONS</v>
      </c>
      <c r="C96" s="12"/>
      <c r="D96" s="7"/>
      <c r="E96" s="3"/>
      <c r="F96" s="8">
        <f t="shared" si="20"/>
        <v>0</v>
      </c>
      <c r="G96" s="3"/>
      <c r="H96" s="7"/>
      <c r="I96" s="3"/>
      <c r="J96" s="8">
        <f t="shared" si="21"/>
        <v>0</v>
      </c>
      <c r="K96" s="3"/>
      <c r="L96" s="7">
        <f t="shared" si="22"/>
        <v>0</v>
      </c>
      <c r="M96" s="3"/>
      <c r="N96" s="8">
        <f t="shared" si="23"/>
        <v>0</v>
      </c>
      <c r="O96" s="12"/>
      <c r="P96" s="7"/>
      <c r="Q96" s="3"/>
      <c r="R96" s="8">
        <f t="shared" si="24"/>
        <v>0</v>
      </c>
      <c r="S96" s="3"/>
      <c r="T96" s="7">
        <v>2314.87</v>
      </c>
      <c r="U96" s="3"/>
      <c r="V96" s="8">
        <f t="shared" si="25"/>
        <v>8.0936960692252306E-3</v>
      </c>
      <c r="W96" s="3"/>
      <c r="X96" s="7">
        <f t="shared" si="26"/>
        <v>-2314.87</v>
      </c>
      <c r="Y96" s="3"/>
      <c r="Z96" s="8">
        <f t="shared" si="27"/>
        <v>-1</v>
      </c>
    </row>
    <row r="97" spans="1:26" s="68" customFormat="1" ht="15" customHeight="1" outlineLevel="1" collapsed="1" x14ac:dyDescent="0.25">
      <c r="A97" s="26"/>
      <c r="B97" s="14" t="str">
        <f>CONCATENATE("     ","Supplies                                          ")</f>
        <v xml:space="preserve">     Supplies                                          </v>
      </c>
      <c r="C97" s="14"/>
      <c r="D97" s="2">
        <f>SUM(OSRRefD22_14x_0)</f>
        <v>128.76</v>
      </c>
      <c r="E97" s="2"/>
      <c r="F97" s="6">
        <f t="shared" si="20"/>
        <v>3.089747370679219E-3</v>
      </c>
      <c r="G97" s="2"/>
      <c r="H97" s="2">
        <f>SUM(OSRRefH22_14x_0)</f>
        <v>0</v>
      </c>
      <c r="I97" s="2"/>
      <c r="J97" s="6">
        <f t="shared" si="21"/>
        <v>0</v>
      </c>
      <c r="K97" s="2"/>
      <c r="L97" s="2">
        <f t="shared" si="22"/>
        <v>128.76</v>
      </c>
      <c r="M97" s="2"/>
      <c r="N97" s="6">
        <f t="shared" si="23"/>
        <v>0</v>
      </c>
      <c r="O97" s="14"/>
      <c r="P97" s="2">
        <f>SUM(OSRRefP22_14x_0)</f>
        <v>1881.51</v>
      </c>
      <c r="Q97" s="2"/>
      <c r="R97" s="6">
        <f t="shared" si="24"/>
        <v>4.9763516773138608E-3</v>
      </c>
      <c r="S97" s="2"/>
      <c r="T97" s="2">
        <f>SUM(OSRRefT22_14x_0)</f>
        <v>829.24</v>
      </c>
      <c r="U97" s="2"/>
      <c r="V97" s="6">
        <f t="shared" si="25"/>
        <v>2.899349219802551E-3</v>
      </c>
      <c r="W97" s="2"/>
      <c r="X97" s="2">
        <f t="shared" si="26"/>
        <v>1052.27</v>
      </c>
      <c r="Y97" s="2"/>
      <c r="Z97" s="6">
        <f t="shared" si="27"/>
        <v>1.2689571173604746</v>
      </c>
    </row>
    <row r="98" spans="1:26" s="69" customFormat="1" ht="15" hidden="1" customHeight="1" outlineLevel="2" x14ac:dyDescent="0.25">
      <c r="A98" s="25"/>
      <c r="B98" s="12" t="str">
        <f>CONCATENATE("          ","6235"," - ","COVID-19 EXPENSES")</f>
        <v xml:space="preserve">          6235 - COVID-19 EXPENSES</v>
      </c>
      <c r="C98" s="12"/>
      <c r="D98" s="7"/>
      <c r="E98" s="3"/>
      <c r="F98" s="8">
        <f t="shared" si="20"/>
        <v>0</v>
      </c>
      <c r="G98" s="3"/>
      <c r="H98" s="7"/>
      <c r="I98" s="3"/>
      <c r="J98" s="8">
        <f t="shared" si="21"/>
        <v>0</v>
      </c>
      <c r="K98" s="3"/>
      <c r="L98" s="7">
        <f t="shared" si="22"/>
        <v>0</v>
      </c>
      <c r="M98" s="3"/>
      <c r="N98" s="8">
        <f t="shared" si="23"/>
        <v>0</v>
      </c>
      <c r="O98" s="12"/>
      <c r="P98" s="7"/>
      <c r="Q98" s="3"/>
      <c r="R98" s="8">
        <f t="shared" si="24"/>
        <v>0</v>
      </c>
      <c r="S98" s="3"/>
      <c r="T98" s="7">
        <v>265.7</v>
      </c>
      <c r="U98" s="3"/>
      <c r="V98" s="8">
        <f t="shared" si="25"/>
        <v>9.2899171253381136E-4</v>
      </c>
      <c r="W98" s="3"/>
      <c r="X98" s="7">
        <f t="shared" si="26"/>
        <v>-265.7</v>
      </c>
      <c r="Y98" s="3"/>
      <c r="Z98" s="8">
        <f t="shared" si="27"/>
        <v>-1</v>
      </c>
    </row>
    <row r="99" spans="1:26" s="69" customFormat="1" ht="15" hidden="1" customHeight="1" outlineLevel="2" x14ac:dyDescent="0.25">
      <c r="A99" s="25"/>
      <c r="B99" s="12" t="str">
        <f>CONCATENATE("          ","6237"," - ","JANITORIAL SUPPLIES")</f>
        <v xml:space="preserve">          6237 - JANITORIAL SUPPLIES</v>
      </c>
      <c r="C99" s="12"/>
      <c r="D99" s="7">
        <v>82.78</v>
      </c>
      <c r="E99" s="3"/>
      <c r="F99" s="8">
        <f t="shared" si="20"/>
        <v>1.9864032878597836E-3</v>
      </c>
      <c r="G99" s="3"/>
      <c r="H99" s="7"/>
      <c r="I99" s="3"/>
      <c r="J99" s="8">
        <f t="shared" si="21"/>
        <v>0</v>
      </c>
      <c r="K99" s="3"/>
      <c r="L99" s="7">
        <f t="shared" si="22"/>
        <v>82.78</v>
      </c>
      <c r="M99" s="3"/>
      <c r="N99" s="8">
        <f t="shared" si="23"/>
        <v>0</v>
      </c>
      <c r="O99" s="12"/>
      <c r="P99" s="7">
        <v>852.79</v>
      </c>
      <c r="Q99" s="3"/>
      <c r="R99" s="8">
        <f t="shared" si="24"/>
        <v>2.2555197404725389E-3</v>
      </c>
      <c r="S99" s="3"/>
      <c r="T99" s="7">
        <v>191.74</v>
      </c>
      <c r="U99" s="3"/>
      <c r="V99" s="8">
        <f t="shared" si="25"/>
        <v>6.7039846052402332E-4</v>
      </c>
      <c r="W99" s="3"/>
      <c r="X99" s="7">
        <f t="shared" si="26"/>
        <v>661.05</v>
      </c>
      <c r="Y99" s="3"/>
      <c r="Z99" s="8">
        <f t="shared" si="27"/>
        <v>3.4476374256806088</v>
      </c>
    </row>
    <row r="100" spans="1:26" s="69" customFormat="1" ht="15" hidden="1" customHeight="1" outlineLevel="2" x14ac:dyDescent="0.25">
      <c r="A100" s="25"/>
      <c r="B100" s="12" t="str">
        <f>CONCATENATE("          ","6241"," - ","OFFICE EXPENSE")</f>
        <v xml:space="preserve">          6241 - OFFICE EXPENSE</v>
      </c>
      <c r="C100" s="12"/>
      <c r="D100" s="7">
        <v>13.98</v>
      </c>
      <c r="E100" s="3"/>
      <c r="F100" s="8">
        <f t="shared" si="20"/>
        <v>3.3546651321913237E-4</v>
      </c>
      <c r="G100" s="3"/>
      <c r="H100" s="7"/>
      <c r="I100" s="3"/>
      <c r="J100" s="8">
        <f t="shared" si="21"/>
        <v>0</v>
      </c>
      <c r="K100" s="3"/>
      <c r="L100" s="7">
        <f t="shared" si="22"/>
        <v>13.98</v>
      </c>
      <c r="M100" s="3"/>
      <c r="N100" s="8">
        <f t="shared" si="23"/>
        <v>0</v>
      </c>
      <c r="O100" s="12"/>
      <c r="P100" s="7">
        <v>392.77</v>
      </c>
      <c r="Q100" s="3"/>
      <c r="R100" s="8">
        <f t="shared" si="24"/>
        <v>1.0388260749603058E-3</v>
      </c>
      <c r="S100" s="3"/>
      <c r="T100" s="7">
        <v>371.8</v>
      </c>
      <c r="U100" s="3"/>
      <c r="V100" s="8">
        <f t="shared" si="25"/>
        <v>1.2999590467447162E-3</v>
      </c>
      <c r="W100" s="3"/>
      <c r="X100" s="7">
        <f t="shared" si="26"/>
        <v>20.96999999999997</v>
      </c>
      <c r="Y100" s="3"/>
      <c r="Z100" s="8">
        <f t="shared" si="27"/>
        <v>5.6401291016675549E-2</v>
      </c>
    </row>
    <row r="101" spans="1:26" s="69" customFormat="1" ht="15" hidden="1" customHeight="1" outlineLevel="2" x14ac:dyDescent="0.25">
      <c r="A101" s="25"/>
      <c r="B101" s="12" t="str">
        <f>CONCATENATE("          ","6247"," - ","STORE SUPPLIES")</f>
        <v xml:space="preserve">          6247 - STORE SUPPLIES</v>
      </c>
      <c r="C101" s="12"/>
      <c r="D101" s="7">
        <v>32</v>
      </c>
      <c r="E101" s="3"/>
      <c r="F101" s="8">
        <f t="shared" si="20"/>
        <v>7.6787756960030294E-4</v>
      </c>
      <c r="G101" s="3"/>
      <c r="H101" s="7"/>
      <c r="I101" s="3"/>
      <c r="J101" s="8">
        <f t="shared" si="21"/>
        <v>0</v>
      </c>
      <c r="K101" s="3"/>
      <c r="L101" s="7">
        <f t="shared" si="22"/>
        <v>32</v>
      </c>
      <c r="M101" s="3"/>
      <c r="N101" s="8">
        <f t="shared" si="23"/>
        <v>0</v>
      </c>
      <c r="O101" s="12"/>
      <c r="P101" s="7">
        <v>635.95000000000005</v>
      </c>
      <c r="Q101" s="3"/>
      <c r="R101" s="8">
        <f t="shared" si="24"/>
        <v>1.6820058618810156E-3</v>
      </c>
      <c r="S101" s="3"/>
      <c r="T101" s="7"/>
      <c r="U101" s="3"/>
      <c r="V101" s="8">
        <f t="shared" si="25"/>
        <v>0</v>
      </c>
      <c r="W101" s="3"/>
      <c r="X101" s="7">
        <f t="shared" si="26"/>
        <v>635.95000000000005</v>
      </c>
      <c r="Y101" s="3"/>
      <c r="Z101" s="8">
        <f t="shared" si="27"/>
        <v>0</v>
      </c>
    </row>
    <row r="102" spans="1:26" s="68" customFormat="1" ht="15" customHeight="1" outlineLevel="1" collapsed="1" x14ac:dyDescent="0.25">
      <c r="A102" s="26"/>
      <c r="B102" s="14" t="str">
        <f>CONCATENATE("     ","Telephone/Data Lines                              ")</f>
        <v xml:space="preserve">     Telephone/Data Lines                              </v>
      </c>
      <c r="C102" s="14"/>
      <c r="D102" s="2">
        <f>SUM(OSRRefD22_15x_0)</f>
        <v>310.33999999999997</v>
      </c>
      <c r="E102" s="2"/>
      <c r="F102" s="6">
        <f t="shared" si="20"/>
        <v>7.4469726546799375E-3</v>
      </c>
      <c r="G102" s="2"/>
      <c r="H102" s="2">
        <f>SUM(OSRRefH22_15x_0)</f>
        <v>307.14999999999998</v>
      </c>
      <c r="I102" s="2"/>
      <c r="J102" s="6">
        <f t="shared" si="21"/>
        <v>8.8505188712137851E-3</v>
      </c>
      <c r="K102" s="2"/>
      <c r="L102" s="2">
        <f t="shared" si="22"/>
        <v>3.1899999999999977</v>
      </c>
      <c r="M102" s="2"/>
      <c r="N102" s="6">
        <f t="shared" si="23"/>
        <v>1.0385804981279499E-2</v>
      </c>
      <c r="O102" s="14"/>
      <c r="P102" s="2">
        <f>SUM(OSRRefP22_15x_0)</f>
        <v>3420.94</v>
      </c>
      <c r="Q102" s="2"/>
      <c r="R102" s="6">
        <f t="shared" si="24"/>
        <v>9.0479458025681907E-3</v>
      </c>
      <c r="S102" s="2"/>
      <c r="T102" s="2">
        <f>SUM(OSRRefT22_15x_0)</f>
        <v>3098.09</v>
      </c>
      <c r="U102" s="2"/>
      <c r="V102" s="6">
        <f t="shared" si="25"/>
        <v>1.0832141267157981E-2</v>
      </c>
      <c r="W102" s="2"/>
      <c r="X102" s="2">
        <f t="shared" si="26"/>
        <v>322.84999999999991</v>
      </c>
      <c r="Y102" s="2"/>
      <c r="Z102" s="6">
        <f t="shared" si="27"/>
        <v>0.10420936770720021</v>
      </c>
    </row>
    <row r="103" spans="1:26" s="69" customFormat="1" ht="15" hidden="1" customHeight="1" outlineLevel="2" x14ac:dyDescent="0.25">
      <c r="A103" s="25"/>
      <c r="B103" s="12" t="str">
        <f>CONCATENATE("          ","6309"," - ","TELEPHONE")</f>
        <v xml:space="preserve">          6309 - TELEPHONE</v>
      </c>
      <c r="C103" s="12"/>
      <c r="D103" s="7">
        <v>310.33999999999997</v>
      </c>
      <c r="E103" s="3"/>
      <c r="F103" s="8">
        <f t="shared" si="20"/>
        <v>7.4469726546799375E-3</v>
      </c>
      <c r="G103" s="3"/>
      <c r="H103" s="7">
        <v>307.14999999999998</v>
      </c>
      <c r="I103" s="3"/>
      <c r="J103" s="8">
        <f t="shared" si="21"/>
        <v>8.8505188712137851E-3</v>
      </c>
      <c r="K103" s="3"/>
      <c r="L103" s="7">
        <f t="shared" si="22"/>
        <v>3.1899999999999977</v>
      </c>
      <c r="M103" s="3"/>
      <c r="N103" s="8">
        <f t="shared" si="23"/>
        <v>1.0385804981279499E-2</v>
      </c>
      <c r="O103" s="12"/>
      <c r="P103" s="7">
        <v>3420.94</v>
      </c>
      <c r="Q103" s="3"/>
      <c r="R103" s="8">
        <f t="shared" si="24"/>
        <v>9.0479458025681907E-3</v>
      </c>
      <c r="S103" s="3"/>
      <c r="T103" s="7">
        <v>3098.09</v>
      </c>
      <c r="U103" s="3"/>
      <c r="V103" s="8">
        <f t="shared" si="25"/>
        <v>1.0832141267157981E-2</v>
      </c>
      <c r="W103" s="3"/>
      <c r="X103" s="7">
        <f t="shared" si="26"/>
        <v>322.84999999999991</v>
      </c>
      <c r="Y103" s="3"/>
      <c r="Z103" s="8">
        <f t="shared" si="27"/>
        <v>0.10420936770720021</v>
      </c>
    </row>
    <row r="104" spans="1:26" s="68" customFormat="1" ht="15" customHeight="1" outlineLevel="1" collapsed="1" x14ac:dyDescent="0.25">
      <c r="A104" s="26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SUM(OSRRefD22_16x_0)</f>
        <v>18.71</v>
      </c>
      <c r="E104" s="2"/>
      <c r="F104" s="6">
        <f t="shared" si="20"/>
        <v>4.4896841647567719E-4</v>
      </c>
      <c r="G104" s="2"/>
      <c r="H104" s="2">
        <f>SUM(OSRRefH22_16x_0)</f>
        <v>0</v>
      </c>
      <c r="I104" s="2"/>
      <c r="J104" s="6">
        <f t="shared" si="21"/>
        <v>0</v>
      </c>
      <c r="K104" s="2"/>
      <c r="L104" s="2">
        <f t="shared" si="22"/>
        <v>18.71</v>
      </c>
      <c r="M104" s="2"/>
      <c r="N104" s="6">
        <f t="shared" si="23"/>
        <v>0</v>
      </c>
      <c r="O104" s="14"/>
      <c r="P104" s="2">
        <f>SUM(OSRRefP22_16x_0)</f>
        <v>344.8</v>
      </c>
      <c r="Q104" s="2"/>
      <c r="R104" s="6">
        <f t="shared" si="24"/>
        <v>9.1195160181865582E-4</v>
      </c>
      <c r="S104" s="2"/>
      <c r="T104" s="2">
        <f>SUM(OSRRefT22_16x_0)</f>
        <v>499.53</v>
      </c>
      <c r="U104" s="2"/>
      <c r="V104" s="6">
        <f t="shared" si="25"/>
        <v>1.7465533690704358E-3</v>
      </c>
      <c r="W104" s="2"/>
      <c r="X104" s="2">
        <f t="shared" si="26"/>
        <v>-154.72999999999996</v>
      </c>
      <c r="Y104" s="2"/>
      <c r="Z104" s="6">
        <f t="shared" si="27"/>
        <v>-0.30975116609613029</v>
      </c>
    </row>
    <row r="105" spans="1:26" s="69" customFormat="1" ht="15" hidden="1" customHeight="1" outlineLevel="2" x14ac:dyDescent="0.25">
      <c r="A105" s="25"/>
      <c r="B105" s="12" t="str">
        <f>CONCATENATE("          ","6294"," - ","TRAVEL OPERATIONAL")</f>
        <v xml:space="preserve">          6294 - TRAVEL OPERATIONAL</v>
      </c>
      <c r="C105" s="12"/>
      <c r="D105" s="7">
        <v>18.71</v>
      </c>
      <c r="E105" s="3"/>
      <c r="F105" s="8">
        <f t="shared" si="20"/>
        <v>4.4896841647567719E-4</v>
      </c>
      <c r="G105" s="3"/>
      <c r="H105" s="7"/>
      <c r="I105" s="3"/>
      <c r="J105" s="8">
        <f t="shared" si="21"/>
        <v>0</v>
      </c>
      <c r="K105" s="3"/>
      <c r="L105" s="7">
        <f t="shared" si="22"/>
        <v>18.71</v>
      </c>
      <c r="M105" s="3"/>
      <c r="N105" s="8">
        <f t="shared" si="23"/>
        <v>0</v>
      </c>
      <c r="O105" s="12"/>
      <c r="P105" s="7">
        <v>344.8</v>
      </c>
      <c r="Q105" s="3"/>
      <c r="R105" s="8">
        <f t="shared" si="24"/>
        <v>9.1195160181865582E-4</v>
      </c>
      <c r="S105" s="3"/>
      <c r="T105" s="7">
        <v>499.53</v>
      </c>
      <c r="U105" s="3"/>
      <c r="V105" s="8">
        <f t="shared" si="25"/>
        <v>1.7465533690704358E-3</v>
      </c>
      <c r="W105" s="3"/>
      <c r="X105" s="7">
        <f t="shared" si="26"/>
        <v>-154.72999999999996</v>
      </c>
      <c r="Y105" s="3"/>
      <c r="Z105" s="8">
        <f t="shared" si="27"/>
        <v>-0.30975116609613029</v>
      </c>
    </row>
    <row r="106" spans="1:26" s="68" customFormat="1" ht="15" customHeight="1" outlineLevel="1" collapsed="1" x14ac:dyDescent="0.25">
      <c r="A106" s="26"/>
      <c r="B106" s="14" t="str">
        <f>CONCATENATE("     ","Utilities                                         ")</f>
        <v xml:space="preserve">     Utilities                                         </v>
      </c>
      <c r="C106" s="14"/>
      <c r="D106" s="2">
        <f>SUM(OSRRefD22_17x_0)</f>
        <v>16.670000000000002</v>
      </c>
      <c r="E106" s="2"/>
      <c r="F106" s="6">
        <f t="shared" si="20"/>
        <v>4.0001622141365786E-4</v>
      </c>
      <c r="G106" s="2"/>
      <c r="H106" s="2">
        <f>SUM(OSRRefH22_17x_0)</f>
        <v>29.9</v>
      </c>
      <c r="I106" s="2"/>
      <c r="J106" s="6">
        <f t="shared" si="21"/>
        <v>8.6156768435387331E-4</v>
      </c>
      <c r="K106" s="2"/>
      <c r="L106" s="2">
        <f t="shared" si="22"/>
        <v>-13.229999999999997</v>
      </c>
      <c r="M106" s="2"/>
      <c r="N106" s="6">
        <f t="shared" si="23"/>
        <v>-0.44247491638795977</v>
      </c>
      <c r="O106" s="14"/>
      <c r="P106" s="2">
        <f>SUM(OSRRefP22_17x_0)</f>
        <v>1303.8900000000001</v>
      </c>
      <c r="Q106" s="2"/>
      <c r="R106" s="6">
        <f t="shared" si="24"/>
        <v>3.4486211545688146E-3</v>
      </c>
      <c r="S106" s="2"/>
      <c r="T106" s="2">
        <f>SUM(OSRRefT22_17x_0)</f>
        <v>294.43</v>
      </c>
      <c r="U106" s="2"/>
      <c r="V106" s="6">
        <f t="shared" si="25"/>
        <v>1.0294430934186304E-3</v>
      </c>
      <c r="W106" s="2"/>
      <c r="X106" s="2">
        <f t="shared" si="26"/>
        <v>1009.46</v>
      </c>
      <c r="Y106" s="2"/>
      <c r="Z106" s="6">
        <f t="shared" si="27"/>
        <v>3.4285229086709914</v>
      </c>
    </row>
    <row r="107" spans="1:26" s="69" customFormat="1" ht="15" hidden="1" customHeight="1" outlineLevel="2" x14ac:dyDescent="0.25">
      <c r="A107" s="25"/>
      <c r="B107" s="12" t="str">
        <f>CONCATENATE("          ","6274"," - ","UTILITIES")</f>
        <v xml:space="preserve">          6274 - UTILITIES</v>
      </c>
      <c r="C107" s="12"/>
      <c r="D107" s="7">
        <v>16.670000000000002</v>
      </c>
      <c r="E107" s="3"/>
      <c r="F107" s="8">
        <f t="shared" si="20"/>
        <v>4.0001622141365786E-4</v>
      </c>
      <c r="G107" s="3"/>
      <c r="H107" s="7">
        <v>29.9</v>
      </c>
      <c r="I107" s="3"/>
      <c r="J107" s="8">
        <f t="shared" si="21"/>
        <v>8.6156768435387331E-4</v>
      </c>
      <c r="K107" s="3"/>
      <c r="L107" s="7">
        <f t="shared" si="22"/>
        <v>-13.229999999999997</v>
      </c>
      <c r="M107" s="3"/>
      <c r="N107" s="8">
        <f t="shared" si="23"/>
        <v>-0.44247491638795977</v>
      </c>
      <c r="O107" s="12"/>
      <c r="P107" s="7">
        <v>1303.8900000000001</v>
      </c>
      <c r="Q107" s="3"/>
      <c r="R107" s="8">
        <f t="shared" si="24"/>
        <v>3.4486211545688146E-3</v>
      </c>
      <c r="S107" s="3"/>
      <c r="T107" s="7">
        <v>294.43</v>
      </c>
      <c r="U107" s="3"/>
      <c r="V107" s="8">
        <f t="shared" si="25"/>
        <v>1.0294430934186304E-3</v>
      </c>
      <c r="W107" s="3"/>
      <c r="X107" s="7">
        <f t="shared" si="26"/>
        <v>1009.46</v>
      </c>
      <c r="Y107" s="3"/>
      <c r="Z107" s="8">
        <f t="shared" si="27"/>
        <v>3.4285229086709914</v>
      </c>
    </row>
    <row r="108" spans="1:26" s="64" customFormat="1" ht="15" customHeight="1" x14ac:dyDescent="0.25">
      <c r="A108" s="36"/>
      <c r="B108" s="36"/>
      <c r="C108" s="36"/>
      <c r="D108" s="2"/>
      <c r="E108" s="2"/>
      <c r="F108" s="6"/>
      <c r="G108" s="2"/>
      <c r="H108" s="2"/>
      <c r="I108" s="2"/>
      <c r="J108" s="6"/>
      <c r="K108" s="2"/>
      <c r="L108" s="2"/>
      <c r="M108" s="2"/>
      <c r="N108" s="6"/>
      <c r="O108" s="36"/>
      <c r="P108" s="2"/>
      <c r="Q108" s="2"/>
      <c r="R108" s="6"/>
      <c r="S108" s="2"/>
      <c r="T108" s="2"/>
      <c r="U108" s="2"/>
      <c r="V108" s="6"/>
      <c r="W108" s="2"/>
      <c r="X108" s="2"/>
      <c r="Y108" s="2"/>
      <c r="Z108" s="6"/>
    </row>
    <row r="109" spans="1:26" s="62" customFormat="1" ht="15" customHeight="1" x14ac:dyDescent="0.25">
      <c r="A109" s="11"/>
      <c r="B109" s="28" t="s">
        <v>290</v>
      </c>
      <c r="C109" s="11"/>
      <c r="D109" s="5">
        <f>SUM(0)</f>
        <v>0</v>
      </c>
      <c r="E109" s="5"/>
      <c r="F109" s="13">
        <f>IF(D$12=0,0,D109/D$12)</f>
        <v>0</v>
      </c>
      <c r="G109" s="5"/>
      <c r="H109" s="5">
        <f>SUM(0)</f>
        <v>0</v>
      </c>
      <c r="I109" s="5"/>
      <c r="J109" s="13">
        <f>IF(H$12=0,0,H109/H$12)</f>
        <v>0</v>
      </c>
      <c r="K109" s="5"/>
      <c r="L109" s="5">
        <f>+D109-H109</f>
        <v>0</v>
      </c>
      <c r="M109" s="5"/>
      <c r="N109" s="13">
        <f>IF(H109=0,0,L109/H109)</f>
        <v>0</v>
      </c>
      <c r="O109" s="11"/>
      <c r="P109" s="5">
        <f>SUM(0)</f>
        <v>0</v>
      </c>
      <c r="Q109" s="5"/>
      <c r="R109" s="13">
        <f>IF(P$12=0,0,P109/P$12)</f>
        <v>0</v>
      </c>
      <c r="S109" s="5"/>
      <c r="T109" s="5">
        <f>SUM(0)</f>
        <v>0</v>
      </c>
      <c r="U109" s="5"/>
      <c r="V109" s="13">
        <f>IF(T$12=0,0,T109/T$12)</f>
        <v>0</v>
      </c>
      <c r="W109" s="5"/>
      <c r="X109" s="5">
        <f>+P109-T109</f>
        <v>0</v>
      </c>
      <c r="Y109" s="5"/>
      <c r="Z109" s="13">
        <f>IF(T109=0,0,X109/T109)</f>
        <v>0</v>
      </c>
    </row>
    <row r="110" spans="1:26" ht="15" customHeight="1" x14ac:dyDescent="0.25">
      <c r="A110" s="10"/>
      <c r="B110" s="11"/>
      <c r="C110" s="11"/>
      <c r="D110" s="4"/>
      <c r="E110" s="4"/>
      <c r="F110" s="9"/>
      <c r="G110" s="4"/>
      <c r="H110" s="4"/>
      <c r="I110" s="4"/>
      <c r="J110" s="9"/>
      <c r="K110" s="4"/>
      <c r="L110" s="4"/>
      <c r="M110" s="4"/>
      <c r="N110" s="9"/>
      <c r="O110" s="11"/>
      <c r="P110" s="4"/>
      <c r="Q110" s="4"/>
      <c r="R110" s="9"/>
      <c r="S110" s="4"/>
      <c r="T110" s="4"/>
      <c r="U110" s="4"/>
      <c r="V110" s="9"/>
      <c r="W110" s="4"/>
      <c r="X110" s="4"/>
      <c r="Y110" s="4"/>
      <c r="Z110" s="9"/>
    </row>
    <row r="111" spans="1:26" s="62" customFormat="1" ht="15" customHeight="1" x14ac:dyDescent="0.25">
      <c r="A111" s="11"/>
      <c r="B111" s="27" t="s">
        <v>291</v>
      </c>
      <c r="C111" s="27"/>
      <c r="D111" s="22">
        <f>+D49-D51+D109</f>
        <v>5093.5</v>
      </c>
      <c r="E111" s="15"/>
      <c r="F111" s="23">
        <f>IF(D$12=0,0,D111/D$12)</f>
        <v>0.12222451252372322</v>
      </c>
      <c r="G111" s="15"/>
      <c r="H111" s="22">
        <f>+H49-H51+H109</f>
        <v>-4884.8400000000074</v>
      </c>
      <c r="I111" s="15"/>
      <c r="J111" s="23">
        <f>IF(H$12=0,0,H111/H$12)</f>
        <v>-0.14075653134579202</v>
      </c>
      <c r="K111" s="16"/>
      <c r="L111" s="22">
        <f>+D111-H111</f>
        <v>9978.3400000000074</v>
      </c>
      <c r="M111" s="16"/>
      <c r="N111" s="23">
        <f>IF(H111=0,0,L111/H111)</f>
        <v>-2.0427158310200522</v>
      </c>
      <c r="O111" s="28"/>
      <c r="P111" s="22">
        <f>+P49-P51+P109</f>
        <v>10285.379999999917</v>
      </c>
      <c r="Q111" s="15"/>
      <c r="R111" s="23">
        <f>IF(P$12=0,0,P111/P$12)</f>
        <v>2.7203505702765345E-2</v>
      </c>
      <c r="S111" s="15"/>
      <c r="T111" s="22">
        <f>+T49-T51+T109</f>
        <v>-81260.520000000019</v>
      </c>
      <c r="U111" s="15"/>
      <c r="V111" s="23">
        <f>IF(T$12=0,0,T111/T$12)</f>
        <v>-0.28411874157391059</v>
      </c>
      <c r="W111" s="16"/>
      <c r="X111" s="22">
        <f>+P111-T111</f>
        <v>91545.899999999936</v>
      </c>
      <c r="Y111" s="16"/>
      <c r="Z111" s="23">
        <f>IF(T111=0,0,X111/T111)</f>
        <v>-1.1265729040375316</v>
      </c>
    </row>
    <row r="112" spans="1:26" ht="15" customHeight="1" x14ac:dyDescent="0.25">
      <c r="A112" s="10"/>
      <c r="B112" s="11"/>
      <c r="C112" s="10"/>
      <c r="D112" s="4"/>
      <c r="E112" s="4"/>
      <c r="F112" s="9"/>
      <c r="G112" s="4"/>
      <c r="H112" s="4"/>
      <c r="I112" s="4"/>
      <c r="J112" s="9"/>
      <c r="K112" s="4"/>
      <c r="L112" s="4"/>
      <c r="M112" s="4"/>
      <c r="N112" s="9"/>
      <c r="P112" s="4"/>
      <c r="Q112" s="4"/>
      <c r="R112" s="9"/>
      <c r="S112" s="4"/>
      <c r="T112" s="4"/>
      <c r="U112" s="4"/>
      <c r="V112" s="9"/>
      <c r="W112" s="4"/>
      <c r="X112" s="4"/>
      <c r="Y112" s="4"/>
      <c r="Z112" s="9"/>
    </row>
    <row r="113" spans="1:26" s="62" customFormat="1" ht="15" customHeight="1" x14ac:dyDescent="0.25">
      <c r="A113" s="48"/>
      <c r="B113" s="11" t="s">
        <v>292</v>
      </c>
      <c r="C113" s="11"/>
      <c r="D113" s="5">
        <v>4396.32</v>
      </c>
      <c r="E113" s="5"/>
      <c r="F113" s="13">
        <f>IF(D$12=0,0,D113/D$12)</f>
        <v>0.10549485989953762</v>
      </c>
      <c r="G113" s="5"/>
      <c r="H113" s="5">
        <v>8543.42</v>
      </c>
      <c r="I113" s="5"/>
      <c r="J113" s="13">
        <f>IF(H$12=0,0,H113/H$12)</f>
        <v>0.2461784142428953</v>
      </c>
      <c r="K113" s="5"/>
      <c r="L113" s="5">
        <f>+D113-H113</f>
        <v>-4147.1000000000004</v>
      </c>
      <c r="M113" s="5"/>
      <c r="N113" s="13">
        <f>IF(H113=0,0,L113/H113)</f>
        <v>-0.48541450613454568</v>
      </c>
      <c r="O113" s="11"/>
      <c r="P113" s="5">
        <v>42506.93</v>
      </c>
      <c r="Q113" s="5"/>
      <c r="R113" s="13">
        <f>IF(P$12=0,0,P113/P$12)</f>
        <v>0.1124253564440066</v>
      </c>
      <c r="S113" s="5"/>
      <c r="T113" s="5">
        <v>61117.41</v>
      </c>
      <c r="U113" s="5"/>
      <c r="V113" s="13">
        <f>IF(T$12=0,0,T113/T$12)</f>
        <v>0.21369050576413659</v>
      </c>
      <c r="W113" s="5"/>
      <c r="X113" s="5">
        <f>+P113-T113</f>
        <v>-18610.480000000003</v>
      </c>
      <c r="Y113" s="5"/>
      <c r="Z113" s="13">
        <f>IF(T113=0,0,X113/T113)</f>
        <v>-0.3045037412416528</v>
      </c>
    </row>
    <row r="114" spans="1:26" ht="15" customHeight="1" x14ac:dyDescent="0.25">
      <c r="A114" s="10"/>
      <c r="B114" s="11"/>
      <c r="C114" s="11"/>
      <c r="D114" s="4"/>
      <c r="E114" s="4"/>
      <c r="F114" s="9"/>
      <c r="G114" s="4"/>
      <c r="H114" s="4"/>
      <c r="I114" s="4"/>
      <c r="J114" s="9"/>
      <c r="K114" s="4"/>
      <c r="L114" s="4"/>
      <c r="M114" s="4"/>
      <c r="N114" s="9"/>
      <c r="O114" s="11"/>
      <c r="P114" s="4"/>
      <c r="Q114" s="4"/>
      <c r="R114" s="9"/>
      <c r="S114" s="4"/>
      <c r="T114" s="4"/>
      <c r="U114" s="4"/>
      <c r="V114" s="9"/>
      <c r="W114" s="4"/>
      <c r="X114" s="4"/>
      <c r="Y114" s="4"/>
      <c r="Z114" s="9"/>
    </row>
    <row r="115" spans="1:26" s="62" customFormat="1" ht="15" customHeight="1" x14ac:dyDescent="0.25">
      <c r="A115" s="11"/>
      <c r="B115" s="27" t="s">
        <v>293</v>
      </c>
      <c r="C115" s="27"/>
      <c r="D115" s="35">
        <f>+D111-D113</f>
        <v>697.18000000000029</v>
      </c>
      <c r="E115" s="15"/>
      <c r="F115" s="30">
        <f>IF(D$12=0,0,D115/D$12)</f>
        <v>1.6729652624185607E-2</v>
      </c>
      <c r="G115" s="15"/>
      <c r="H115" s="35">
        <f>+H111-H113</f>
        <v>-13428.260000000007</v>
      </c>
      <c r="I115" s="15"/>
      <c r="J115" s="30">
        <f>IF(H$12=0,0,H115/H$12)</f>
        <v>-0.3869349455886873</v>
      </c>
      <c r="K115" s="16"/>
      <c r="L115" s="35">
        <f>D115-H115</f>
        <v>14125.440000000008</v>
      </c>
      <c r="M115" s="16"/>
      <c r="N115" s="30">
        <f>IF(H115=0,0,L115/H115)</f>
        <v>-1.0519188636502421</v>
      </c>
      <c r="O115" s="28"/>
      <c r="P115" s="35">
        <f>+P111-P113</f>
        <v>-32221.550000000083</v>
      </c>
      <c r="Q115" s="15"/>
      <c r="R115" s="30">
        <f>IF(P$12=0,0,P115/P$12)</f>
        <v>-8.5221850741241251E-2</v>
      </c>
      <c r="S115" s="15"/>
      <c r="T115" s="35">
        <f>+T111-T113</f>
        <v>-142377.93000000002</v>
      </c>
      <c r="U115" s="15"/>
      <c r="V115" s="30">
        <f>IF(T$12=0,0,T115/T$12)</f>
        <v>-0.49780924733804721</v>
      </c>
      <c r="W115" s="16"/>
      <c r="X115" s="35">
        <f>P115-T115</f>
        <v>110156.37999999995</v>
      </c>
      <c r="Y115" s="16"/>
      <c r="Z115" s="30">
        <f>IF(T115=0,0,X115/T115)</f>
        <v>-0.7736899953525096</v>
      </c>
    </row>
    <row r="116" spans="1:26" ht="15" customHeight="1" x14ac:dyDescent="0.25">
      <c r="A116" s="10"/>
      <c r="B116" s="10"/>
      <c r="C116" s="10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ht="15" customHeight="1" x14ac:dyDescent="0.25">
      <c r="A117" s="10"/>
      <c r="B117" s="10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2" customFormat="1" ht="15" customHeight="1" x14ac:dyDescent="0.25">
      <c r="A118" s="11"/>
      <c r="B118" s="27" t="s">
        <v>296</v>
      </c>
      <c r="C118" s="27"/>
      <c r="D118" s="32">
        <f>SUM(D115:D117)</f>
        <v>697.18000000000029</v>
      </c>
      <c r="E118" s="15"/>
      <c r="F118" s="34">
        <f>IF(D$12=0,0,D118/D$12)</f>
        <v>1.6729652624185607E-2</v>
      </c>
      <c r="G118" s="15"/>
      <c r="H118" s="32">
        <f>SUM(H115:H117)</f>
        <v>-13428.260000000007</v>
      </c>
      <c r="I118" s="15"/>
      <c r="J118" s="34">
        <f>IF(H$12=0,0,H118/H$12)</f>
        <v>-0.3869349455886873</v>
      </c>
      <c r="K118" s="16"/>
      <c r="L118" s="32">
        <f>+D118-H118</f>
        <v>14125.440000000008</v>
      </c>
      <c r="M118" s="16"/>
      <c r="N118" s="34">
        <f>IF(H118=0,0,L118/H118)</f>
        <v>-1.0519188636502421</v>
      </c>
      <c r="O118" s="28"/>
      <c r="P118" s="32">
        <f>SUM(P115:P117)</f>
        <v>-32221.550000000083</v>
      </c>
      <c r="Q118" s="15"/>
      <c r="R118" s="34">
        <f>IF(P$12=0,0,P118/P$12)</f>
        <v>-8.5221850741241251E-2</v>
      </c>
      <c r="S118" s="15"/>
      <c r="T118" s="32">
        <f>SUM(T115:T117)</f>
        <v>-142377.93000000002</v>
      </c>
      <c r="U118" s="15"/>
      <c r="V118" s="34">
        <f>IF(T$12=0,0,T118/T$12)</f>
        <v>-0.49780924733804721</v>
      </c>
      <c r="W118" s="16"/>
      <c r="X118" s="32">
        <f>+P118-T118</f>
        <v>110156.37999999995</v>
      </c>
      <c r="Y118" s="16"/>
      <c r="Z118" s="34">
        <f>IF(T118=0,0,X118/T118)</f>
        <v>-0.7736899953525096</v>
      </c>
    </row>
    <row r="119" spans="1:26" ht="15" customHeight="1" x14ac:dyDescent="0.25">
      <c r="A119" s="10"/>
      <c r="C119" s="10"/>
      <c r="D119" s="18"/>
      <c r="E119" s="18"/>
      <c r="G119" s="18"/>
      <c r="H119" s="18"/>
      <c r="I119" s="18"/>
      <c r="J119" s="41"/>
      <c r="K119" s="18"/>
      <c r="L119" s="18"/>
      <c r="M119" s="18"/>
      <c r="P119" s="18"/>
      <c r="Q119" s="18"/>
      <c r="R119" s="41"/>
      <c r="S119" s="18"/>
      <c r="T119" s="18"/>
      <c r="U119" s="18"/>
      <c r="V119" s="41"/>
      <c r="W119" s="18"/>
      <c r="X119" s="18"/>
    </row>
    <row r="120" spans="1:26" ht="15" customHeight="1" x14ac:dyDescent="0.25">
      <c r="A120" s="10"/>
      <c r="B120" s="50">
        <v>44727.879654085649</v>
      </c>
      <c r="D120" s="18"/>
      <c r="E120" s="18"/>
      <c r="G120" s="18"/>
      <c r="H120" s="18"/>
      <c r="I120" s="18"/>
      <c r="J120" s="41"/>
      <c r="K120" s="18"/>
      <c r="L120" s="18"/>
      <c r="M120" s="18"/>
      <c r="P120" s="18"/>
      <c r="Q120" s="18"/>
      <c r="R120" s="41"/>
      <c r="S120" s="18"/>
      <c r="T120" s="18"/>
      <c r="U120" s="18"/>
      <c r="V120" s="41"/>
      <c r="W120" s="18"/>
      <c r="X120" s="18"/>
    </row>
    <row r="121" spans="1:26" ht="15" customHeight="1" x14ac:dyDescent="0.25">
      <c r="A121" s="10"/>
      <c r="B121" s="53" t="s">
        <v>297</v>
      </c>
      <c r="D121" s="18"/>
      <c r="E121" s="18"/>
      <c r="G121" s="18"/>
      <c r="H121" s="18"/>
      <c r="I121" s="18"/>
      <c r="J121" s="41"/>
      <c r="K121" s="18"/>
      <c r="L121" s="18"/>
      <c r="M121" s="18"/>
      <c r="P121" s="18"/>
      <c r="Q121" s="18"/>
      <c r="R121" s="41"/>
      <c r="S121" s="18"/>
      <c r="T121" s="18"/>
      <c r="U121" s="18"/>
      <c r="V121" s="41"/>
      <c r="W121" s="18"/>
      <c r="X121" s="18"/>
    </row>
    <row r="122" spans="1:26" ht="15" customHeight="1" x14ac:dyDescent="0.25">
      <c r="A122" s="10"/>
      <c r="B122" s="55"/>
      <c r="D122" s="18"/>
      <c r="E122" s="18"/>
      <c r="G122" s="18"/>
      <c r="H122" s="18"/>
      <c r="I122" s="18"/>
      <c r="J122" s="41"/>
      <c r="K122" s="18"/>
      <c r="L122" s="18"/>
      <c r="M122" s="18"/>
      <c r="P122" s="18"/>
      <c r="Q122" s="18"/>
      <c r="R122" s="41"/>
      <c r="S122" s="18"/>
      <c r="T122" s="18"/>
      <c r="U122" s="18"/>
      <c r="V122" s="41"/>
      <c r="W122" s="18"/>
      <c r="X122" s="18"/>
    </row>
    <row r="123" spans="1:26" ht="15" customHeight="1" x14ac:dyDescent="0.25">
      <c r="D123" s="18"/>
      <c r="E123" s="18"/>
      <c r="G123" s="18"/>
      <c r="H123" s="18"/>
      <c r="I123" s="18"/>
      <c r="J123" s="41"/>
      <c r="K123" s="18"/>
      <c r="L123" s="18"/>
      <c r="M123" s="18"/>
      <c r="P123" s="18"/>
      <c r="Q123" s="18"/>
      <c r="R123" s="41"/>
      <c r="S123" s="18"/>
      <c r="T123" s="18"/>
      <c r="U123" s="18"/>
      <c r="V123" s="41"/>
      <c r="W123" s="18"/>
      <c r="X123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26F96-5BBD-46C4-2CFC-8725035B40A8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298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5"/>
      <c r="L18" s="21">
        <f>+D18-H18</f>
        <v>0</v>
      </c>
      <c r="M18" s="5"/>
      <c r="N18" s="31">
        <f>IF(H18=0,0,L18/H18)</f>
        <v>0</v>
      </c>
      <c r="O18" s="11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5"/>
      <c r="X18" s="21">
        <f>+P18-T18</f>
        <v>0</v>
      </c>
      <c r="Y18" s="5"/>
      <c r="Z18" s="31">
        <f>IF(T18=0,0,X18/T18)</f>
        <v>0</v>
      </c>
    </row>
    <row r="19" spans="1:26" s="64" customFormat="1" ht="15" customHeight="1" x14ac:dyDescent="0.25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290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25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25">
      <c r="A22" s="11"/>
      <c r="B22" s="27" t="s">
        <v>291</v>
      </c>
      <c r="C22" s="27"/>
      <c r="D22" s="22">
        <f>+D16-D18+D20</f>
        <v>0</v>
      </c>
      <c r="E22" s="15"/>
      <c r="F22" s="23">
        <f>IF(D$12=0,0,D22/D$12)</f>
        <v>0</v>
      </c>
      <c r="G22" s="15"/>
      <c r="H22" s="22">
        <f>+H16-H18+H20</f>
        <v>0</v>
      </c>
      <c r="I22" s="15"/>
      <c r="J22" s="23">
        <f>IF(H$12=0,0,H22/H$12)</f>
        <v>0</v>
      </c>
      <c r="K22" s="16"/>
      <c r="L22" s="22">
        <f>+D22-H22</f>
        <v>0</v>
      </c>
      <c r="M22" s="16"/>
      <c r="N22" s="23">
        <f>IF(H22=0,0,L22/H22)</f>
        <v>0</v>
      </c>
      <c r="O22" s="28"/>
      <c r="P22" s="22">
        <f>+P16-P18+P20</f>
        <v>0</v>
      </c>
      <c r="Q22" s="15"/>
      <c r="R22" s="23">
        <f>IF(P$12=0,0,P22/P$12)</f>
        <v>0</v>
      </c>
      <c r="S22" s="15"/>
      <c r="T22" s="22">
        <f>+T16-T18+T20</f>
        <v>0</v>
      </c>
      <c r="U22" s="15"/>
      <c r="V22" s="23">
        <f>IF(T$12=0,0,T22/T$12)</f>
        <v>0</v>
      </c>
      <c r="W22" s="16"/>
      <c r="X22" s="22">
        <f>+P22-T22</f>
        <v>0</v>
      </c>
      <c r="Y22" s="16"/>
      <c r="Z22" s="23">
        <f>IF(T22=0,0,X22/T22)</f>
        <v>0</v>
      </c>
    </row>
    <row r="23" spans="1:26" ht="15" customHeight="1" x14ac:dyDescent="0.25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25">
      <c r="A24" s="48"/>
      <c r="B24" s="11" t="s">
        <v>292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25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25">
      <c r="A26" s="11"/>
      <c r="B26" s="27" t="s">
        <v>293</v>
      </c>
      <c r="C26" s="27"/>
      <c r="D26" s="35">
        <f>+D22-D24</f>
        <v>0</v>
      </c>
      <c r="E26" s="15"/>
      <c r="F26" s="30">
        <f>IF(D$12=0,0,D26/D$12)</f>
        <v>0</v>
      </c>
      <c r="G26" s="15"/>
      <c r="H26" s="35">
        <f>+H22-H24</f>
        <v>0</v>
      </c>
      <c r="I26" s="15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8"/>
      <c r="P26" s="35">
        <f>+P22-P24</f>
        <v>0</v>
      </c>
      <c r="Q26" s="15"/>
      <c r="R26" s="30">
        <f>IF(P$12=0,0,P26/P$12)</f>
        <v>0</v>
      </c>
      <c r="S26" s="15"/>
      <c r="T26" s="35">
        <f>+T22-T24</f>
        <v>0</v>
      </c>
      <c r="U26" s="15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" customHeight="1" x14ac:dyDescent="0.25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25">
      <c r="A28" s="48"/>
      <c r="B28" s="11" t="s">
        <v>294</v>
      </c>
      <c r="C28" s="11"/>
      <c r="D28" s="5">
        <f>--34869.47</f>
        <v>34869.47</v>
      </c>
      <c r="E28" s="5"/>
      <c r="F28" s="13">
        <f>IF(D$12=0,0,D28/D$12)</f>
        <v>0</v>
      </c>
      <c r="G28" s="5"/>
      <c r="H28" s="5">
        <f>--71471.24</f>
        <v>71471.240000000005</v>
      </c>
      <c r="I28" s="5"/>
      <c r="J28" s="13">
        <f>IF(H$12=0,0,H28/H$12)</f>
        <v>0</v>
      </c>
      <c r="K28" s="5"/>
      <c r="L28" s="5">
        <f>+D28-H28</f>
        <v>-36601.770000000004</v>
      </c>
      <c r="M28" s="5"/>
      <c r="N28" s="13">
        <f>IF(H28=0,0,L28/H28)</f>
        <v>-0.51211886067738577</v>
      </c>
      <c r="O28" s="11"/>
      <c r="P28" s="5">
        <f>-1551961.8</f>
        <v>-1551961.8</v>
      </c>
      <c r="Q28" s="5"/>
      <c r="R28" s="13">
        <f>IF(P$12=0,0,P28/P$12)</f>
        <v>0</v>
      </c>
      <c r="S28" s="5"/>
      <c r="T28" s="5">
        <f>--2702968.14</f>
        <v>2702968.14</v>
      </c>
      <c r="U28" s="5"/>
      <c r="V28" s="13">
        <f>IF(T$12=0,0,T28/T$12)</f>
        <v>0</v>
      </c>
      <c r="W28" s="5"/>
      <c r="X28" s="5">
        <f>+P28-T28</f>
        <v>-4254929.9400000004</v>
      </c>
      <c r="Y28" s="5"/>
      <c r="Z28" s="13">
        <f>IF(T28=0,0,X28/T28)</f>
        <v>-1.5741694757822784</v>
      </c>
    </row>
    <row r="29" spans="1:26" s="62" customFormat="1" ht="15" customHeight="1" x14ac:dyDescent="0.25">
      <c r="A29" s="48"/>
      <c r="B29" s="11" t="s">
        <v>295</v>
      </c>
      <c r="C29" s="11"/>
      <c r="D29" s="5">
        <f>--27330.11</f>
        <v>27330.11</v>
      </c>
      <c r="E29" s="5"/>
      <c r="F29" s="13">
        <f>IF(D$12=0,0,D29/D$12)</f>
        <v>0</v>
      </c>
      <c r="G29" s="5"/>
      <c r="H29" s="5">
        <f>--11468.39</f>
        <v>11468.39</v>
      </c>
      <c r="I29" s="5"/>
      <c r="J29" s="13">
        <f>IF(H$12=0,0,H29/H$12)</f>
        <v>0</v>
      </c>
      <c r="K29" s="5"/>
      <c r="L29" s="5">
        <f>+D29-H29</f>
        <v>15861.720000000001</v>
      </c>
      <c r="M29" s="5"/>
      <c r="N29" s="13">
        <f>IF(H29=0,0,L29/H29)</f>
        <v>1.3830816705745097</v>
      </c>
      <c r="O29" s="11"/>
      <c r="P29" s="5">
        <f>--2370117.56</f>
        <v>2370117.56</v>
      </c>
      <c r="Q29" s="5"/>
      <c r="R29" s="13">
        <f>IF(P$12=0,0,P29/P$12)</f>
        <v>0</v>
      </c>
      <c r="S29" s="5"/>
      <c r="T29" s="5">
        <f>--104227.92</f>
        <v>104227.92</v>
      </c>
      <c r="U29" s="5"/>
      <c r="V29" s="13">
        <f>IF(T$12=0,0,T29/T$12)</f>
        <v>0</v>
      </c>
      <c r="W29" s="5"/>
      <c r="X29" s="5">
        <f>+P29-T29</f>
        <v>2265889.64</v>
      </c>
      <c r="Y29" s="5"/>
      <c r="Z29" s="13">
        <f>IF(T29=0,0,X29/T29)</f>
        <v>21.739756871287465</v>
      </c>
    </row>
    <row r="30" spans="1:26" ht="15" customHeight="1" x14ac:dyDescent="0.25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296</v>
      </c>
      <c r="C31" s="27"/>
      <c r="D31" s="32">
        <f>SUM(D26:D30)</f>
        <v>62199.58</v>
      </c>
      <c r="E31" s="15"/>
      <c r="F31" s="34">
        <f>IF(D$12=0,0,D31/D$12)</f>
        <v>0</v>
      </c>
      <c r="G31" s="15"/>
      <c r="H31" s="32">
        <f>SUM(H26:H30)</f>
        <v>82939.63</v>
      </c>
      <c r="I31" s="15"/>
      <c r="J31" s="34">
        <f>IF(H$12=0,0,H31/H$12)</f>
        <v>0</v>
      </c>
      <c r="K31" s="16"/>
      <c r="L31" s="32">
        <f>+D31-H31</f>
        <v>-20740.050000000003</v>
      </c>
      <c r="M31" s="16"/>
      <c r="N31" s="34">
        <f>IF(H31=0,0,L31/H31)</f>
        <v>-0.25006200292911845</v>
      </c>
      <c r="O31" s="28"/>
      <c r="P31" s="32">
        <f>SUM(P26:P30)</f>
        <v>818155.76</v>
      </c>
      <c r="Q31" s="15"/>
      <c r="R31" s="34">
        <f>IF(P$12=0,0,P31/P$12)</f>
        <v>0</v>
      </c>
      <c r="S31" s="15"/>
      <c r="T31" s="32">
        <f>SUM(T26:T30)</f>
        <v>2807196.06</v>
      </c>
      <c r="U31" s="15"/>
      <c r="V31" s="34">
        <f>IF(T$12=0,0,T31/T$12)</f>
        <v>0</v>
      </c>
      <c r="W31" s="16"/>
      <c r="X31" s="32">
        <f>+P31-T31</f>
        <v>-1989040.3</v>
      </c>
      <c r="Y31" s="16"/>
      <c r="Z31" s="34">
        <f>IF(T31=0,0,X31/T31)</f>
        <v>-0.70855054562879372</v>
      </c>
    </row>
    <row r="32" spans="1:26" ht="15" customHeight="1" x14ac:dyDescent="0.25">
      <c r="A32" s="10"/>
      <c r="C32" s="10"/>
      <c r="D32" s="18"/>
      <c r="E32" s="18"/>
      <c r="G32" s="18"/>
      <c r="H32" s="18"/>
      <c r="I32" s="18"/>
      <c r="J32" s="41"/>
      <c r="K32" s="18"/>
      <c r="L32" s="18"/>
      <c r="M32" s="18"/>
      <c r="P32" s="18"/>
      <c r="Q32" s="18"/>
      <c r="R32" s="41"/>
      <c r="S32" s="18"/>
      <c r="T32" s="18"/>
      <c r="U32" s="18"/>
      <c r="V32" s="41"/>
      <c r="W32" s="18"/>
      <c r="X32" s="18"/>
    </row>
    <row r="33" spans="1:24" ht="15" customHeight="1" x14ac:dyDescent="0.25">
      <c r="A33" s="10"/>
      <c r="B33" s="50">
        <v>44727.879646030095</v>
      </c>
      <c r="D33" s="18"/>
      <c r="E33" s="18"/>
      <c r="G33" s="18"/>
      <c r="H33" s="18"/>
      <c r="I33" s="18"/>
      <c r="J33" s="41"/>
      <c r="K33" s="18"/>
      <c r="L33" s="18"/>
      <c r="M33" s="18"/>
      <c r="P33" s="18"/>
      <c r="Q33" s="18"/>
      <c r="R33" s="41"/>
      <c r="S33" s="18"/>
      <c r="T33" s="18"/>
      <c r="U33" s="18"/>
      <c r="V33" s="41"/>
      <c r="W33" s="18"/>
      <c r="X33" s="18"/>
    </row>
    <row r="34" spans="1:24" ht="15" customHeight="1" x14ac:dyDescent="0.25">
      <c r="A34" s="10"/>
      <c r="B34" s="53" t="s">
        <v>297</v>
      </c>
      <c r="D34" s="18"/>
      <c r="E34" s="18"/>
      <c r="G34" s="18"/>
      <c r="H34" s="18"/>
      <c r="I34" s="18"/>
      <c r="J34" s="41"/>
      <c r="K34" s="18"/>
      <c r="L34" s="18"/>
      <c r="M34" s="18"/>
      <c r="P34" s="18"/>
      <c r="Q34" s="18"/>
      <c r="R34" s="41"/>
      <c r="S34" s="18"/>
      <c r="T34" s="18"/>
      <c r="U34" s="18"/>
      <c r="V34" s="41"/>
      <c r="W34" s="18"/>
      <c r="X34" s="18"/>
    </row>
    <row r="35" spans="1:24" ht="15" customHeight="1" x14ac:dyDescent="0.25">
      <c r="A35" s="10"/>
      <c r="B35" s="55"/>
      <c r="D35" s="18"/>
      <c r="E35" s="18"/>
      <c r="G35" s="18"/>
      <c r="H35" s="18"/>
      <c r="I35" s="18"/>
      <c r="J35" s="41"/>
      <c r="K35" s="18"/>
      <c r="L35" s="18"/>
      <c r="M35" s="18"/>
      <c r="P35" s="18"/>
      <c r="Q35" s="18"/>
      <c r="R35" s="41"/>
      <c r="S35" s="18"/>
      <c r="T35" s="18"/>
      <c r="U35" s="18"/>
      <c r="V35" s="41"/>
      <c r="W35" s="18"/>
      <c r="X35" s="18"/>
    </row>
    <row r="36" spans="1:24" ht="15" customHeight="1" x14ac:dyDescent="0.25">
      <c r="D36" s="18"/>
      <c r="E36" s="18"/>
      <c r="G36" s="18"/>
      <c r="H36" s="18"/>
      <c r="I36" s="18"/>
      <c r="J36" s="41"/>
      <c r="K36" s="18"/>
      <c r="L36" s="18"/>
      <c r="M36" s="18"/>
      <c r="P36" s="18"/>
      <c r="Q36" s="18"/>
      <c r="R36" s="41"/>
      <c r="S36" s="18"/>
      <c r="T36" s="18"/>
      <c r="U36" s="18"/>
      <c r="V36" s="41"/>
      <c r="W36" s="18"/>
      <c r="X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CF93-A6B4-0E4B-28C8-9800FA5679DB}">
  <sheetPr>
    <tabColor rgb="FFFFFF00"/>
    <outlinePr summaryBelow="0" summaryRight="0"/>
  </sheetPr>
  <dimension ref="A2:Z9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307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28464.55</v>
      </c>
      <c r="E12" s="5"/>
      <c r="F12" s="13"/>
      <c r="G12" s="5"/>
      <c r="H12" s="5">
        <f>SUM(OSRRefH13x_0)</f>
        <v>12946.13</v>
      </c>
      <c r="I12" s="5"/>
      <c r="J12" s="13"/>
      <c r="K12" s="5"/>
      <c r="L12" s="5">
        <f t="shared" ref="L12:L25" si="0">+D12-H12</f>
        <v>15518.42</v>
      </c>
      <c r="M12" s="5"/>
      <c r="N12" s="13">
        <f t="shared" ref="N12:N25" si="1">IF(H12=0,0,L12/H12)</f>
        <v>1.1986918098304282</v>
      </c>
      <c r="O12" s="11"/>
      <c r="P12" s="5">
        <f>SUM(OSRRefP13x_0)</f>
        <v>223467</v>
      </c>
      <c r="Q12" s="5"/>
      <c r="R12" s="13"/>
      <c r="S12" s="5"/>
      <c r="T12" s="5">
        <f>SUM(OSRRefT13x_0)</f>
        <v>127643.60999999999</v>
      </c>
      <c r="U12" s="5"/>
      <c r="V12" s="13"/>
      <c r="W12" s="5"/>
      <c r="X12" s="5">
        <f t="shared" ref="X12:X25" si="2">+P12-T12</f>
        <v>95823.390000000014</v>
      </c>
      <c r="Y12" s="5"/>
      <c r="Z12" s="13">
        <f t="shared" ref="Z12:Z25" si="3">IF(T12=0,0,X12/T12)</f>
        <v>0.7507104350934608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--23368.25</f>
        <v>23368.25</v>
      </c>
      <c r="E13" s="3"/>
      <c r="F13" s="20"/>
      <c r="G13" s="3"/>
      <c r="H13" s="3">
        <f>-1</f>
        <v>-1</v>
      </c>
      <c r="I13" s="3"/>
      <c r="J13" s="20"/>
      <c r="K13" s="3"/>
      <c r="L13" s="3">
        <f t="shared" si="0"/>
        <v>23369.25</v>
      </c>
      <c r="M13" s="3"/>
      <c r="N13" s="20">
        <f t="shared" si="1"/>
        <v>-23369.25</v>
      </c>
      <c r="O13" s="12"/>
      <c r="P13" s="3">
        <f>--173278.92</f>
        <v>173278.92</v>
      </c>
      <c r="Q13" s="3"/>
      <c r="R13" s="20"/>
      <c r="S13" s="3"/>
      <c r="T13" s="3">
        <f>-10.28</f>
        <v>-10.28</v>
      </c>
      <c r="U13" s="3"/>
      <c r="V13" s="20"/>
      <c r="W13" s="3"/>
      <c r="X13" s="3">
        <f t="shared" si="2"/>
        <v>173289.2</v>
      </c>
      <c r="Y13" s="3"/>
      <c r="Z13" s="20">
        <f t="shared" si="3"/>
        <v>-16856.926070038913</v>
      </c>
    </row>
    <row r="14" spans="1:26" s="69" customFormat="1" ht="15" hidden="1" customHeight="1" outlineLevel="1" x14ac:dyDescent="0.25">
      <c r="A14" s="42"/>
      <c r="B14" s="12" t="str">
        <f>CONCATENATE("          ","4041"," - ","TAXABLE SALES-LOGO GIFTS")</f>
        <v xml:space="preserve">          4041 - TAXABLE SALES-LOGO GIFTS</v>
      </c>
      <c r="C14" s="12"/>
      <c r="D14" s="3">
        <f>0</f>
        <v>0</v>
      </c>
      <c r="E14" s="3"/>
      <c r="F14" s="20"/>
      <c r="G14" s="3"/>
      <c r="H14" s="3">
        <f>--381.55</f>
        <v>381.55</v>
      </c>
      <c r="I14" s="3"/>
      <c r="J14" s="20"/>
      <c r="K14" s="3"/>
      <c r="L14" s="3">
        <f t="shared" si="0"/>
        <v>-381.55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--93301.72</f>
        <v>93301.72</v>
      </c>
      <c r="U14" s="3"/>
      <c r="V14" s="20"/>
      <c r="W14" s="3"/>
      <c r="X14" s="3">
        <f t="shared" si="2"/>
        <v>-93301.72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","4042"," - ","TAXABLE SALES-EVERYDAY GIFTS")</f>
        <v xml:space="preserve">          4042 - TAXABLE SALES-EVERYDAY GIFTS</v>
      </c>
      <c r="C15" s="12"/>
      <c r="D15" s="3">
        <f>0</f>
        <v>0</v>
      </c>
      <c r="E15" s="3"/>
      <c r="F15" s="20"/>
      <c r="G15" s="3"/>
      <c r="H15" s="3">
        <f>--1225.83</f>
        <v>1225.83</v>
      </c>
      <c r="I15" s="3"/>
      <c r="J15" s="20"/>
      <c r="K15" s="3"/>
      <c r="L15" s="3">
        <f t="shared" si="0"/>
        <v>-1225.83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--18325.67</f>
        <v>18325.669999999998</v>
      </c>
      <c r="U15" s="3"/>
      <c r="V15" s="20"/>
      <c r="W15" s="3"/>
      <c r="X15" s="3">
        <f t="shared" si="2"/>
        <v>-18325.669999999998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","4043"," - ","TAXABLE SALES-CARDS")</f>
        <v xml:space="preserve">          4043 - TAXABLE SALES-CARDS</v>
      </c>
      <c r="C16" s="12"/>
      <c r="D16" s="3">
        <f>0</f>
        <v>0</v>
      </c>
      <c r="E16" s="3"/>
      <c r="F16" s="20"/>
      <c r="G16" s="3"/>
      <c r="H16" s="3">
        <f>--9.47</f>
        <v>9.4700000000000006</v>
      </c>
      <c r="I16" s="3"/>
      <c r="J16" s="20"/>
      <c r="K16" s="3"/>
      <c r="L16" s="3">
        <f t="shared" si="0"/>
        <v>-9.4700000000000006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--62.15</f>
        <v>62.15</v>
      </c>
      <c r="U16" s="3"/>
      <c r="V16" s="20"/>
      <c r="W16" s="3"/>
      <c r="X16" s="3">
        <f t="shared" si="2"/>
        <v>-62.15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","4095"," - ","TAXABLE SALES-CUSTOMER SERVICE")</f>
        <v xml:space="preserve">          4095 - TAXABLE SALES-CUSTOMER SERVICE</v>
      </c>
      <c r="C17" s="12"/>
      <c r="D17" s="3">
        <f>0</f>
        <v>0</v>
      </c>
      <c r="E17" s="3"/>
      <c r="F17" s="20"/>
      <c r="G17" s="3"/>
      <c r="H17" s="3">
        <f>--10891.24</f>
        <v>10891.24</v>
      </c>
      <c r="I17" s="3"/>
      <c r="J17" s="20"/>
      <c r="K17" s="3"/>
      <c r="L17" s="3">
        <f t="shared" si="0"/>
        <v>-10891.24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--13925.83</f>
        <v>13925.83</v>
      </c>
      <c r="U17" s="3"/>
      <c r="V17" s="20"/>
      <c r="W17" s="3"/>
      <c r="X17" s="3">
        <f t="shared" si="2"/>
        <v>-13925.83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--5125.23</f>
        <v>5125.2299999999996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5125.2299999999996</v>
      </c>
      <c r="M18" s="3"/>
      <c r="N18" s="20">
        <f t="shared" si="1"/>
        <v>0</v>
      </c>
      <c r="O18" s="12"/>
      <c r="P18" s="3">
        <f>--51288.03</f>
        <v>51288.03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51288.03</v>
      </c>
      <c r="Y18" s="3"/>
      <c r="Z18" s="20">
        <f t="shared" si="3"/>
        <v>0</v>
      </c>
    </row>
    <row r="19" spans="1:26" s="69" customFormat="1" ht="15" hidden="1" customHeight="1" outlineLevel="1" x14ac:dyDescent="0.25">
      <c r="A19" s="42"/>
      <c r="B19" s="12" t="str">
        <f>CONCATENATE("          ","4141"," - ","NON-TAXABLE SALES-LOGO GIFTS")</f>
        <v xml:space="preserve">          4141 - NON-TAXABLE SALES-LOGO GIFTS</v>
      </c>
      <c r="C19" s="12"/>
      <c r="D19" s="3">
        <f>0</f>
        <v>0</v>
      </c>
      <c r="E19" s="3"/>
      <c r="F19" s="20"/>
      <c r="G19" s="3"/>
      <c r="H19" s="3">
        <f>--476.8</f>
        <v>476.8</v>
      </c>
      <c r="I19" s="3"/>
      <c r="J19" s="20"/>
      <c r="K19" s="3"/>
      <c r="L19" s="3">
        <f t="shared" si="0"/>
        <v>-476.8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--1756.04</f>
        <v>1756.04</v>
      </c>
      <c r="U19" s="3"/>
      <c r="V19" s="20"/>
      <c r="W19" s="3"/>
      <c r="X19" s="3">
        <f t="shared" si="2"/>
        <v>-1756.04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","4142"," - ","NON-TAXABLE SALES-EVERYDAY GIF")</f>
        <v xml:space="preserve">          4142 - NON-TAXABLE SALES-EVERYDAY GIF</v>
      </c>
      <c r="C20" s="12"/>
      <c r="D20" s="3">
        <f>0</f>
        <v>0</v>
      </c>
      <c r="E20" s="3"/>
      <c r="F20" s="20"/>
      <c r="G20" s="3"/>
      <c r="H20" s="3">
        <f>--4.39</f>
        <v>4.3899999999999997</v>
      </c>
      <c r="I20" s="3"/>
      <c r="J20" s="20"/>
      <c r="K20" s="3"/>
      <c r="L20" s="3">
        <f t="shared" si="0"/>
        <v>-4.3899999999999997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--1137.08</f>
        <v>1137.08</v>
      </c>
      <c r="U20" s="3"/>
      <c r="V20" s="20"/>
      <c r="W20" s="3"/>
      <c r="X20" s="3">
        <f t="shared" si="2"/>
        <v>-1137.08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","4146"," - ","NON-TAXABLE SALES-COIN OP MACH")</f>
        <v xml:space="preserve">          4146 - NON-TAXABLE SALES-COIN OP MACH</v>
      </c>
      <c r="C21" s="12"/>
      <c r="D21" s="3">
        <f>0</f>
        <v>0</v>
      </c>
      <c r="E21" s="3"/>
      <c r="F21" s="20"/>
      <c r="G21" s="3"/>
      <c r="H21" s="3">
        <f>--56.6</f>
        <v>56.6</v>
      </c>
      <c r="I21" s="3"/>
      <c r="J21" s="20"/>
      <c r="K21" s="3"/>
      <c r="L21" s="3">
        <f t="shared" si="0"/>
        <v>-56.6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--385.9</f>
        <v>385.9</v>
      </c>
      <c r="U21" s="3"/>
      <c r="V21" s="20"/>
      <c r="W21" s="3"/>
      <c r="X21" s="3">
        <f t="shared" si="2"/>
        <v>-385.9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","4147"," - ","NON-TAXABLE SALES-MISC")</f>
        <v xml:space="preserve">          4147 - NON-TAXABLE SALES-MISC</v>
      </c>
      <c r="C22" s="12"/>
      <c r="D22" s="3">
        <f>0</f>
        <v>0</v>
      </c>
      <c r="E22" s="3"/>
      <c r="F22" s="20"/>
      <c r="G22" s="3"/>
      <c r="H22" s="3">
        <f>--13.5</f>
        <v>13.5</v>
      </c>
      <c r="I22" s="3"/>
      <c r="J22" s="20"/>
      <c r="K22" s="3"/>
      <c r="L22" s="3">
        <f t="shared" si="0"/>
        <v>-13.5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--168</f>
        <v>168</v>
      </c>
      <c r="U22" s="3"/>
      <c r="V22" s="20"/>
      <c r="W22" s="3"/>
      <c r="X22" s="3">
        <f t="shared" si="2"/>
        <v>-168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","4200"," - ","TAXABLE RETURNS")</f>
        <v xml:space="preserve">          4200 - TAXABLE RETURNS</v>
      </c>
      <c r="C23" s="12"/>
      <c r="D23" s="3">
        <f>-28.93</f>
        <v>-28.93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-28.93</v>
      </c>
      <c r="M23" s="3"/>
      <c r="N23" s="20">
        <f t="shared" si="1"/>
        <v>0</v>
      </c>
      <c r="O23" s="12"/>
      <c r="P23" s="3">
        <f>-1099.95</f>
        <v>-1099.95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-1099.95</v>
      </c>
      <c r="Y23" s="3"/>
      <c r="Z23" s="20">
        <f t="shared" si="3"/>
        <v>0</v>
      </c>
    </row>
    <row r="24" spans="1:26" s="69" customFormat="1" ht="15" hidden="1" customHeight="1" outlineLevel="1" x14ac:dyDescent="0.25">
      <c r="A24" s="42"/>
      <c r="B24" s="12" t="str">
        <f>CONCATENATE("          ","4241"," - ","SALES RETURN TAXABLE-LOGO GIFT")</f>
        <v xml:space="preserve">          4241 - SALES RETURN TAXABLE-LOGO GIFT</v>
      </c>
      <c r="C24" s="12"/>
      <c r="D24" s="3">
        <f>0</f>
        <v>0</v>
      </c>
      <c r="E24" s="3"/>
      <c r="F24" s="20"/>
      <c r="G24" s="3"/>
      <c r="H24" s="3">
        <f>-7.95</f>
        <v>-7.95</v>
      </c>
      <c r="I24" s="3"/>
      <c r="J24" s="20"/>
      <c r="K24" s="3"/>
      <c r="L24" s="3">
        <f t="shared" si="0"/>
        <v>7.95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-1293</f>
        <v>-1293</v>
      </c>
      <c r="U24" s="3"/>
      <c r="V24" s="20"/>
      <c r="W24" s="3"/>
      <c r="X24" s="3">
        <f t="shared" si="2"/>
        <v>1293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","4341"," - ","SALES RETURN NON TAXABLE-LOGO")</f>
        <v xml:space="preserve">          4341 - SALES RETURN NON TAXABLE-LOGO</v>
      </c>
      <c r="C25" s="12"/>
      <c r="D25" s="3">
        <f>0</f>
        <v>0</v>
      </c>
      <c r="E25" s="3"/>
      <c r="F25" s="20"/>
      <c r="G25" s="3"/>
      <c r="H25" s="3">
        <f>-104.3</f>
        <v>-104.3</v>
      </c>
      <c r="I25" s="3"/>
      <c r="J25" s="20"/>
      <c r="K25" s="3"/>
      <c r="L25" s="3">
        <f t="shared" si="0"/>
        <v>104.3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-115.5</f>
        <v>-115.5</v>
      </c>
      <c r="U25" s="3"/>
      <c r="V25" s="20"/>
      <c r="W25" s="3"/>
      <c r="X25" s="3">
        <f t="shared" si="2"/>
        <v>115.5</v>
      </c>
      <c r="Y25" s="3"/>
      <c r="Z25" s="20">
        <f t="shared" si="3"/>
        <v>-1</v>
      </c>
    </row>
    <row r="26" spans="1:26" ht="15" customHeight="1" x14ac:dyDescent="0.25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25">
      <c r="A27" s="11"/>
      <c r="B27" s="28" t="s">
        <v>287</v>
      </c>
      <c r="C27" s="11"/>
      <c r="D27" s="5">
        <f>SUM(OSRRefD16x_0)</f>
        <v>0</v>
      </c>
      <c r="E27" s="5"/>
      <c r="F27" s="13">
        <f>IF(D$12=0,0,D27/D$12)</f>
        <v>0</v>
      </c>
      <c r="G27" s="5"/>
      <c r="H27" s="5">
        <f>SUM(OSRRefH16x_0)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SUM(OSRRefP16x_0)</f>
        <v>8.26</v>
      </c>
      <c r="Q27" s="5"/>
      <c r="R27" s="13">
        <f>IF(P$12=0,0,P27/P$12)</f>
        <v>3.6962952024236242E-5</v>
      </c>
      <c r="S27" s="5"/>
      <c r="T27" s="5">
        <f>SUM(OSRRefT16x_0)</f>
        <v>0</v>
      </c>
      <c r="U27" s="5"/>
      <c r="V27" s="13">
        <f>IF(T$12=0,0,T27/T$12)</f>
        <v>0</v>
      </c>
      <c r="W27" s="5"/>
      <c r="X27" s="5">
        <f>+P27-T27</f>
        <v>8.26</v>
      </c>
      <c r="Y27" s="5"/>
      <c r="Z27" s="13">
        <f>IF(T27=0,0,X27/T27)</f>
        <v>0</v>
      </c>
    </row>
    <row r="28" spans="1:26" s="69" customFormat="1" ht="15" hidden="1" customHeight="1" outlineLevel="1" x14ac:dyDescent="0.25">
      <c r="A28" s="42"/>
      <c r="B28" s="12" t="str">
        <f>CONCATENATE("          ","5092"," - ","PURCHASES @ COST-GRAD MERCH")</f>
        <v xml:space="preserve">          5092 - PURCHASES @ COST-GRAD MERCH</v>
      </c>
      <c r="C28" s="12"/>
      <c r="D28" s="3"/>
      <c r="E28" s="3"/>
      <c r="F28" s="20">
        <f>IF(D$12=0,0,D28/D$12)</f>
        <v>0</v>
      </c>
      <c r="G28" s="3"/>
      <c r="H28" s="3"/>
      <c r="I28" s="3"/>
      <c r="J28" s="20">
        <f>IF(H$12=0,0,H28/H$12)</f>
        <v>0</v>
      </c>
      <c r="K28" s="3"/>
      <c r="L28" s="3">
        <f>+D28-H28</f>
        <v>0</v>
      </c>
      <c r="M28" s="3"/>
      <c r="N28" s="20">
        <f>IF(H28=0,0,L28/H28)</f>
        <v>0</v>
      </c>
      <c r="O28" s="12"/>
      <c r="P28" s="3"/>
      <c r="Q28" s="3"/>
      <c r="R28" s="20">
        <f>IF(P$12=0,0,P28/P$12)</f>
        <v>0</v>
      </c>
      <c r="S28" s="3"/>
      <c r="T28" s="3">
        <v>0</v>
      </c>
      <c r="U28" s="3"/>
      <c r="V28" s="20">
        <f>IF(T$12=0,0,T28/T$12)</f>
        <v>0</v>
      </c>
      <c r="W28" s="3"/>
      <c r="X28" s="3">
        <f>+P28-T28</f>
        <v>0</v>
      </c>
      <c r="Y28" s="3"/>
      <c r="Z28" s="20">
        <f>IF(T28=0,0,X28/T28)</f>
        <v>0</v>
      </c>
    </row>
    <row r="29" spans="1:26" s="69" customFormat="1" ht="15" hidden="1" customHeight="1" outlineLevel="1" x14ac:dyDescent="0.25">
      <c r="A29" s="42"/>
      <c r="B29" s="12" t="str">
        <f>CONCATENATE("          ","5500"," - ","FREIGHT-IN")</f>
        <v xml:space="preserve">          5500 - FREIGHT-IN</v>
      </c>
      <c r="C29" s="12"/>
      <c r="D29" s="3"/>
      <c r="E29" s="3"/>
      <c r="F29" s="20">
        <f>IF(D$12=0,0,D29/D$12)</f>
        <v>0</v>
      </c>
      <c r="G29" s="3"/>
      <c r="H29" s="3"/>
      <c r="I29" s="3"/>
      <c r="J29" s="20">
        <f>IF(H$12=0,0,H29/H$12)</f>
        <v>0</v>
      </c>
      <c r="K29" s="3"/>
      <c r="L29" s="3">
        <f>+D29-H29</f>
        <v>0</v>
      </c>
      <c r="M29" s="3"/>
      <c r="N29" s="20">
        <f>IF(H29=0,0,L29/H29)</f>
        <v>0</v>
      </c>
      <c r="O29" s="12"/>
      <c r="P29" s="3">
        <v>8.26</v>
      </c>
      <c r="Q29" s="3"/>
      <c r="R29" s="20">
        <f>IF(P$12=0,0,P29/P$12)</f>
        <v>3.6962952024236242E-5</v>
      </c>
      <c r="S29" s="3"/>
      <c r="T29" s="3"/>
      <c r="U29" s="3"/>
      <c r="V29" s="20">
        <f>IF(T$12=0,0,T29/T$12)</f>
        <v>0</v>
      </c>
      <c r="W29" s="3"/>
      <c r="X29" s="3">
        <f>+P29-T29</f>
        <v>8.26</v>
      </c>
      <c r="Y29" s="3"/>
      <c r="Z29" s="20">
        <f>IF(T29=0,0,X29/T29)</f>
        <v>0</v>
      </c>
    </row>
    <row r="30" spans="1:26" s="69" customFormat="1" ht="15" hidden="1" customHeight="1" outlineLevel="1" x14ac:dyDescent="0.25">
      <c r="A30" s="42"/>
      <c r="B30" s="12" t="str">
        <f>CONCATENATE("          ","5592"," - ","FREIGHT-IN-GRAD MERCH")</f>
        <v xml:space="preserve">          5592 - FREIGHT-IN-GRAD MERCH</v>
      </c>
      <c r="C30" s="12"/>
      <c r="D30" s="3"/>
      <c r="E30" s="3"/>
      <c r="F30" s="20">
        <f>IF(D$12=0,0,D30/D$12)</f>
        <v>0</v>
      </c>
      <c r="G30" s="3"/>
      <c r="H30" s="3"/>
      <c r="I30" s="3"/>
      <c r="J30" s="20">
        <f>IF(H$12=0,0,H30/H$12)</f>
        <v>0</v>
      </c>
      <c r="K30" s="3"/>
      <c r="L30" s="3">
        <f>+D30-H30</f>
        <v>0</v>
      </c>
      <c r="M30" s="3"/>
      <c r="N30" s="20">
        <f>IF(H30=0,0,L30/H30)</f>
        <v>0</v>
      </c>
      <c r="O30" s="12"/>
      <c r="P30" s="3"/>
      <c r="Q30" s="3"/>
      <c r="R30" s="20">
        <f>IF(P$12=0,0,P30/P$12)</f>
        <v>0</v>
      </c>
      <c r="S30" s="3"/>
      <c r="T30" s="3">
        <v>0</v>
      </c>
      <c r="U30" s="3"/>
      <c r="V30" s="20">
        <f>IF(T$12=0,0,T30/T$12)</f>
        <v>0</v>
      </c>
      <c r="W30" s="3"/>
      <c r="X30" s="3">
        <f>+P30-T30</f>
        <v>0</v>
      </c>
      <c r="Y30" s="3"/>
      <c r="Z30" s="20">
        <f>IF(T30=0,0,X30/T30)</f>
        <v>0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25">
      <c r="A32" s="11"/>
      <c r="B32" s="27" t="s">
        <v>288</v>
      </c>
      <c r="C32" s="27"/>
      <c r="D32" s="22">
        <f>D12-D27</f>
        <v>28464.55</v>
      </c>
      <c r="E32" s="15"/>
      <c r="F32" s="23">
        <f>IF(D$12=0,0,D32/D$12)</f>
        <v>1</v>
      </c>
      <c r="G32" s="15"/>
      <c r="H32" s="22">
        <f>H12-H27</f>
        <v>12946.13</v>
      </c>
      <c r="I32" s="15"/>
      <c r="J32" s="23">
        <f>IF(H$12=0,0,H32/H$12)</f>
        <v>1</v>
      </c>
      <c r="K32" s="16"/>
      <c r="L32" s="22">
        <f>+D32-H32</f>
        <v>15518.42</v>
      </c>
      <c r="M32" s="16"/>
      <c r="N32" s="23">
        <f>IF(H32=0,0,L32/H32)</f>
        <v>1.1986918098304282</v>
      </c>
      <c r="O32" s="28"/>
      <c r="P32" s="22">
        <f>P12-P27</f>
        <v>223458.74</v>
      </c>
      <c r="Q32" s="15"/>
      <c r="R32" s="23">
        <f>IF(P$12=0,0,P32/P$12)</f>
        <v>0.99996303704797573</v>
      </c>
      <c r="S32" s="15"/>
      <c r="T32" s="22">
        <f>T12-T27</f>
        <v>127643.60999999999</v>
      </c>
      <c r="U32" s="15"/>
      <c r="V32" s="23">
        <f>IF(T$12=0,0,T32/T$12)</f>
        <v>1</v>
      </c>
      <c r="W32" s="16"/>
      <c r="X32" s="22">
        <f>+P32-T32</f>
        <v>95815.13</v>
      </c>
      <c r="Y32" s="16"/>
      <c r="Z32" s="23">
        <f>IF(T32=0,0,X32/T32)</f>
        <v>0.75064572366764004</v>
      </c>
    </row>
    <row r="33" spans="1:26" ht="15" customHeight="1" x14ac:dyDescent="0.25">
      <c r="A33" s="10"/>
      <c r="B33" s="11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2" customFormat="1" ht="15" customHeight="1" x14ac:dyDescent="0.25">
      <c r="A34" s="11"/>
      <c r="B34" s="28" t="s">
        <v>289</v>
      </c>
      <c r="C34" s="11"/>
      <c r="D34" s="21" cm="1">
        <f t="array" ref="D34">SUM(OSRRefD22x_0)</f>
        <v>28955.8</v>
      </c>
      <c r="E34" s="21"/>
      <c r="F34" s="31">
        <f t="shared" ref="F34:F80" si="4">IF(D$12=0,0,D34/D$12)</f>
        <v>1.0172583090194645</v>
      </c>
      <c r="G34" s="21"/>
      <c r="H34" s="21" cm="1">
        <f t="array" ref="H34">SUM(OSRRefH22x_0)</f>
        <v>13000.159999999991</v>
      </c>
      <c r="I34" s="21"/>
      <c r="J34" s="31">
        <f t="shared" ref="J34:J80" si="5">IF(H$12=0,0,H34/H$12)</f>
        <v>1.0041734479724822</v>
      </c>
      <c r="K34" s="5"/>
      <c r="L34" s="21">
        <f t="shared" ref="L34:L80" si="6">+D34-H34</f>
        <v>15955.640000000009</v>
      </c>
      <c r="M34" s="5"/>
      <c r="N34" s="31">
        <f t="shared" ref="N34:N80" si="7">IF(H34=0,0,L34/H34)</f>
        <v>1.2273418173314805</v>
      </c>
      <c r="O34" s="11"/>
      <c r="P34" s="21" cm="1">
        <f t="array" ref="P34">SUM(OSRRefP22x_0)</f>
        <v>274227.66999999987</v>
      </c>
      <c r="Q34" s="21"/>
      <c r="R34" s="31">
        <f t="shared" ref="R34:R80" si="8">IF(P$12=0,0,P34/P$12)</f>
        <v>1.2271506307418987</v>
      </c>
      <c r="S34" s="21"/>
      <c r="T34" s="21" cm="1">
        <f t="array" ref="T34">SUM(OSRRefT22x_0)</f>
        <v>285559.93</v>
      </c>
      <c r="U34" s="21"/>
      <c r="V34" s="31">
        <f t="shared" ref="V34:V80" si="9">IF(T$12=0,0,T34/T$12)</f>
        <v>2.2371658871133464</v>
      </c>
      <c r="W34" s="5"/>
      <c r="X34" s="21">
        <f t="shared" ref="X34:X80" si="10">+P34-T34</f>
        <v>-11332.260000000126</v>
      </c>
      <c r="Y34" s="5"/>
      <c r="Z34" s="31">
        <f t="shared" ref="Z34:Z80" si="11">IF(T34=0,0,X34/T34)</f>
        <v>-3.9684349271272498E-2</v>
      </c>
    </row>
    <row r="35" spans="1:26" s="68" customFormat="1" ht="15" customHeight="1" outlineLevel="1" collapsed="1" x14ac:dyDescent="0.25">
      <c r="A35" s="26"/>
      <c r="B35" s="14" t="str">
        <f>CONCATENATE("     ","*Benefits                                         ")</f>
        <v xml:space="preserve">     *Benefits                                         </v>
      </c>
      <c r="C35" s="14"/>
      <c r="D35" s="2">
        <f>SUM(OSRRefD22_0x_0)</f>
        <v>4624.3500000000004</v>
      </c>
      <c r="E35" s="2"/>
      <c r="F35" s="6">
        <f t="shared" si="4"/>
        <v>0.16245997214078567</v>
      </c>
      <c r="G35" s="2"/>
      <c r="H35" s="2">
        <f>SUM(OSRRefH22_0x_0)</f>
        <v>9093.39</v>
      </c>
      <c r="I35" s="2"/>
      <c r="J35" s="6">
        <f t="shared" si="5"/>
        <v>0.70240218505452978</v>
      </c>
      <c r="K35" s="2"/>
      <c r="L35" s="2">
        <f t="shared" si="6"/>
        <v>-4469.0399999999991</v>
      </c>
      <c r="M35" s="2"/>
      <c r="N35" s="6">
        <f t="shared" si="7"/>
        <v>-0.49146028048945434</v>
      </c>
      <c r="O35" s="14"/>
      <c r="P35" s="2">
        <f>SUM(OSRRefP22_0x_0)</f>
        <v>77486.00999999998</v>
      </c>
      <c r="Q35" s="2"/>
      <c r="R35" s="6">
        <f t="shared" si="8"/>
        <v>0.34674475425901802</v>
      </c>
      <c r="S35" s="2"/>
      <c r="T35" s="2">
        <f>SUM(OSRRefT22_0x_0)</f>
        <v>103991.72000000002</v>
      </c>
      <c r="U35" s="2"/>
      <c r="V35" s="6">
        <f t="shared" si="9"/>
        <v>0.81470368943654936</v>
      </c>
      <c r="W35" s="2"/>
      <c r="X35" s="2">
        <f t="shared" si="10"/>
        <v>-26505.710000000036</v>
      </c>
      <c r="Y35" s="2"/>
      <c r="Z35" s="6">
        <f t="shared" si="11"/>
        <v>-0.25488288875306642</v>
      </c>
    </row>
    <row r="36" spans="1:26" s="69" customFormat="1" ht="15" hidden="1" customHeight="1" outlineLevel="2" x14ac:dyDescent="0.25">
      <c r="A36" s="25"/>
      <c r="B36" s="12" t="str">
        <f>CONCATENATE("          ","6111"," - ","F.I.C.A.")</f>
        <v xml:space="preserve">          6111 - F.I.C.A.</v>
      </c>
      <c r="C36" s="12"/>
      <c r="D36" s="7">
        <v>734.98</v>
      </c>
      <c r="E36" s="3"/>
      <c r="F36" s="8">
        <f t="shared" si="4"/>
        <v>2.582088949236858E-2</v>
      </c>
      <c r="G36" s="3"/>
      <c r="H36" s="7">
        <v>1240.76</v>
      </c>
      <c r="I36" s="3"/>
      <c r="J36" s="8">
        <f t="shared" si="5"/>
        <v>9.584022406696055E-2</v>
      </c>
      <c r="K36" s="3"/>
      <c r="L36" s="7">
        <f t="shared" si="6"/>
        <v>-505.78</v>
      </c>
      <c r="M36" s="3"/>
      <c r="N36" s="8">
        <f t="shared" si="7"/>
        <v>-0.40763725458589894</v>
      </c>
      <c r="O36" s="12"/>
      <c r="P36" s="7">
        <v>12927.72</v>
      </c>
      <c r="Q36" s="3"/>
      <c r="R36" s="8">
        <f t="shared" si="8"/>
        <v>5.7850689363530182E-2</v>
      </c>
      <c r="S36" s="3"/>
      <c r="T36" s="7">
        <v>14531.78</v>
      </c>
      <c r="U36" s="3"/>
      <c r="V36" s="8">
        <f t="shared" si="9"/>
        <v>0.11384651374244274</v>
      </c>
      <c r="W36" s="3"/>
      <c r="X36" s="7">
        <f t="shared" si="10"/>
        <v>-1604.0600000000013</v>
      </c>
      <c r="Y36" s="3"/>
      <c r="Z36" s="8">
        <f t="shared" si="11"/>
        <v>-0.11038289872266173</v>
      </c>
    </row>
    <row r="37" spans="1:26" s="69" customFormat="1" ht="15" hidden="1" customHeight="1" outlineLevel="2" x14ac:dyDescent="0.25">
      <c r="A37" s="25"/>
      <c r="B37" s="12" t="str">
        <f>CONCATENATE("          ","6112"," - ","COMPENSATION INSURANCE")</f>
        <v xml:space="preserve">          6112 - COMPENSATION INSURANCE</v>
      </c>
      <c r="C37" s="12"/>
      <c r="D37" s="7">
        <v>265.11</v>
      </c>
      <c r="E37" s="3"/>
      <c r="F37" s="8">
        <f t="shared" si="4"/>
        <v>9.3136901865653945E-3</v>
      </c>
      <c r="G37" s="3"/>
      <c r="H37" s="7">
        <v>475.52</v>
      </c>
      <c r="I37" s="3"/>
      <c r="J37" s="8">
        <f t="shared" si="5"/>
        <v>3.6730667774848548E-2</v>
      </c>
      <c r="K37" s="3"/>
      <c r="L37" s="7">
        <f t="shared" si="6"/>
        <v>-210.40999999999997</v>
      </c>
      <c r="M37" s="3"/>
      <c r="N37" s="8">
        <f t="shared" si="7"/>
        <v>-0.44248401749663524</v>
      </c>
      <c r="O37" s="12"/>
      <c r="P37" s="7">
        <v>2980.89</v>
      </c>
      <c r="Q37" s="3"/>
      <c r="R37" s="8">
        <f t="shared" si="8"/>
        <v>1.3339284995099947E-2</v>
      </c>
      <c r="S37" s="3"/>
      <c r="T37" s="7">
        <v>3812.67</v>
      </c>
      <c r="U37" s="3"/>
      <c r="V37" s="8">
        <f t="shared" si="9"/>
        <v>2.9869650349124414E-2</v>
      </c>
      <c r="W37" s="3"/>
      <c r="X37" s="7">
        <f t="shared" si="10"/>
        <v>-831.7800000000002</v>
      </c>
      <c r="Y37" s="3"/>
      <c r="Z37" s="8">
        <f t="shared" si="11"/>
        <v>-0.2181620753959824</v>
      </c>
    </row>
    <row r="38" spans="1:26" s="69" customFormat="1" ht="15" hidden="1" customHeight="1" outlineLevel="2" x14ac:dyDescent="0.25">
      <c r="A38" s="25"/>
      <c r="B38" s="12" t="str">
        <f>CONCATENATE("          ","6113"," - ","GROUP INSURANCE")</f>
        <v xml:space="preserve">          6113 - GROUP INSURANCE</v>
      </c>
      <c r="C38" s="12"/>
      <c r="D38" s="7">
        <v>1287</v>
      </c>
      <c r="E38" s="3"/>
      <c r="F38" s="8">
        <f t="shared" si="4"/>
        <v>4.5214134774658306E-2</v>
      </c>
      <c r="G38" s="3"/>
      <c r="H38" s="7">
        <v>3421.48</v>
      </c>
      <c r="I38" s="3"/>
      <c r="J38" s="8">
        <f t="shared" si="5"/>
        <v>0.26428592946309054</v>
      </c>
      <c r="K38" s="3"/>
      <c r="L38" s="7">
        <f t="shared" si="6"/>
        <v>-2134.48</v>
      </c>
      <c r="M38" s="3"/>
      <c r="N38" s="8">
        <f t="shared" si="7"/>
        <v>-0.62384699019137912</v>
      </c>
      <c r="O38" s="12"/>
      <c r="P38" s="7">
        <v>24321.02</v>
      </c>
      <c r="Q38" s="3"/>
      <c r="R38" s="8">
        <f t="shared" si="8"/>
        <v>0.1088349510218511</v>
      </c>
      <c r="S38" s="3"/>
      <c r="T38" s="7">
        <v>39478.730000000003</v>
      </c>
      <c r="U38" s="3"/>
      <c r="V38" s="8">
        <f t="shared" si="9"/>
        <v>0.30928872976876798</v>
      </c>
      <c r="W38" s="3"/>
      <c r="X38" s="7">
        <f t="shared" si="10"/>
        <v>-15157.710000000003</v>
      </c>
      <c r="Y38" s="3"/>
      <c r="Z38" s="8">
        <f t="shared" si="11"/>
        <v>-0.38394624143177863</v>
      </c>
    </row>
    <row r="39" spans="1:26" s="69" customFormat="1" ht="15" hidden="1" customHeight="1" outlineLevel="2" x14ac:dyDescent="0.25">
      <c r="A39" s="25"/>
      <c r="B39" s="12" t="str">
        <f>CONCATENATE("          ","6114"," - ","STATE UNEMPLOYMENT INSURANCE")</f>
        <v xml:space="preserve">          6114 - STATE UNEMPLOYMENT INSURANCE</v>
      </c>
      <c r="C39" s="12"/>
      <c r="D39" s="7">
        <v>46.57</v>
      </c>
      <c r="E39" s="3"/>
      <c r="F39" s="8">
        <f t="shared" si="4"/>
        <v>1.6360701293363148E-3</v>
      </c>
      <c r="G39" s="3"/>
      <c r="H39" s="7">
        <v>66.83</v>
      </c>
      <c r="I39" s="3"/>
      <c r="J39" s="8">
        <f t="shared" si="5"/>
        <v>5.1621604294101791E-3</v>
      </c>
      <c r="K39" s="3"/>
      <c r="L39" s="7">
        <f t="shared" si="6"/>
        <v>-20.259999999999998</v>
      </c>
      <c r="M39" s="3"/>
      <c r="N39" s="8">
        <f t="shared" si="7"/>
        <v>-0.30315726470148135</v>
      </c>
      <c r="O39" s="12"/>
      <c r="P39" s="7">
        <v>523.66999999999996</v>
      </c>
      <c r="Q39" s="3"/>
      <c r="R39" s="8">
        <f t="shared" si="8"/>
        <v>2.34338850926535E-3</v>
      </c>
      <c r="S39" s="3"/>
      <c r="T39" s="7">
        <v>535.82000000000005</v>
      </c>
      <c r="U39" s="3"/>
      <c r="V39" s="8">
        <f t="shared" si="9"/>
        <v>4.1977816202471872E-3</v>
      </c>
      <c r="W39" s="3"/>
      <c r="X39" s="7">
        <f t="shared" si="10"/>
        <v>-12.150000000000091</v>
      </c>
      <c r="Y39" s="3"/>
      <c r="Z39" s="8">
        <f t="shared" si="11"/>
        <v>-2.2675525362995202E-2</v>
      </c>
    </row>
    <row r="40" spans="1:26" s="69" customFormat="1" ht="15" hidden="1" customHeight="1" outlineLevel="2" x14ac:dyDescent="0.25">
      <c r="A40" s="25"/>
      <c r="B40" s="12" t="str">
        <f>CONCATENATE("          ","6115"," - ","P.E.R.S.")</f>
        <v xml:space="preserve">          6115 - P.E.R.S.</v>
      </c>
      <c r="C40" s="12"/>
      <c r="D40" s="7">
        <v>793.49</v>
      </c>
      <c r="E40" s="3"/>
      <c r="F40" s="8">
        <f t="shared" si="4"/>
        <v>2.7876428750849742E-2</v>
      </c>
      <c r="G40" s="3"/>
      <c r="H40" s="7">
        <v>1614.41</v>
      </c>
      <c r="I40" s="3"/>
      <c r="J40" s="8">
        <f t="shared" si="5"/>
        <v>0.1247021310615605</v>
      </c>
      <c r="K40" s="3"/>
      <c r="L40" s="7">
        <f t="shared" si="6"/>
        <v>-820.92000000000007</v>
      </c>
      <c r="M40" s="3"/>
      <c r="N40" s="8">
        <f t="shared" si="7"/>
        <v>-0.50849536363129566</v>
      </c>
      <c r="O40" s="12"/>
      <c r="P40" s="7">
        <v>16019.36</v>
      </c>
      <c r="Q40" s="3"/>
      <c r="R40" s="8">
        <f t="shared" si="8"/>
        <v>7.1685573261376409E-2</v>
      </c>
      <c r="S40" s="3"/>
      <c r="T40" s="7">
        <v>18925.89</v>
      </c>
      <c r="U40" s="3"/>
      <c r="V40" s="8">
        <f t="shared" si="9"/>
        <v>0.14827134707330827</v>
      </c>
      <c r="W40" s="3"/>
      <c r="X40" s="7">
        <f t="shared" si="10"/>
        <v>-2906.5299999999988</v>
      </c>
      <c r="Y40" s="3"/>
      <c r="Z40" s="8">
        <f t="shared" si="11"/>
        <v>-0.15357428369286721</v>
      </c>
    </row>
    <row r="41" spans="1:26" s="69" customFormat="1" ht="15" hidden="1" customHeight="1" outlineLevel="2" x14ac:dyDescent="0.25">
      <c r="A41" s="25"/>
      <c r="B41" s="12" t="str">
        <f>CONCATENATE("          ","6118"," - ","VACATION")</f>
        <v xml:space="preserve">          6118 - VACATION</v>
      </c>
      <c r="C41" s="12"/>
      <c r="D41" s="7">
        <v>656.44</v>
      </c>
      <c r="E41" s="3"/>
      <c r="F41" s="8">
        <f t="shared" si="4"/>
        <v>2.306166793432533E-2</v>
      </c>
      <c r="G41" s="3"/>
      <c r="H41" s="7">
        <v>1095.78</v>
      </c>
      <c r="I41" s="3"/>
      <c r="J41" s="8">
        <f t="shared" si="5"/>
        <v>8.4641510629045125E-2</v>
      </c>
      <c r="K41" s="3"/>
      <c r="L41" s="7">
        <f t="shared" si="6"/>
        <v>-439.33999999999992</v>
      </c>
      <c r="M41" s="3"/>
      <c r="N41" s="8">
        <f t="shared" si="7"/>
        <v>-0.40093814451806015</v>
      </c>
      <c r="O41" s="12"/>
      <c r="P41" s="7">
        <v>9158.33</v>
      </c>
      <c r="Q41" s="3"/>
      <c r="R41" s="8">
        <f t="shared" si="8"/>
        <v>4.0982919178223186E-2</v>
      </c>
      <c r="S41" s="3"/>
      <c r="T41" s="7">
        <v>14235.66</v>
      </c>
      <c r="U41" s="3"/>
      <c r="V41" s="8">
        <f t="shared" si="9"/>
        <v>0.11152661696108408</v>
      </c>
      <c r="W41" s="3"/>
      <c r="X41" s="7">
        <f t="shared" si="10"/>
        <v>-5077.33</v>
      </c>
      <c r="Y41" s="3"/>
      <c r="Z41" s="8">
        <f t="shared" si="11"/>
        <v>-0.35666277503115418</v>
      </c>
    </row>
    <row r="42" spans="1:26" s="69" customFormat="1" ht="15" hidden="1" customHeight="1" outlineLevel="2" x14ac:dyDescent="0.25">
      <c r="A42" s="25"/>
      <c r="B42" s="12" t="str">
        <f>CONCATENATE("          ","6119"," - ","SICK LEAVE")</f>
        <v xml:space="preserve">          6119 - SICK LEAVE</v>
      </c>
      <c r="C42" s="12"/>
      <c r="D42" s="7">
        <v>411.06</v>
      </c>
      <c r="E42" s="3"/>
      <c r="F42" s="8">
        <f t="shared" si="4"/>
        <v>1.4441120621966622E-2</v>
      </c>
      <c r="G42" s="3"/>
      <c r="H42" s="7">
        <v>738.5</v>
      </c>
      <c r="I42" s="3"/>
      <c r="J42" s="8">
        <f t="shared" si="5"/>
        <v>5.7044074175062361E-2</v>
      </c>
      <c r="K42" s="3"/>
      <c r="L42" s="7">
        <f t="shared" si="6"/>
        <v>-327.44</v>
      </c>
      <c r="M42" s="3"/>
      <c r="N42" s="8">
        <f t="shared" si="7"/>
        <v>-0.443385240352065</v>
      </c>
      <c r="O42" s="12"/>
      <c r="P42" s="7">
        <v>6814.43</v>
      </c>
      <c r="Q42" s="3"/>
      <c r="R42" s="8">
        <f t="shared" si="8"/>
        <v>3.0494122174638764E-2</v>
      </c>
      <c r="S42" s="3"/>
      <c r="T42" s="7">
        <v>8756.02</v>
      </c>
      <c r="U42" s="3"/>
      <c r="V42" s="8">
        <f t="shared" si="9"/>
        <v>6.8597401781413117E-2</v>
      </c>
      <c r="W42" s="3"/>
      <c r="X42" s="7">
        <f t="shared" si="10"/>
        <v>-1941.5900000000001</v>
      </c>
      <c r="Y42" s="3"/>
      <c r="Z42" s="8">
        <f t="shared" si="11"/>
        <v>-0.2217434405129271</v>
      </c>
    </row>
    <row r="43" spans="1:26" s="69" customFormat="1" ht="15" hidden="1" customHeight="1" outlineLevel="2" x14ac:dyDescent="0.25">
      <c r="A43" s="25"/>
      <c r="B43" s="12" t="str">
        <f>CONCATENATE("          ","6156"," - ","EMPLOYEE MEALS")</f>
        <v xml:space="preserve">          6156 - EMPLOYEE MEALS</v>
      </c>
      <c r="C43" s="12"/>
      <c r="D43" s="7">
        <v>429.7</v>
      </c>
      <c r="E43" s="3"/>
      <c r="F43" s="8">
        <f t="shared" si="4"/>
        <v>1.5095970250715364E-2</v>
      </c>
      <c r="G43" s="3"/>
      <c r="H43" s="7">
        <v>440.11</v>
      </c>
      <c r="I43" s="3"/>
      <c r="J43" s="8">
        <f t="shared" si="5"/>
        <v>3.3995487454552061E-2</v>
      </c>
      <c r="K43" s="3"/>
      <c r="L43" s="7">
        <f t="shared" si="6"/>
        <v>-10.410000000000025</v>
      </c>
      <c r="M43" s="3"/>
      <c r="N43" s="8">
        <f t="shared" si="7"/>
        <v>-2.3653177614687295E-2</v>
      </c>
      <c r="O43" s="12"/>
      <c r="P43" s="7">
        <v>4740.59</v>
      </c>
      <c r="Q43" s="3"/>
      <c r="R43" s="8">
        <f t="shared" si="8"/>
        <v>2.1213825755033184E-2</v>
      </c>
      <c r="S43" s="3"/>
      <c r="T43" s="7">
        <v>3715.15</v>
      </c>
      <c r="U43" s="3"/>
      <c r="V43" s="8">
        <f t="shared" si="9"/>
        <v>2.9105648140161505E-2</v>
      </c>
      <c r="W43" s="3"/>
      <c r="X43" s="7">
        <f t="shared" si="10"/>
        <v>1025.44</v>
      </c>
      <c r="Y43" s="3"/>
      <c r="Z43" s="8">
        <f t="shared" si="11"/>
        <v>0.27601577325276233</v>
      </c>
    </row>
    <row r="44" spans="1:26" s="68" customFormat="1" ht="15" customHeight="1" outlineLevel="1" collapsed="1" x14ac:dyDescent="0.25">
      <c r="A44" s="26"/>
      <c r="B44" s="14" t="str">
        <f>CONCATENATE("     ","*Payroll                                          ")</f>
        <v xml:space="preserve">     *Payroll                                          </v>
      </c>
      <c r="C44" s="14"/>
      <c r="D44" s="2">
        <f>SUM(OSRRefD22_1x_0)</f>
        <v>10514.23</v>
      </c>
      <c r="E44" s="2"/>
      <c r="F44" s="6">
        <f t="shared" si="4"/>
        <v>0.36937980751496158</v>
      </c>
      <c r="G44" s="2"/>
      <c r="H44" s="2">
        <f>SUM(OSRRefH22_1x_0)</f>
        <v>15332.29</v>
      </c>
      <c r="I44" s="2"/>
      <c r="J44" s="6">
        <f t="shared" si="5"/>
        <v>1.184314540329813</v>
      </c>
      <c r="K44" s="2"/>
      <c r="L44" s="2">
        <f t="shared" si="6"/>
        <v>-4818.0600000000013</v>
      </c>
      <c r="M44" s="2"/>
      <c r="N44" s="6">
        <f t="shared" si="7"/>
        <v>-0.31424268651323456</v>
      </c>
      <c r="O44" s="14"/>
      <c r="P44" s="2">
        <f>SUM(OSRRefP22_1x_0)</f>
        <v>152170.49</v>
      </c>
      <c r="Q44" s="2"/>
      <c r="R44" s="6">
        <f t="shared" si="8"/>
        <v>0.68095284762403396</v>
      </c>
      <c r="S44" s="2"/>
      <c r="T44" s="2">
        <f>SUM(OSRRefT22_1x_0)</f>
        <v>170185.91999999998</v>
      </c>
      <c r="U44" s="2"/>
      <c r="V44" s="6">
        <f t="shared" si="9"/>
        <v>1.3332897745527568</v>
      </c>
      <c r="W44" s="2"/>
      <c r="X44" s="2">
        <f t="shared" si="10"/>
        <v>-18015.429999999993</v>
      </c>
      <c r="Y44" s="2"/>
      <c r="Z44" s="6">
        <f t="shared" si="11"/>
        <v>-0.10585734707077997</v>
      </c>
    </row>
    <row r="45" spans="1:26" s="69" customFormat="1" ht="15" hidden="1" customHeight="1" outlineLevel="2" x14ac:dyDescent="0.25">
      <c r="A45" s="25"/>
      <c r="B45" s="12" t="str">
        <f>CONCATENATE("          ","6002"," - ","STAFF SALARIES")</f>
        <v xml:space="preserve">          6002 - STAFF SALARIES</v>
      </c>
      <c r="C45" s="12"/>
      <c r="D45" s="7">
        <v>7765.33</v>
      </c>
      <c r="E45" s="3"/>
      <c r="F45" s="8">
        <f t="shared" si="4"/>
        <v>0.27280705298344782</v>
      </c>
      <c r="G45" s="3"/>
      <c r="H45" s="7">
        <v>14617.17</v>
      </c>
      <c r="I45" s="3"/>
      <c r="J45" s="8">
        <f t="shared" si="5"/>
        <v>1.1290764112518568</v>
      </c>
      <c r="K45" s="3"/>
      <c r="L45" s="7">
        <f t="shared" si="6"/>
        <v>-6851.84</v>
      </c>
      <c r="M45" s="3"/>
      <c r="N45" s="8">
        <f t="shared" si="7"/>
        <v>-0.46875284340265594</v>
      </c>
      <c r="O45" s="12"/>
      <c r="P45" s="7">
        <v>121429.14</v>
      </c>
      <c r="Q45" s="3"/>
      <c r="R45" s="8">
        <f t="shared" si="8"/>
        <v>0.54338734578259873</v>
      </c>
      <c r="S45" s="3"/>
      <c r="T45" s="7">
        <v>162474.29999999999</v>
      </c>
      <c r="U45" s="3"/>
      <c r="V45" s="8">
        <f t="shared" si="9"/>
        <v>1.2728745293242647</v>
      </c>
      <c r="W45" s="3"/>
      <c r="X45" s="7">
        <f t="shared" si="10"/>
        <v>-41045.159999999989</v>
      </c>
      <c r="Y45" s="3"/>
      <c r="Z45" s="8">
        <f t="shared" si="11"/>
        <v>-0.25262555370295481</v>
      </c>
    </row>
    <row r="46" spans="1:26" s="69" customFormat="1" ht="15" hidden="1" customHeight="1" outlineLevel="2" x14ac:dyDescent="0.25">
      <c r="A46" s="25"/>
      <c r="B46" s="12" t="str">
        <f>CONCATENATE("          ","6005"," - ","TEMPORARY WAGES-HOURLY")</f>
        <v xml:space="preserve">          6005 - TEMPORARY WAGES-HOURLY</v>
      </c>
      <c r="C46" s="12"/>
      <c r="D46" s="7"/>
      <c r="E46" s="3"/>
      <c r="F46" s="8">
        <f t="shared" si="4"/>
        <v>0</v>
      </c>
      <c r="G46" s="3"/>
      <c r="H46" s="7"/>
      <c r="I46" s="3"/>
      <c r="J46" s="8">
        <f t="shared" si="5"/>
        <v>0</v>
      </c>
      <c r="K46" s="3"/>
      <c r="L46" s="7">
        <f t="shared" si="6"/>
        <v>0</v>
      </c>
      <c r="M46" s="3"/>
      <c r="N46" s="8">
        <f t="shared" si="7"/>
        <v>0</v>
      </c>
      <c r="O46" s="12"/>
      <c r="P46" s="7"/>
      <c r="Q46" s="3"/>
      <c r="R46" s="8">
        <f t="shared" si="8"/>
        <v>0</v>
      </c>
      <c r="S46" s="3"/>
      <c r="T46" s="7">
        <v>383.25</v>
      </c>
      <c r="U46" s="3"/>
      <c r="V46" s="8">
        <f t="shared" si="9"/>
        <v>3.0025004776972389E-3</v>
      </c>
      <c r="W46" s="3"/>
      <c r="X46" s="7">
        <f t="shared" si="10"/>
        <v>-383.25</v>
      </c>
      <c r="Y46" s="3"/>
      <c r="Z46" s="8">
        <f t="shared" si="11"/>
        <v>-1</v>
      </c>
    </row>
    <row r="47" spans="1:26" s="69" customFormat="1" ht="15" hidden="1" customHeight="1" outlineLevel="2" x14ac:dyDescent="0.25">
      <c r="A47" s="25"/>
      <c r="B47" s="12" t="str">
        <f>CONCATENATE("          ","6007"," - ","STUDENT HOURLY")</f>
        <v xml:space="preserve">          6007 - STUDENT HOURLY</v>
      </c>
      <c r="C47" s="12"/>
      <c r="D47" s="7">
        <v>2482.65</v>
      </c>
      <c r="E47" s="3"/>
      <c r="F47" s="8">
        <f t="shared" si="4"/>
        <v>8.7219014528597857E-2</v>
      </c>
      <c r="G47" s="3"/>
      <c r="H47" s="7">
        <v>715.12</v>
      </c>
      <c r="I47" s="3"/>
      <c r="J47" s="8">
        <f t="shared" si="5"/>
        <v>5.5238129077956118E-2</v>
      </c>
      <c r="K47" s="3"/>
      <c r="L47" s="7">
        <f t="shared" si="6"/>
        <v>1767.5300000000002</v>
      </c>
      <c r="M47" s="3"/>
      <c r="N47" s="8">
        <f t="shared" si="7"/>
        <v>2.4716551068352168</v>
      </c>
      <c r="O47" s="12"/>
      <c r="P47" s="7">
        <v>29722.85</v>
      </c>
      <c r="Q47" s="3"/>
      <c r="R47" s="8">
        <f t="shared" si="8"/>
        <v>0.13300778190963319</v>
      </c>
      <c r="S47" s="3"/>
      <c r="T47" s="7">
        <v>7328.37</v>
      </c>
      <c r="U47" s="3"/>
      <c r="V47" s="8">
        <f t="shared" si="9"/>
        <v>5.7412744750794817E-2</v>
      </c>
      <c r="W47" s="3"/>
      <c r="X47" s="7">
        <f t="shared" si="10"/>
        <v>22394.48</v>
      </c>
      <c r="Y47" s="3"/>
      <c r="Z47" s="8">
        <f t="shared" si="11"/>
        <v>3.0558609895515647</v>
      </c>
    </row>
    <row r="48" spans="1:26" s="69" customFormat="1" ht="15" hidden="1" customHeight="1" outlineLevel="2" x14ac:dyDescent="0.25">
      <c r="A48" s="25"/>
      <c r="B48" s="12" t="str">
        <f>CONCATENATE("          ","6008"," - ","STUDENT HOURLY-FICA EXEMPT")</f>
        <v xml:space="preserve">          6008 - STUDENT HOURLY-FICA EXEMPT</v>
      </c>
      <c r="C48" s="12"/>
      <c r="D48" s="7">
        <v>266.25</v>
      </c>
      <c r="E48" s="3"/>
      <c r="F48" s="8">
        <f t="shared" si="4"/>
        <v>9.3537400029159081E-3</v>
      </c>
      <c r="G48" s="3"/>
      <c r="H48" s="7"/>
      <c r="I48" s="3"/>
      <c r="J48" s="8">
        <f t="shared" si="5"/>
        <v>0</v>
      </c>
      <c r="K48" s="3"/>
      <c r="L48" s="7">
        <f t="shared" si="6"/>
        <v>266.25</v>
      </c>
      <c r="M48" s="3"/>
      <c r="N48" s="8">
        <f t="shared" si="7"/>
        <v>0</v>
      </c>
      <c r="O48" s="12"/>
      <c r="P48" s="7">
        <v>1018.5</v>
      </c>
      <c r="Q48" s="3"/>
      <c r="R48" s="8">
        <f t="shared" si="8"/>
        <v>4.5577199318020114E-3</v>
      </c>
      <c r="S48" s="3"/>
      <c r="T48" s="7"/>
      <c r="U48" s="3"/>
      <c r="V48" s="8">
        <f t="shared" si="9"/>
        <v>0</v>
      </c>
      <c r="W48" s="3"/>
      <c r="X48" s="7">
        <f t="shared" si="10"/>
        <v>1018.5</v>
      </c>
      <c r="Y48" s="3"/>
      <c r="Z48" s="8">
        <f t="shared" si="11"/>
        <v>0</v>
      </c>
    </row>
    <row r="49" spans="1:26" s="68" customFormat="1" ht="15" customHeight="1" outlineLevel="1" collapsed="1" x14ac:dyDescent="0.25">
      <c r="A49" s="26"/>
      <c r="B49" s="14" t="str">
        <f>CONCATENATE("     ","Advertising/Promo                                 ")</f>
        <v xml:space="preserve">     Advertising/Promo                                 </v>
      </c>
      <c r="C49" s="14"/>
      <c r="D49" s="2">
        <f>SUM(OSRRefD22_2x_0)</f>
        <v>0</v>
      </c>
      <c r="E49" s="2"/>
      <c r="F49" s="6">
        <f t="shared" si="4"/>
        <v>0</v>
      </c>
      <c r="G49" s="2"/>
      <c r="H49" s="2">
        <f>SUM(OSRRefH22_2x_0)</f>
        <v>0</v>
      </c>
      <c r="I49" s="2"/>
      <c r="J49" s="6">
        <f t="shared" si="5"/>
        <v>0</v>
      </c>
      <c r="K49" s="2"/>
      <c r="L49" s="2">
        <f t="shared" si="6"/>
        <v>0</v>
      </c>
      <c r="M49" s="2"/>
      <c r="N49" s="6">
        <f t="shared" si="7"/>
        <v>0</v>
      </c>
      <c r="O49" s="14"/>
      <c r="P49" s="2">
        <f>SUM(OSRRefP22_2x_0)</f>
        <v>151.85</v>
      </c>
      <c r="Q49" s="2"/>
      <c r="R49" s="6">
        <f t="shared" si="8"/>
        <v>6.7951867613562627E-4</v>
      </c>
      <c r="S49" s="2"/>
      <c r="T49" s="2">
        <f>SUM(OSRRefT22_2x_0)</f>
        <v>0</v>
      </c>
      <c r="U49" s="2"/>
      <c r="V49" s="6">
        <f t="shared" si="9"/>
        <v>0</v>
      </c>
      <c r="W49" s="2"/>
      <c r="X49" s="2">
        <f t="shared" si="10"/>
        <v>151.85</v>
      </c>
      <c r="Y49" s="2"/>
      <c r="Z49" s="6">
        <f t="shared" si="11"/>
        <v>0</v>
      </c>
    </row>
    <row r="50" spans="1:26" s="69" customFormat="1" ht="15" hidden="1" customHeight="1" outlineLevel="2" x14ac:dyDescent="0.25">
      <c r="A50" s="25"/>
      <c r="B50" s="12" t="str">
        <f>CONCATENATE("          ","6362"," - ","ADVERTISING EXPENSE")</f>
        <v xml:space="preserve">          6362 - ADVERTISING EXPENSE</v>
      </c>
      <c r="C50" s="12"/>
      <c r="D50" s="7"/>
      <c r="E50" s="3"/>
      <c r="F50" s="8">
        <f t="shared" si="4"/>
        <v>0</v>
      </c>
      <c r="G50" s="3"/>
      <c r="H50" s="7"/>
      <c r="I50" s="3"/>
      <c r="J50" s="8">
        <f t="shared" si="5"/>
        <v>0</v>
      </c>
      <c r="K50" s="3"/>
      <c r="L50" s="7">
        <f t="shared" si="6"/>
        <v>0</v>
      </c>
      <c r="M50" s="3"/>
      <c r="N50" s="8">
        <f t="shared" si="7"/>
        <v>0</v>
      </c>
      <c r="O50" s="12"/>
      <c r="P50" s="7">
        <v>151.85</v>
      </c>
      <c r="Q50" s="3"/>
      <c r="R50" s="8">
        <f t="shared" si="8"/>
        <v>6.7951867613562627E-4</v>
      </c>
      <c r="S50" s="3"/>
      <c r="T50" s="7"/>
      <c r="U50" s="3"/>
      <c r="V50" s="8">
        <f t="shared" si="9"/>
        <v>0</v>
      </c>
      <c r="W50" s="3"/>
      <c r="X50" s="7">
        <f t="shared" si="10"/>
        <v>151.85</v>
      </c>
      <c r="Y50" s="3"/>
      <c r="Z50" s="8">
        <f t="shared" si="11"/>
        <v>0</v>
      </c>
    </row>
    <row r="51" spans="1:26" s="68" customFormat="1" ht="15" customHeight="1" outlineLevel="1" collapsed="1" x14ac:dyDescent="0.25">
      <c r="A51" s="26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SUM(OSRRefD22_3x_0)</f>
        <v>169.88</v>
      </c>
      <c r="E51" s="2"/>
      <c r="F51" s="6">
        <f t="shared" si="4"/>
        <v>5.9681252645834909E-3</v>
      </c>
      <c r="G51" s="2"/>
      <c r="H51" s="2">
        <f>SUM(OSRRefH22_3x_0)</f>
        <v>169.88</v>
      </c>
      <c r="I51" s="2"/>
      <c r="J51" s="6">
        <f t="shared" si="5"/>
        <v>1.3122068139281778E-2</v>
      </c>
      <c r="K51" s="2"/>
      <c r="L51" s="2">
        <f t="shared" si="6"/>
        <v>0</v>
      </c>
      <c r="M51" s="2"/>
      <c r="N51" s="6">
        <f t="shared" si="7"/>
        <v>0</v>
      </c>
      <c r="O51" s="14"/>
      <c r="P51" s="2">
        <f>SUM(OSRRefP22_3x_0)</f>
        <v>1868.68</v>
      </c>
      <c r="Q51" s="2"/>
      <c r="R51" s="6">
        <f t="shared" si="8"/>
        <v>8.3622190301028791E-3</v>
      </c>
      <c r="S51" s="2"/>
      <c r="T51" s="2">
        <f>SUM(OSRRefT22_3x_0)</f>
        <v>1868.68</v>
      </c>
      <c r="U51" s="2"/>
      <c r="V51" s="6">
        <f t="shared" si="9"/>
        <v>1.463982411653823E-2</v>
      </c>
      <c r="W51" s="2"/>
      <c r="X51" s="2">
        <f t="shared" si="10"/>
        <v>0</v>
      </c>
      <c r="Y51" s="2"/>
      <c r="Z51" s="6">
        <f t="shared" si="11"/>
        <v>0</v>
      </c>
    </row>
    <row r="52" spans="1:26" s="69" customFormat="1" ht="15" hidden="1" customHeight="1" outlineLevel="2" x14ac:dyDescent="0.25">
      <c r="A52" s="25"/>
      <c r="B52" s="12" t="str">
        <f>CONCATENATE("          ","6322"," - ","EQUIPMENT DEPRECIATION EXPENSE")</f>
        <v xml:space="preserve">          6322 - EQUIPMENT DEPRECIATION EXPENSE</v>
      </c>
      <c r="C52" s="12"/>
      <c r="D52" s="7">
        <v>169.88</v>
      </c>
      <c r="E52" s="3"/>
      <c r="F52" s="8">
        <f t="shared" si="4"/>
        <v>5.9681252645834909E-3</v>
      </c>
      <c r="G52" s="3"/>
      <c r="H52" s="7">
        <v>169.88</v>
      </c>
      <c r="I52" s="3"/>
      <c r="J52" s="8">
        <f t="shared" si="5"/>
        <v>1.3122068139281778E-2</v>
      </c>
      <c r="K52" s="3"/>
      <c r="L52" s="7">
        <f t="shared" si="6"/>
        <v>0</v>
      </c>
      <c r="M52" s="3"/>
      <c r="N52" s="8">
        <f t="shared" si="7"/>
        <v>0</v>
      </c>
      <c r="O52" s="12"/>
      <c r="P52" s="7">
        <v>1868.68</v>
      </c>
      <c r="Q52" s="3"/>
      <c r="R52" s="8">
        <f t="shared" si="8"/>
        <v>8.3622190301028791E-3</v>
      </c>
      <c r="S52" s="3"/>
      <c r="T52" s="7">
        <v>1868.68</v>
      </c>
      <c r="U52" s="3"/>
      <c r="V52" s="8">
        <f t="shared" si="9"/>
        <v>1.463982411653823E-2</v>
      </c>
      <c r="W52" s="3"/>
      <c r="X52" s="7">
        <f t="shared" si="10"/>
        <v>0</v>
      </c>
      <c r="Y52" s="3"/>
      <c r="Z52" s="8">
        <f t="shared" si="11"/>
        <v>0</v>
      </c>
    </row>
    <row r="53" spans="1:26" s="68" customFormat="1" ht="15" customHeight="1" outlineLevel="1" collapsed="1" x14ac:dyDescent="0.25">
      <c r="A53" s="26"/>
      <c r="B53" s="14" t="str">
        <f>CONCATENATE("     ","Discounts and Markdowns                           ")</f>
        <v xml:space="preserve">     Discounts and Markdowns                           </v>
      </c>
      <c r="C53" s="14"/>
      <c r="D53" s="2">
        <f>SUM(OSRRefD22_4x_0)</f>
        <v>0</v>
      </c>
      <c r="E53" s="2"/>
      <c r="F53" s="6">
        <f t="shared" si="4"/>
        <v>0</v>
      </c>
      <c r="G53" s="2"/>
      <c r="H53" s="2">
        <f>SUM(OSRRefH22_4x_0)</f>
        <v>0</v>
      </c>
      <c r="I53" s="2"/>
      <c r="J53" s="6">
        <f t="shared" si="5"/>
        <v>0</v>
      </c>
      <c r="K53" s="2"/>
      <c r="L53" s="2">
        <f t="shared" si="6"/>
        <v>0</v>
      </c>
      <c r="M53" s="2"/>
      <c r="N53" s="6">
        <f t="shared" si="7"/>
        <v>0</v>
      </c>
      <c r="O53" s="14"/>
      <c r="P53" s="2">
        <f>SUM(OSRRefP22_4x_0)</f>
        <v>0</v>
      </c>
      <c r="Q53" s="2"/>
      <c r="R53" s="6">
        <f t="shared" si="8"/>
        <v>0</v>
      </c>
      <c r="S53" s="2"/>
      <c r="T53" s="2">
        <f>SUM(OSRRefT22_4x_0)</f>
        <v>0</v>
      </c>
      <c r="U53" s="2"/>
      <c r="V53" s="6">
        <f t="shared" si="9"/>
        <v>0</v>
      </c>
      <c r="W53" s="2"/>
      <c r="X53" s="2">
        <f t="shared" si="10"/>
        <v>0</v>
      </c>
      <c r="Y53" s="2"/>
      <c r="Z53" s="6">
        <f t="shared" si="11"/>
        <v>0</v>
      </c>
    </row>
    <row r="54" spans="1:26" s="69" customFormat="1" ht="15" hidden="1" customHeight="1" outlineLevel="2" x14ac:dyDescent="0.25">
      <c r="A54" s="25"/>
      <c r="B54" s="12" t="str">
        <f>CONCATENATE("          ","6382"," - ","DISCOUNTS/MARK DOWNS")</f>
        <v xml:space="preserve">          6382 - DISCOUNTS/MARK DOWNS</v>
      </c>
      <c r="C54" s="12"/>
      <c r="D54" s="7"/>
      <c r="E54" s="3"/>
      <c r="F54" s="8">
        <f t="shared" si="4"/>
        <v>0</v>
      </c>
      <c r="G54" s="3"/>
      <c r="H54" s="7">
        <v>0</v>
      </c>
      <c r="I54" s="3"/>
      <c r="J54" s="8">
        <f t="shared" si="5"/>
        <v>0</v>
      </c>
      <c r="K54" s="3"/>
      <c r="L54" s="7">
        <f t="shared" si="6"/>
        <v>0</v>
      </c>
      <c r="M54" s="3"/>
      <c r="N54" s="8">
        <f t="shared" si="7"/>
        <v>0</v>
      </c>
      <c r="O54" s="12"/>
      <c r="P54" s="7"/>
      <c r="Q54" s="3"/>
      <c r="R54" s="8">
        <f t="shared" si="8"/>
        <v>0</v>
      </c>
      <c r="S54" s="3"/>
      <c r="T54" s="7">
        <v>0</v>
      </c>
      <c r="U54" s="3"/>
      <c r="V54" s="8">
        <f t="shared" si="9"/>
        <v>0</v>
      </c>
      <c r="W54" s="3"/>
      <c r="X54" s="7">
        <f t="shared" si="10"/>
        <v>0</v>
      </c>
      <c r="Y54" s="3"/>
      <c r="Z54" s="8">
        <f t="shared" si="11"/>
        <v>0</v>
      </c>
    </row>
    <row r="55" spans="1:26" s="68" customFormat="1" ht="15" customHeight="1" outlineLevel="1" collapsed="1" x14ac:dyDescent="0.25">
      <c r="A55" s="26"/>
      <c r="B55" s="14" t="str">
        <f>CONCATENATE("     ","Equipment Rental                                  ")</f>
        <v xml:space="preserve">     Equipment Rental                                  </v>
      </c>
      <c r="C55" s="14"/>
      <c r="D55" s="2">
        <f>SUM(OSRRefD22_5x_0)</f>
        <v>1205.6400000000001</v>
      </c>
      <c r="E55" s="2"/>
      <c r="F55" s="6">
        <f t="shared" si="4"/>
        <v>4.2355842618274311E-2</v>
      </c>
      <c r="G55" s="2"/>
      <c r="H55" s="2">
        <f>SUM(OSRRefH22_5x_0)</f>
        <v>1205.6400000000001</v>
      </c>
      <c r="I55" s="2"/>
      <c r="J55" s="6">
        <f t="shared" si="5"/>
        <v>9.3127444263266329E-2</v>
      </c>
      <c r="K55" s="2"/>
      <c r="L55" s="2">
        <f t="shared" si="6"/>
        <v>0</v>
      </c>
      <c r="M55" s="2"/>
      <c r="N55" s="6">
        <f t="shared" si="7"/>
        <v>0</v>
      </c>
      <c r="O55" s="14"/>
      <c r="P55" s="2">
        <f>SUM(OSRRefP22_5x_0)</f>
        <v>13353.3</v>
      </c>
      <c r="Q55" s="2"/>
      <c r="R55" s="6">
        <f t="shared" si="8"/>
        <v>5.9755131630173576E-2</v>
      </c>
      <c r="S55" s="2"/>
      <c r="T55" s="2">
        <f>SUM(OSRRefT22_5x_0)</f>
        <v>13262.04</v>
      </c>
      <c r="U55" s="2"/>
      <c r="V55" s="6">
        <f t="shared" si="9"/>
        <v>0.1038989730860793</v>
      </c>
      <c r="W55" s="2"/>
      <c r="X55" s="2">
        <f t="shared" si="10"/>
        <v>91.259999999998399</v>
      </c>
      <c r="Y55" s="2"/>
      <c r="Z55" s="6">
        <f t="shared" si="11"/>
        <v>6.8812942805178082E-3</v>
      </c>
    </row>
    <row r="56" spans="1:26" s="69" customFormat="1" ht="15" hidden="1" customHeight="1" outlineLevel="2" x14ac:dyDescent="0.25">
      <c r="A56" s="25"/>
      <c r="B56" s="12" t="str">
        <f>CONCATENATE("          ","6351"," - ","EQUIPMENT RENTAL")</f>
        <v xml:space="preserve">          6351 - EQUIPMENT RENTAL</v>
      </c>
      <c r="C56" s="12"/>
      <c r="D56" s="7">
        <v>1205.6400000000001</v>
      </c>
      <c r="E56" s="3"/>
      <c r="F56" s="8">
        <f t="shared" si="4"/>
        <v>4.2355842618274311E-2</v>
      </c>
      <c r="G56" s="3"/>
      <c r="H56" s="7">
        <v>1205.6400000000001</v>
      </c>
      <c r="I56" s="3"/>
      <c r="J56" s="8">
        <f t="shared" si="5"/>
        <v>9.3127444263266329E-2</v>
      </c>
      <c r="K56" s="3"/>
      <c r="L56" s="7">
        <f t="shared" si="6"/>
        <v>0</v>
      </c>
      <c r="M56" s="3"/>
      <c r="N56" s="8">
        <f t="shared" si="7"/>
        <v>0</v>
      </c>
      <c r="O56" s="12"/>
      <c r="P56" s="7">
        <v>13353.3</v>
      </c>
      <c r="Q56" s="3"/>
      <c r="R56" s="8">
        <f t="shared" si="8"/>
        <v>5.9755131630173576E-2</v>
      </c>
      <c r="S56" s="3"/>
      <c r="T56" s="7">
        <v>13262.04</v>
      </c>
      <c r="U56" s="3"/>
      <c r="V56" s="8">
        <f t="shared" si="9"/>
        <v>0.1038989730860793</v>
      </c>
      <c r="W56" s="3"/>
      <c r="X56" s="7">
        <f t="shared" si="10"/>
        <v>91.259999999998399</v>
      </c>
      <c r="Y56" s="3"/>
      <c r="Z56" s="8">
        <f t="shared" si="11"/>
        <v>6.8812942805178082E-3</v>
      </c>
    </row>
    <row r="57" spans="1:26" s="68" customFormat="1" ht="15" customHeight="1" outlineLevel="1" collapsed="1" x14ac:dyDescent="0.25">
      <c r="A57" s="26"/>
      <c r="B57" s="14" t="str">
        <f>CONCATENATE("     ","Freight out/Postage                               ")</f>
        <v xml:space="preserve">     Freight out/Postage                               </v>
      </c>
      <c r="C57" s="14"/>
      <c r="D57" s="2">
        <f>SUM(OSRRefD22_6x_0)</f>
        <v>-2070.3500000000004</v>
      </c>
      <c r="E57" s="2"/>
      <c r="F57" s="6">
        <f t="shared" si="4"/>
        <v>-7.2734330948495601E-2</v>
      </c>
      <c r="G57" s="2"/>
      <c r="H57" s="2">
        <f>SUM(OSRRefH22_6x_0)</f>
        <v>-23795.970000000005</v>
      </c>
      <c r="I57" s="2"/>
      <c r="J57" s="6">
        <f t="shared" si="5"/>
        <v>-1.8380759346615556</v>
      </c>
      <c r="K57" s="2"/>
      <c r="L57" s="2">
        <f t="shared" si="6"/>
        <v>21725.620000000003</v>
      </c>
      <c r="M57" s="2"/>
      <c r="N57" s="6">
        <f t="shared" si="7"/>
        <v>-0.9129957719731534</v>
      </c>
      <c r="O57" s="14"/>
      <c r="P57" s="2">
        <f>SUM(OSRRefP22_6x_0)</f>
        <v>-70704.59</v>
      </c>
      <c r="Q57" s="2"/>
      <c r="R57" s="6">
        <f t="shared" si="8"/>
        <v>-0.3163983496444665</v>
      </c>
      <c r="S57" s="2"/>
      <c r="T57" s="2">
        <f>SUM(OSRRefT22_6x_0)</f>
        <v>-96469.670000000013</v>
      </c>
      <c r="U57" s="2"/>
      <c r="V57" s="6">
        <f t="shared" si="9"/>
        <v>-0.75577359493358132</v>
      </c>
      <c r="W57" s="2"/>
      <c r="X57" s="2">
        <f t="shared" si="10"/>
        <v>25765.080000000016</v>
      </c>
      <c r="Y57" s="2"/>
      <c r="Z57" s="6">
        <f t="shared" si="11"/>
        <v>-0.26707959092220396</v>
      </c>
    </row>
    <row r="58" spans="1:26" s="69" customFormat="1" ht="15" hidden="1" customHeight="1" outlineLevel="2" x14ac:dyDescent="0.25">
      <c r="A58" s="25"/>
      <c r="B58" s="12" t="str">
        <f>CONCATENATE("          ","6305"," - ","FREIGHT OUT")</f>
        <v xml:space="preserve">          6305 - FREIGHT OUT</v>
      </c>
      <c r="C58" s="12"/>
      <c r="D58" s="7">
        <v>7268.6</v>
      </c>
      <c r="E58" s="3"/>
      <c r="F58" s="8">
        <f t="shared" si="4"/>
        <v>0.25535622379415801</v>
      </c>
      <c r="G58" s="3"/>
      <c r="H58" s="7">
        <v>19778.009999999998</v>
      </c>
      <c r="I58" s="3"/>
      <c r="J58" s="8">
        <f t="shared" si="5"/>
        <v>1.5277160047056533</v>
      </c>
      <c r="K58" s="3"/>
      <c r="L58" s="7">
        <f t="shared" si="6"/>
        <v>-12509.409999999998</v>
      </c>
      <c r="M58" s="3"/>
      <c r="N58" s="8">
        <f t="shared" si="7"/>
        <v>-0.63249083198966927</v>
      </c>
      <c r="O58" s="12"/>
      <c r="P58" s="7">
        <v>120321.72</v>
      </c>
      <c r="Q58" s="3"/>
      <c r="R58" s="8">
        <f t="shared" si="8"/>
        <v>0.53843171474982887</v>
      </c>
      <c r="S58" s="3"/>
      <c r="T58" s="7">
        <v>197787.91</v>
      </c>
      <c r="U58" s="3"/>
      <c r="V58" s="8">
        <f t="shared" si="9"/>
        <v>1.5495324051082544</v>
      </c>
      <c r="W58" s="3"/>
      <c r="X58" s="7">
        <f t="shared" si="10"/>
        <v>-77466.19</v>
      </c>
      <c r="Y58" s="3"/>
      <c r="Z58" s="8">
        <f t="shared" si="11"/>
        <v>-0.39166291812275078</v>
      </c>
    </row>
    <row r="59" spans="1:26" s="69" customFormat="1" ht="15" hidden="1" customHeight="1" outlineLevel="2" x14ac:dyDescent="0.25">
      <c r="A59" s="25"/>
      <c r="B59" s="12" t="str">
        <f>CONCATENATE("          ","6307"," - ","POSTAGE")</f>
        <v xml:space="preserve">          6307 - POSTAGE</v>
      </c>
      <c r="C59" s="12"/>
      <c r="D59" s="7">
        <v>-9338.9500000000007</v>
      </c>
      <c r="E59" s="3"/>
      <c r="F59" s="8">
        <f t="shared" si="4"/>
        <v>-0.32809055474265364</v>
      </c>
      <c r="G59" s="3"/>
      <c r="H59" s="7">
        <v>-43573.98</v>
      </c>
      <c r="I59" s="3"/>
      <c r="J59" s="8">
        <f t="shared" si="5"/>
        <v>-3.3657919393672091</v>
      </c>
      <c r="K59" s="3"/>
      <c r="L59" s="7">
        <f t="shared" si="6"/>
        <v>34235.03</v>
      </c>
      <c r="M59" s="3"/>
      <c r="N59" s="8">
        <f t="shared" si="7"/>
        <v>-0.78567599287464662</v>
      </c>
      <c r="O59" s="12"/>
      <c r="P59" s="7">
        <v>-191026.31</v>
      </c>
      <c r="Q59" s="3"/>
      <c r="R59" s="8">
        <f t="shared" si="8"/>
        <v>-0.85483006439429532</v>
      </c>
      <c r="S59" s="3"/>
      <c r="T59" s="7">
        <v>-294257.58</v>
      </c>
      <c r="U59" s="3"/>
      <c r="V59" s="8">
        <f t="shared" si="9"/>
        <v>-2.3053060000418357</v>
      </c>
      <c r="W59" s="3"/>
      <c r="X59" s="7">
        <f t="shared" si="10"/>
        <v>103231.27000000002</v>
      </c>
      <c r="Y59" s="3"/>
      <c r="Z59" s="8">
        <f t="shared" si="11"/>
        <v>-0.35081940794864153</v>
      </c>
    </row>
    <row r="60" spans="1:26" s="68" customFormat="1" ht="15" customHeight="1" outlineLevel="1" collapsed="1" x14ac:dyDescent="0.25">
      <c r="A60" s="26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SUM(OSRRefD22_7x_0)</f>
        <v>0</v>
      </c>
      <c r="E60" s="2"/>
      <c r="F60" s="6">
        <f t="shared" si="4"/>
        <v>0</v>
      </c>
      <c r="G60" s="2"/>
      <c r="H60" s="2">
        <f>SUM(OSRRefH22_7x_0)</f>
        <v>0</v>
      </c>
      <c r="I60" s="2"/>
      <c r="J60" s="6">
        <f t="shared" si="5"/>
        <v>0</v>
      </c>
      <c r="K60" s="2"/>
      <c r="L60" s="2">
        <f t="shared" si="6"/>
        <v>0</v>
      </c>
      <c r="M60" s="2"/>
      <c r="N60" s="6">
        <f t="shared" si="7"/>
        <v>0</v>
      </c>
      <c r="O60" s="14"/>
      <c r="P60" s="2">
        <f>SUM(OSRRefP22_7x_0)</f>
        <v>91.31</v>
      </c>
      <c r="Q60" s="2"/>
      <c r="R60" s="6">
        <f t="shared" si="8"/>
        <v>4.0860619241319746E-4</v>
      </c>
      <c r="S60" s="2"/>
      <c r="T60" s="2">
        <f>SUM(OSRRefT22_7x_0)</f>
        <v>0</v>
      </c>
      <c r="U60" s="2"/>
      <c r="V60" s="6">
        <f t="shared" si="9"/>
        <v>0</v>
      </c>
      <c r="W60" s="2"/>
      <c r="X60" s="2">
        <f t="shared" si="10"/>
        <v>91.31</v>
      </c>
      <c r="Y60" s="2"/>
      <c r="Z60" s="6">
        <f t="shared" si="11"/>
        <v>0</v>
      </c>
    </row>
    <row r="61" spans="1:26" s="69" customFormat="1" ht="15" hidden="1" customHeight="1" outlineLevel="2" x14ac:dyDescent="0.25">
      <c r="A61" s="25"/>
      <c r="B61" s="12" t="str">
        <f>CONCATENATE("          ","6279"," - ","GENERAL EXPENSE")</f>
        <v xml:space="preserve">          6279 - GENERAL EXPENSE</v>
      </c>
      <c r="C61" s="12"/>
      <c r="D61" s="7"/>
      <c r="E61" s="3"/>
      <c r="F61" s="8">
        <f t="shared" si="4"/>
        <v>0</v>
      </c>
      <c r="G61" s="3"/>
      <c r="H61" s="7"/>
      <c r="I61" s="3"/>
      <c r="J61" s="8">
        <f t="shared" si="5"/>
        <v>0</v>
      </c>
      <c r="K61" s="3"/>
      <c r="L61" s="7">
        <f t="shared" si="6"/>
        <v>0</v>
      </c>
      <c r="M61" s="3"/>
      <c r="N61" s="8">
        <f t="shared" si="7"/>
        <v>0</v>
      </c>
      <c r="O61" s="12"/>
      <c r="P61" s="7">
        <v>91.31</v>
      </c>
      <c r="Q61" s="3"/>
      <c r="R61" s="8">
        <f t="shared" si="8"/>
        <v>4.0860619241319746E-4</v>
      </c>
      <c r="S61" s="3"/>
      <c r="T61" s="7"/>
      <c r="U61" s="3"/>
      <c r="V61" s="8">
        <f t="shared" si="9"/>
        <v>0</v>
      </c>
      <c r="W61" s="3"/>
      <c r="X61" s="7">
        <f t="shared" si="10"/>
        <v>91.31</v>
      </c>
      <c r="Y61" s="3"/>
      <c r="Z61" s="8">
        <f t="shared" si="11"/>
        <v>0</v>
      </c>
    </row>
    <row r="62" spans="1:26" s="68" customFormat="1" ht="15" customHeight="1" outlineLevel="1" collapsed="1" x14ac:dyDescent="0.25">
      <c r="A62" s="26"/>
      <c r="B62" s="14" t="str">
        <f>CONCATENATE("     ","Repair and Maintenance                            ")</f>
        <v xml:space="preserve">     Repair and Maintenance                            </v>
      </c>
      <c r="C62" s="14"/>
      <c r="D62" s="2">
        <f>SUM(OSRRefD22_8x_0)</f>
        <v>3054.5299999999997</v>
      </c>
      <c r="E62" s="2"/>
      <c r="F62" s="6">
        <f t="shared" si="4"/>
        <v>0.10730996976941494</v>
      </c>
      <c r="G62" s="2"/>
      <c r="H62" s="2">
        <f>SUM(OSRRefH22_8x_0)</f>
        <v>3783.1099999999997</v>
      </c>
      <c r="I62" s="2"/>
      <c r="J62" s="6">
        <f t="shared" si="5"/>
        <v>0.29221937366610717</v>
      </c>
      <c r="K62" s="2"/>
      <c r="L62" s="2">
        <f t="shared" si="6"/>
        <v>-728.57999999999993</v>
      </c>
      <c r="M62" s="2"/>
      <c r="N62" s="6">
        <f t="shared" si="7"/>
        <v>-0.19258758005979207</v>
      </c>
      <c r="O62" s="14"/>
      <c r="P62" s="2">
        <f>SUM(OSRRefP22_8x_0)</f>
        <v>31359.57</v>
      </c>
      <c r="Q62" s="2"/>
      <c r="R62" s="6">
        <f t="shared" si="8"/>
        <v>0.14033199532816926</v>
      </c>
      <c r="S62" s="2"/>
      <c r="T62" s="2">
        <f>SUM(OSRRefT22_8x_0)</f>
        <v>34876.81</v>
      </c>
      <c r="U62" s="2"/>
      <c r="V62" s="6">
        <f t="shared" si="9"/>
        <v>0.27323584784228527</v>
      </c>
      <c r="W62" s="2"/>
      <c r="X62" s="2">
        <f t="shared" si="10"/>
        <v>-3517.239999999998</v>
      </c>
      <c r="Y62" s="2"/>
      <c r="Z62" s="6">
        <f t="shared" si="11"/>
        <v>-0.1008475259061823</v>
      </c>
    </row>
    <row r="63" spans="1:26" s="69" customFormat="1" ht="15" hidden="1" customHeight="1" outlineLevel="2" x14ac:dyDescent="0.25">
      <c r="A63" s="25"/>
      <c r="B63" s="12" t="str">
        <f>CONCATENATE("          ","6371"," - ","COMPUTER SOFTWARE MAINTENANCE")</f>
        <v xml:space="preserve">          6371 - COMPUTER SOFTWARE MAINTENANCE</v>
      </c>
      <c r="C63" s="12"/>
      <c r="D63" s="7"/>
      <c r="E63" s="3"/>
      <c r="F63" s="8">
        <f t="shared" si="4"/>
        <v>0</v>
      </c>
      <c r="G63" s="3"/>
      <c r="H63" s="7"/>
      <c r="I63" s="3"/>
      <c r="J63" s="8">
        <f t="shared" si="5"/>
        <v>0</v>
      </c>
      <c r="K63" s="3"/>
      <c r="L63" s="7">
        <f t="shared" si="6"/>
        <v>0</v>
      </c>
      <c r="M63" s="3"/>
      <c r="N63" s="8">
        <f t="shared" si="7"/>
        <v>0</v>
      </c>
      <c r="O63" s="12"/>
      <c r="P63" s="7"/>
      <c r="Q63" s="3"/>
      <c r="R63" s="8">
        <f t="shared" si="8"/>
        <v>0</v>
      </c>
      <c r="S63" s="3"/>
      <c r="T63" s="7">
        <v>7.69</v>
      </c>
      <c r="U63" s="3"/>
      <c r="V63" s="8">
        <f t="shared" si="9"/>
        <v>6.0245867380278581E-5</v>
      </c>
      <c r="W63" s="3"/>
      <c r="X63" s="7">
        <f t="shared" si="10"/>
        <v>-7.69</v>
      </c>
      <c r="Y63" s="3"/>
      <c r="Z63" s="8">
        <f t="shared" si="11"/>
        <v>-1</v>
      </c>
    </row>
    <row r="64" spans="1:26" s="69" customFormat="1" ht="15" hidden="1" customHeight="1" outlineLevel="2" x14ac:dyDescent="0.25">
      <c r="A64" s="25"/>
      <c r="B64" s="12" t="str">
        <f>CONCATENATE("          ","6373"," - ","MAINTENANCE CONTRACTS")</f>
        <v xml:space="preserve">          6373 - MAINTENANCE CONTRACTS</v>
      </c>
      <c r="C64" s="12"/>
      <c r="D64" s="7">
        <v>1294.94</v>
      </c>
      <c r="E64" s="3"/>
      <c r="F64" s="8">
        <f t="shared" si="4"/>
        <v>4.5493078232397843E-2</v>
      </c>
      <c r="G64" s="3"/>
      <c r="H64" s="7">
        <v>270.93</v>
      </c>
      <c r="I64" s="3"/>
      <c r="J64" s="8">
        <f t="shared" si="5"/>
        <v>2.092748952775849E-2</v>
      </c>
      <c r="K64" s="3"/>
      <c r="L64" s="7">
        <f t="shared" si="6"/>
        <v>1024.01</v>
      </c>
      <c r="M64" s="3"/>
      <c r="N64" s="8">
        <f t="shared" si="7"/>
        <v>3.7796109696231497</v>
      </c>
      <c r="O64" s="12"/>
      <c r="P64" s="7">
        <v>10542.83</v>
      </c>
      <c r="Q64" s="3"/>
      <c r="R64" s="8">
        <f t="shared" si="8"/>
        <v>4.7178464829258908E-2</v>
      </c>
      <c r="S64" s="3"/>
      <c r="T64" s="7">
        <v>31352.34</v>
      </c>
      <c r="U64" s="3"/>
      <c r="V64" s="8">
        <f t="shared" si="9"/>
        <v>0.24562404651513697</v>
      </c>
      <c r="W64" s="3"/>
      <c r="X64" s="7">
        <f t="shared" si="10"/>
        <v>-20809.510000000002</v>
      </c>
      <c r="Y64" s="3"/>
      <c r="Z64" s="8">
        <f t="shared" si="11"/>
        <v>-0.66373068166522819</v>
      </c>
    </row>
    <row r="65" spans="1:26" s="69" customFormat="1" ht="15" hidden="1" customHeight="1" outlineLevel="2" x14ac:dyDescent="0.25">
      <c r="A65" s="25"/>
      <c r="B65" s="12" t="str">
        <f>CONCATENATE("          ","6375"," - ","OUTSIDE REPAIRS &amp; MAINTENANCE")</f>
        <v xml:space="preserve">          6375 - OUTSIDE REPAIRS &amp; MAINTENANCE</v>
      </c>
      <c r="C65" s="12"/>
      <c r="D65" s="7">
        <v>1759.59</v>
      </c>
      <c r="E65" s="3"/>
      <c r="F65" s="8">
        <f t="shared" si="4"/>
        <v>6.1816891537017096E-2</v>
      </c>
      <c r="G65" s="3"/>
      <c r="H65" s="7">
        <v>3512.18</v>
      </c>
      <c r="I65" s="3"/>
      <c r="J65" s="8">
        <f t="shared" si="5"/>
        <v>0.2712918841383487</v>
      </c>
      <c r="K65" s="3"/>
      <c r="L65" s="7">
        <f t="shared" si="6"/>
        <v>-1752.59</v>
      </c>
      <c r="M65" s="3"/>
      <c r="N65" s="8">
        <f t="shared" si="7"/>
        <v>-0.49900346793159805</v>
      </c>
      <c r="O65" s="12"/>
      <c r="P65" s="7">
        <v>20816.740000000002</v>
      </c>
      <c r="Q65" s="3"/>
      <c r="R65" s="8">
        <f t="shared" si="8"/>
        <v>9.3153530498910356E-2</v>
      </c>
      <c r="S65" s="3"/>
      <c r="T65" s="7">
        <v>3516.78</v>
      </c>
      <c r="U65" s="3"/>
      <c r="V65" s="8">
        <f t="shared" si="9"/>
        <v>2.7551555459768024E-2</v>
      </c>
      <c r="W65" s="3"/>
      <c r="X65" s="7">
        <f t="shared" si="10"/>
        <v>17299.960000000003</v>
      </c>
      <c r="Y65" s="3"/>
      <c r="Z65" s="8">
        <f t="shared" si="11"/>
        <v>4.9192613697757617</v>
      </c>
    </row>
    <row r="66" spans="1:26" s="68" customFormat="1" ht="15" customHeight="1" outlineLevel="1" collapsed="1" x14ac:dyDescent="0.25">
      <c r="A66" s="26"/>
      <c r="B66" s="14" t="str">
        <f>CONCATENATE("     ","Royalty &amp; Commissions                             ")</f>
        <v xml:space="preserve">     Royalty &amp; Commissions                             </v>
      </c>
      <c r="C66" s="14"/>
      <c r="D66" s="2">
        <f>SUM(OSRRefD22_9x_0)</f>
        <v>1260.81</v>
      </c>
      <c r="E66" s="2"/>
      <c r="F66" s="6">
        <f t="shared" si="4"/>
        <v>4.4294042941132039E-2</v>
      </c>
      <c r="G66" s="2"/>
      <c r="H66" s="2">
        <f>SUM(OSRRefH22_9x_0)</f>
        <v>393.98</v>
      </c>
      <c r="I66" s="2"/>
      <c r="J66" s="6">
        <f t="shared" si="5"/>
        <v>3.0432260451578968E-2</v>
      </c>
      <c r="K66" s="2"/>
      <c r="L66" s="2">
        <f t="shared" si="6"/>
        <v>866.82999999999993</v>
      </c>
      <c r="M66" s="2"/>
      <c r="N66" s="6">
        <f t="shared" si="7"/>
        <v>2.200187826793238</v>
      </c>
      <c r="O66" s="14"/>
      <c r="P66" s="2">
        <f>SUM(OSRRefP22_9x_0)</f>
        <v>13311.46</v>
      </c>
      <c r="Q66" s="2"/>
      <c r="R66" s="6">
        <f t="shared" si="8"/>
        <v>5.9567900405876478E-2</v>
      </c>
      <c r="S66" s="2"/>
      <c r="T66" s="2">
        <f>SUM(OSRRefT22_9x_0)</f>
        <v>13627.87</v>
      </c>
      <c r="U66" s="2"/>
      <c r="V66" s="6">
        <f t="shared" si="9"/>
        <v>0.10676499983038715</v>
      </c>
      <c r="W66" s="2"/>
      <c r="X66" s="2">
        <f t="shared" si="10"/>
        <v>-316.41000000000167</v>
      </c>
      <c r="Y66" s="2"/>
      <c r="Z66" s="6">
        <f t="shared" si="11"/>
        <v>-2.3217861632082025E-2</v>
      </c>
    </row>
    <row r="67" spans="1:26" s="69" customFormat="1" ht="15" hidden="1" customHeight="1" outlineLevel="2" x14ac:dyDescent="0.25">
      <c r="A67" s="25"/>
      <c r="B67" s="12" t="str">
        <f>CONCATENATE("          ","6259"," - ","ROYALTY &amp; COMMISSIONS")</f>
        <v xml:space="preserve">          6259 - ROYALTY &amp; COMMISSIONS</v>
      </c>
      <c r="C67" s="12"/>
      <c r="D67" s="7">
        <v>1260.81</v>
      </c>
      <c r="E67" s="3"/>
      <c r="F67" s="8">
        <f t="shared" si="4"/>
        <v>4.4294042941132039E-2</v>
      </c>
      <c r="G67" s="3"/>
      <c r="H67" s="7">
        <v>393.98</v>
      </c>
      <c r="I67" s="3"/>
      <c r="J67" s="8">
        <f t="shared" si="5"/>
        <v>3.0432260451578968E-2</v>
      </c>
      <c r="K67" s="3"/>
      <c r="L67" s="7">
        <f t="shared" si="6"/>
        <v>866.82999999999993</v>
      </c>
      <c r="M67" s="3"/>
      <c r="N67" s="8">
        <f t="shared" si="7"/>
        <v>2.200187826793238</v>
      </c>
      <c r="O67" s="12"/>
      <c r="P67" s="7">
        <v>13311.46</v>
      </c>
      <c r="Q67" s="3"/>
      <c r="R67" s="8">
        <f t="shared" si="8"/>
        <v>5.9567900405876478E-2</v>
      </c>
      <c r="S67" s="3"/>
      <c r="T67" s="7">
        <v>13627.87</v>
      </c>
      <c r="U67" s="3"/>
      <c r="V67" s="8">
        <f t="shared" si="9"/>
        <v>0.10676499983038715</v>
      </c>
      <c r="W67" s="3"/>
      <c r="X67" s="7">
        <f t="shared" si="10"/>
        <v>-316.41000000000167</v>
      </c>
      <c r="Y67" s="3"/>
      <c r="Z67" s="8">
        <f t="shared" si="11"/>
        <v>-2.3217861632082025E-2</v>
      </c>
    </row>
    <row r="68" spans="1:26" s="68" customFormat="1" ht="15" customHeight="1" outlineLevel="1" collapsed="1" x14ac:dyDescent="0.25">
      <c r="A68" s="26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2">
        <f>SUM(OSRRefD22_10x_0)</f>
        <v>0</v>
      </c>
      <c r="E68" s="2"/>
      <c r="F68" s="6">
        <f t="shared" si="4"/>
        <v>0</v>
      </c>
      <c r="G68" s="2"/>
      <c r="H68" s="2">
        <f>SUM(OSRRefH22_10x_0)</f>
        <v>31.75</v>
      </c>
      <c r="I68" s="2"/>
      <c r="J68" s="6">
        <f t="shared" si="5"/>
        <v>2.4524703521438453E-3</v>
      </c>
      <c r="K68" s="2"/>
      <c r="L68" s="2">
        <f t="shared" si="6"/>
        <v>-31.75</v>
      </c>
      <c r="M68" s="2"/>
      <c r="N68" s="6">
        <f t="shared" si="7"/>
        <v>-1</v>
      </c>
      <c r="O68" s="14"/>
      <c r="P68" s="2">
        <f>SUM(OSRRefP22_10x_0)</f>
        <v>5.28</v>
      </c>
      <c r="Q68" s="2"/>
      <c r="R68" s="6">
        <f t="shared" si="8"/>
        <v>2.3627649720092901E-5</v>
      </c>
      <c r="S68" s="2"/>
      <c r="T68" s="2">
        <f>SUM(OSRRefT22_10x_0)</f>
        <v>31.75</v>
      </c>
      <c r="U68" s="2"/>
      <c r="V68" s="6">
        <f t="shared" si="9"/>
        <v>2.48739439443933E-4</v>
      </c>
      <c r="W68" s="2"/>
      <c r="X68" s="2">
        <f t="shared" si="10"/>
        <v>-26.47</v>
      </c>
      <c r="Y68" s="2"/>
      <c r="Z68" s="6">
        <f t="shared" si="11"/>
        <v>-0.83370078740157472</v>
      </c>
    </row>
    <row r="69" spans="1:26" s="69" customFormat="1" ht="15" hidden="1" customHeight="1" outlineLevel="2" x14ac:dyDescent="0.25">
      <c r="A69" s="25"/>
      <c r="B69" s="12" t="str">
        <f>CONCATENATE("          ","6258"," - ","MEMBERSHIP DUES")</f>
        <v xml:space="preserve">          6258 - MEMBERSHIP DUES</v>
      </c>
      <c r="C69" s="12"/>
      <c r="D69" s="7"/>
      <c r="E69" s="3"/>
      <c r="F69" s="8">
        <f t="shared" si="4"/>
        <v>0</v>
      </c>
      <c r="G69" s="3"/>
      <c r="H69" s="7">
        <v>31.75</v>
      </c>
      <c r="I69" s="3"/>
      <c r="J69" s="8">
        <f t="shared" si="5"/>
        <v>2.4524703521438453E-3</v>
      </c>
      <c r="K69" s="3"/>
      <c r="L69" s="7">
        <f t="shared" si="6"/>
        <v>-31.75</v>
      </c>
      <c r="M69" s="3"/>
      <c r="N69" s="8">
        <f t="shared" si="7"/>
        <v>-1</v>
      </c>
      <c r="O69" s="12"/>
      <c r="P69" s="7">
        <v>5.28</v>
      </c>
      <c r="Q69" s="3"/>
      <c r="R69" s="8">
        <f t="shared" si="8"/>
        <v>2.3627649720092901E-5</v>
      </c>
      <c r="S69" s="3"/>
      <c r="T69" s="7">
        <v>31.75</v>
      </c>
      <c r="U69" s="3"/>
      <c r="V69" s="8">
        <f t="shared" si="9"/>
        <v>2.48739439443933E-4</v>
      </c>
      <c r="W69" s="3"/>
      <c r="X69" s="7">
        <f t="shared" si="10"/>
        <v>-26.47</v>
      </c>
      <c r="Y69" s="3"/>
      <c r="Z69" s="8">
        <f t="shared" si="11"/>
        <v>-0.83370078740157472</v>
      </c>
    </row>
    <row r="70" spans="1:26" s="68" customFormat="1" ht="15" customHeight="1" outlineLevel="1" collapsed="1" x14ac:dyDescent="0.25">
      <c r="A70" s="26"/>
      <c r="B70" s="14" t="str">
        <f>CONCATENATE("     ","Supplies                                          ")</f>
        <v xml:space="preserve">     Supplies                                          </v>
      </c>
      <c r="C70" s="14"/>
      <c r="D70" s="2">
        <f>SUM(OSRRefD22_11x_0)</f>
        <v>10112.01</v>
      </c>
      <c r="E70" s="2"/>
      <c r="F70" s="6">
        <f t="shared" si="4"/>
        <v>0.35524924862680074</v>
      </c>
      <c r="G70" s="2"/>
      <c r="H70" s="2">
        <f>SUM(OSRRefH22_11x_0)</f>
        <v>6628.24</v>
      </c>
      <c r="I70" s="2"/>
      <c r="J70" s="6">
        <f t="shared" si="5"/>
        <v>0.51198620746122592</v>
      </c>
      <c r="K70" s="2"/>
      <c r="L70" s="2">
        <f t="shared" si="6"/>
        <v>3483.7700000000004</v>
      </c>
      <c r="M70" s="2"/>
      <c r="N70" s="6">
        <f t="shared" si="7"/>
        <v>0.52559502975148764</v>
      </c>
      <c r="O70" s="14"/>
      <c r="P70" s="2">
        <f>SUM(OSRRefP22_11x_0)</f>
        <v>53878.010000000009</v>
      </c>
      <c r="Q70" s="2"/>
      <c r="R70" s="6">
        <f t="shared" si="8"/>
        <v>0.24110052043478461</v>
      </c>
      <c r="S70" s="2"/>
      <c r="T70" s="2">
        <f>SUM(OSRRefT22_11x_0)</f>
        <v>42426.44</v>
      </c>
      <c r="U70" s="2"/>
      <c r="V70" s="6">
        <f t="shared" si="9"/>
        <v>0.33238201269926482</v>
      </c>
      <c r="W70" s="2"/>
      <c r="X70" s="2">
        <f t="shared" si="10"/>
        <v>11451.570000000007</v>
      </c>
      <c r="Y70" s="2"/>
      <c r="Z70" s="6">
        <f t="shared" si="11"/>
        <v>0.26991588264299354</v>
      </c>
    </row>
    <row r="71" spans="1:26" s="69" customFormat="1" ht="15" hidden="1" customHeight="1" outlineLevel="2" x14ac:dyDescent="0.25">
      <c r="A71" s="25"/>
      <c r="B71" s="12" t="str">
        <f>CONCATENATE("          ","6234"," - ","EXPENDABLE SUPPLIES &amp; EQUIPMEN")</f>
        <v xml:space="preserve">          6234 - EXPENDABLE SUPPLIES &amp; EQUIPMEN</v>
      </c>
      <c r="C71" s="12"/>
      <c r="D71" s="7"/>
      <c r="E71" s="3"/>
      <c r="F71" s="8">
        <f t="shared" si="4"/>
        <v>0</v>
      </c>
      <c r="G71" s="3"/>
      <c r="H71" s="7"/>
      <c r="I71" s="3"/>
      <c r="J71" s="8">
        <f t="shared" si="5"/>
        <v>0</v>
      </c>
      <c r="K71" s="3"/>
      <c r="L71" s="7">
        <f t="shared" si="6"/>
        <v>0</v>
      </c>
      <c r="M71" s="3"/>
      <c r="N71" s="8">
        <f t="shared" si="7"/>
        <v>0</v>
      </c>
      <c r="O71" s="12"/>
      <c r="P71" s="7">
        <v>4993.3100000000004</v>
      </c>
      <c r="Q71" s="3"/>
      <c r="R71" s="8">
        <f t="shared" si="8"/>
        <v>2.2344730989363085E-2</v>
      </c>
      <c r="S71" s="3"/>
      <c r="T71" s="7"/>
      <c r="U71" s="3"/>
      <c r="V71" s="8">
        <f t="shared" si="9"/>
        <v>0</v>
      </c>
      <c r="W71" s="3"/>
      <c r="X71" s="7">
        <f t="shared" si="10"/>
        <v>4993.3100000000004</v>
      </c>
      <c r="Y71" s="3"/>
      <c r="Z71" s="8">
        <f t="shared" si="11"/>
        <v>0</v>
      </c>
    </row>
    <row r="72" spans="1:26" s="69" customFormat="1" ht="15" hidden="1" customHeight="1" outlineLevel="2" x14ac:dyDescent="0.25">
      <c r="A72" s="25"/>
      <c r="B72" s="12" t="str">
        <f>CONCATENATE("          ","6235"," - ","COVID-19 EXPENSES")</f>
        <v xml:space="preserve">          6235 - COVID-19 EXPENSES</v>
      </c>
      <c r="C72" s="12"/>
      <c r="D72" s="7"/>
      <c r="E72" s="3"/>
      <c r="F72" s="8">
        <f t="shared" si="4"/>
        <v>0</v>
      </c>
      <c r="G72" s="3"/>
      <c r="H72" s="7"/>
      <c r="I72" s="3"/>
      <c r="J72" s="8">
        <f t="shared" si="5"/>
        <v>0</v>
      </c>
      <c r="K72" s="3"/>
      <c r="L72" s="7">
        <f t="shared" si="6"/>
        <v>0</v>
      </c>
      <c r="M72" s="3"/>
      <c r="N72" s="8">
        <f t="shared" si="7"/>
        <v>0</v>
      </c>
      <c r="O72" s="12"/>
      <c r="P72" s="7"/>
      <c r="Q72" s="3"/>
      <c r="R72" s="8">
        <f t="shared" si="8"/>
        <v>0</v>
      </c>
      <c r="S72" s="3"/>
      <c r="T72" s="7">
        <v>310.91000000000003</v>
      </c>
      <c r="U72" s="3"/>
      <c r="V72" s="8">
        <f t="shared" si="9"/>
        <v>2.4357662714177392E-3</v>
      </c>
      <c r="W72" s="3"/>
      <c r="X72" s="7">
        <f t="shared" si="10"/>
        <v>-310.91000000000003</v>
      </c>
      <c r="Y72" s="3"/>
      <c r="Z72" s="8">
        <f t="shared" si="11"/>
        <v>-1</v>
      </c>
    </row>
    <row r="73" spans="1:26" s="69" customFormat="1" ht="15" hidden="1" customHeight="1" outlineLevel="2" x14ac:dyDescent="0.25">
      <c r="A73" s="25"/>
      <c r="B73" s="12" t="str">
        <f>CONCATENATE("          ","6241"," - ","OFFICE EXPENSE")</f>
        <v xml:space="preserve">          6241 - OFFICE EXPENSE</v>
      </c>
      <c r="C73" s="12"/>
      <c r="D73" s="7">
        <v>14.95</v>
      </c>
      <c r="E73" s="3"/>
      <c r="F73" s="8">
        <f t="shared" si="4"/>
        <v>5.2521469687734389E-4</v>
      </c>
      <c r="G73" s="3"/>
      <c r="H73" s="7">
        <v>18.25</v>
      </c>
      <c r="I73" s="3"/>
      <c r="J73" s="8">
        <f t="shared" si="5"/>
        <v>1.4096876827283521E-3</v>
      </c>
      <c r="K73" s="3"/>
      <c r="L73" s="7">
        <f t="shared" si="6"/>
        <v>-3.3000000000000007</v>
      </c>
      <c r="M73" s="3"/>
      <c r="N73" s="8">
        <f t="shared" si="7"/>
        <v>-0.18082191780821921</v>
      </c>
      <c r="O73" s="12"/>
      <c r="P73" s="7">
        <v>11023.3</v>
      </c>
      <c r="Q73" s="3"/>
      <c r="R73" s="8">
        <f t="shared" si="8"/>
        <v>4.9328536204450768E-2</v>
      </c>
      <c r="S73" s="3"/>
      <c r="T73" s="7">
        <v>4676.01</v>
      </c>
      <c r="U73" s="3"/>
      <c r="V73" s="8">
        <f t="shared" si="9"/>
        <v>3.6633326180605524E-2</v>
      </c>
      <c r="W73" s="3"/>
      <c r="X73" s="7">
        <f t="shared" si="10"/>
        <v>6347.2899999999991</v>
      </c>
      <c r="Y73" s="3"/>
      <c r="Z73" s="8">
        <f t="shared" si="11"/>
        <v>1.3574158310183251</v>
      </c>
    </row>
    <row r="74" spans="1:26" s="69" customFormat="1" ht="15" hidden="1" customHeight="1" outlineLevel="2" x14ac:dyDescent="0.25">
      <c r="A74" s="25"/>
      <c r="B74" s="12" t="str">
        <f>CONCATENATE("          ","6243"," - ","PAPER SUPPLIES")</f>
        <v xml:space="preserve">          6243 - PAPER SUPPLIES</v>
      </c>
      <c r="C74" s="12"/>
      <c r="D74" s="7">
        <v>2845.58</v>
      </c>
      <c r="E74" s="3"/>
      <c r="F74" s="8">
        <f t="shared" si="4"/>
        <v>9.9969260009380084E-2</v>
      </c>
      <c r="G74" s="3"/>
      <c r="H74" s="7"/>
      <c r="I74" s="3"/>
      <c r="J74" s="8">
        <f t="shared" si="5"/>
        <v>0</v>
      </c>
      <c r="K74" s="3"/>
      <c r="L74" s="7">
        <f t="shared" si="6"/>
        <v>2845.58</v>
      </c>
      <c r="M74" s="3"/>
      <c r="N74" s="8">
        <f t="shared" si="7"/>
        <v>0</v>
      </c>
      <c r="O74" s="12"/>
      <c r="P74" s="7">
        <v>10090.94</v>
      </c>
      <c r="Q74" s="3"/>
      <c r="R74" s="8">
        <f t="shared" si="8"/>
        <v>4.5156287058044364E-2</v>
      </c>
      <c r="S74" s="3"/>
      <c r="T74" s="7">
        <v>6682.58</v>
      </c>
      <c r="U74" s="3"/>
      <c r="V74" s="8">
        <f t="shared" si="9"/>
        <v>5.2353423724070487E-2</v>
      </c>
      <c r="W74" s="3"/>
      <c r="X74" s="7">
        <f t="shared" si="10"/>
        <v>3408.3600000000006</v>
      </c>
      <c r="Y74" s="3"/>
      <c r="Z74" s="8">
        <f t="shared" si="11"/>
        <v>0.5100365427724024</v>
      </c>
    </row>
    <row r="75" spans="1:26" s="69" customFormat="1" ht="15" hidden="1" customHeight="1" outlineLevel="2" x14ac:dyDescent="0.25">
      <c r="A75" s="25"/>
      <c r="B75" s="12" t="str">
        <f>CONCATENATE("          ","6245"," - ","PRINTING")</f>
        <v xml:space="preserve">          6245 - PRINTING</v>
      </c>
      <c r="C75" s="12"/>
      <c r="D75" s="7">
        <v>4762.72</v>
      </c>
      <c r="E75" s="3"/>
      <c r="F75" s="8">
        <f t="shared" si="4"/>
        <v>0.16732110642887382</v>
      </c>
      <c r="G75" s="3"/>
      <c r="H75" s="7">
        <v>5963.79</v>
      </c>
      <c r="I75" s="3"/>
      <c r="J75" s="8">
        <f t="shared" si="5"/>
        <v>0.46066198933580926</v>
      </c>
      <c r="K75" s="3"/>
      <c r="L75" s="7">
        <f t="shared" si="6"/>
        <v>-1201.0699999999997</v>
      </c>
      <c r="M75" s="3"/>
      <c r="N75" s="8">
        <f t="shared" si="7"/>
        <v>-0.20139374458188497</v>
      </c>
      <c r="O75" s="12"/>
      <c r="P75" s="7">
        <v>10049.41</v>
      </c>
      <c r="Q75" s="3"/>
      <c r="R75" s="8">
        <f t="shared" si="8"/>
        <v>4.4970443063181591E-2</v>
      </c>
      <c r="S75" s="3"/>
      <c r="T75" s="7">
        <v>9015.7199999999993</v>
      </c>
      <c r="U75" s="3"/>
      <c r="V75" s="8">
        <f t="shared" si="9"/>
        <v>7.0631972881368688E-2</v>
      </c>
      <c r="W75" s="3"/>
      <c r="X75" s="7">
        <f t="shared" si="10"/>
        <v>1033.6900000000005</v>
      </c>
      <c r="Y75" s="3"/>
      <c r="Z75" s="8">
        <f t="shared" si="11"/>
        <v>0.11465418180688848</v>
      </c>
    </row>
    <row r="76" spans="1:26" s="69" customFormat="1" ht="15" hidden="1" customHeight="1" outlineLevel="2" x14ac:dyDescent="0.25">
      <c r="A76" s="25"/>
      <c r="B76" s="12" t="str">
        <f>CONCATENATE("          ","6247"," - ","STORE SUPPLIES")</f>
        <v xml:space="preserve">          6247 - STORE SUPPLIES</v>
      </c>
      <c r="C76" s="12"/>
      <c r="D76" s="7">
        <v>2488.7600000000002</v>
      </c>
      <c r="E76" s="3"/>
      <c r="F76" s="8">
        <f t="shared" si="4"/>
        <v>8.7433667491669476E-2</v>
      </c>
      <c r="G76" s="3"/>
      <c r="H76" s="7">
        <v>646.20000000000005</v>
      </c>
      <c r="I76" s="3"/>
      <c r="J76" s="8">
        <f t="shared" si="5"/>
        <v>4.9914530442688287E-2</v>
      </c>
      <c r="K76" s="3"/>
      <c r="L76" s="7">
        <f t="shared" si="6"/>
        <v>1842.5600000000002</v>
      </c>
      <c r="M76" s="3"/>
      <c r="N76" s="8">
        <f t="shared" si="7"/>
        <v>2.8513772825750543</v>
      </c>
      <c r="O76" s="12"/>
      <c r="P76" s="7">
        <v>17721.05</v>
      </c>
      <c r="Q76" s="3"/>
      <c r="R76" s="8">
        <f t="shared" si="8"/>
        <v>7.930052311974474E-2</v>
      </c>
      <c r="S76" s="3"/>
      <c r="T76" s="7">
        <v>21741.22</v>
      </c>
      <c r="U76" s="3"/>
      <c r="V76" s="8">
        <f t="shared" si="9"/>
        <v>0.1703275236418024</v>
      </c>
      <c r="W76" s="3"/>
      <c r="X76" s="7">
        <f t="shared" si="10"/>
        <v>-4020.1700000000019</v>
      </c>
      <c r="Y76" s="3"/>
      <c r="Z76" s="8">
        <f t="shared" si="11"/>
        <v>-0.18491004644633566</v>
      </c>
    </row>
    <row r="77" spans="1:26" s="68" customFormat="1" ht="15" customHeight="1" outlineLevel="1" collapsed="1" x14ac:dyDescent="0.25">
      <c r="A77" s="26"/>
      <c r="B77" s="14" t="str">
        <f>CONCATENATE("     ","Telephone/Data Lines                              ")</f>
        <v xml:space="preserve">     Telephone/Data Lines                              </v>
      </c>
      <c r="C77" s="14"/>
      <c r="D77" s="2">
        <f>SUM(OSRRefD22_12x_0)</f>
        <v>84.7</v>
      </c>
      <c r="E77" s="2"/>
      <c r="F77" s="6">
        <f t="shared" si="4"/>
        <v>2.9756310920074271E-3</v>
      </c>
      <c r="G77" s="2"/>
      <c r="H77" s="2">
        <f>SUM(OSRRefH22_12x_0)</f>
        <v>157.85</v>
      </c>
      <c r="I77" s="2"/>
      <c r="J77" s="6">
        <f t="shared" si="5"/>
        <v>1.2192832916091528E-2</v>
      </c>
      <c r="K77" s="2"/>
      <c r="L77" s="2">
        <f t="shared" si="6"/>
        <v>-73.149999999999991</v>
      </c>
      <c r="M77" s="2"/>
      <c r="N77" s="6">
        <f t="shared" si="7"/>
        <v>-0.46341463414634143</v>
      </c>
      <c r="O77" s="14"/>
      <c r="P77" s="2">
        <f>SUM(OSRRefP22_12x_0)</f>
        <v>1256.3</v>
      </c>
      <c r="Q77" s="2"/>
      <c r="R77" s="6">
        <f t="shared" si="8"/>
        <v>5.6218591559380133E-3</v>
      </c>
      <c r="S77" s="2"/>
      <c r="T77" s="2">
        <f>SUM(OSRRefT22_12x_0)</f>
        <v>1743.35</v>
      </c>
      <c r="U77" s="2"/>
      <c r="V77" s="6">
        <f t="shared" si="9"/>
        <v>1.3657949661561595E-2</v>
      </c>
      <c r="W77" s="2"/>
      <c r="X77" s="2">
        <f t="shared" si="10"/>
        <v>-487.04999999999995</v>
      </c>
      <c r="Y77" s="2"/>
      <c r="Z77" s="6">
        <f t="shared" si="11"/>
        <v>-0.27937591418820085</v>
      </c>
    </row>
    <row r="78" spans="1:26" s="69" customFormat="1" ht="15" hidden="1" customHeight="1" outlineLevel="2" x14ac:dyDescent="0.25">
      <c r="A78" s="25"/>
      <c r="B78" s="12" t="str">
        <f>CONCATENATE("          ","6309"," - ","TELEPHONE")</f>
        <v xml:space="preserve">          6309 - TELEPHONE</v>
      </c>
      <c r="C78" s="12"/>
      <c r="D78" s="7">
        <v>84.7</v>
      </c>
      <c r="E78" s="3"/>
      <c r="F78" s="8">
        <f t="shared" si="4"/>
        <v>2.9756310920074271E-3</v>
      </c>
      <c r="G78" s="3"/>
      <c r="H78" s="7">
        <v>157.85</v>
      </c>
      <c r="I78" s="3"/>
      <c r="J78" s="8">
        <f t="shared" si="5"/>
        <v>1.2192832916091528E-2</v>
      </c>
      <c r="K78" s="3"/>
      <c r="L78" s="7">
        <f t="shared" si="6"/>
        <v>-73.149999999999991</v>
      </c>
      <c r="M78" s="3"/>
      <c r="N78" s="8">
        <f t="shared" si="7"/>
        <v>-0.46341463414634143</v>
      </c>
      <c r="O78" s="12"/>
      <c r="P78" s="7">
        <v>1256.3</v>
      </c>
      <c r="Q78" s="3"/>
      <c r="R78" s="8">
        <f t="shared" si="8"/>
        <v>5.6218591559380133E-3</v>
      </c>
      <c r="S78" s="3"/>
      <c r="T78" s="7">
        <v>1743.35</v>
      </c>
      <c r="U78" s="3"/>
      <c r="V78" s="8">
        <f t="shared" si="9"/>
        <v>1.3657949661561595E-2</v>
      </c>
      <c r="W78" s="3"/>
      <c r="X78" s="7">
        <f t="shared" si="10"/>
        <v>-487.04999999999995</v>
      </c>
      <c r="Y78" s="3"/>
      <c r="Z78" s="8">
        <f t="shared" si="11"/>
        <v>-0.27937591418820085</v>
      </c>
    </row>
    <row r="79" spans="1:26" s="68" customFormat="1" ht="15" customHeight="1" outlineLevel="1" collapsed="1" x14ac:dyDescent="0.25">
      <c r="A79" s="26"/>
      <c r="B79" s="14" t="str">
        <f>CONCATENATE("     ","Utilities                                         ")</f>
        <v xml:space="preserve">     Utilities                                         </v>
      </c>
      <c r="C79" s="14"/>
      <c r="D79" s="2">
        <f>SUM(OSRRefD22_13x_0)</f>
        <v>0</v>
      </c>
      <c r="E79" s="2"/>
      <c r="F79" s="6">
        <f t="shared" si="4"/>
        <v>0</v>
      </c>
      <c r="G79" s="2"/>
      <c r="H79" s="2">
        <f>SUM(OSRRefH22_13x_0)</f>
        <v>0</v>
      </c>
      <c r="I79" s="2"/>
      <c r="J79" s="6">
        <f t="shared" si="5"/>
        <v>0</v>
      </c>
      <c r="K79" s="2"/>
      <c r="L79" s="2">
        <f t="shared" si="6"/>
        <v>0</v>
      </c>
      <c r="M79" s="2"/>
      <c r="N79" s="6">
        <f t="shared" si="7"/>
        <v>0</v>
      </c>
      <c r="O79" s="14"/>
      <c r="P79" s="2">
        <f>SUM(OSRRefP22_13x_0)</f>
        <v>0</v>
      </c>
      <c r="Q79" s="2"/>
      <c r="R79" s="6">
        <f t="shared" si="8"/>
        <v>0</v>
      </c>
      <c r="S79" s="2"/>
      <c r="T79" s="2">
        <f>SUM(OSRRefT22_13x_0)</f>
        <v>15.02</v>
      </c>
      <c r="U79" s="2"/>
      <c r="V79" s="6">
        <f t="shared" si="9"/>
        <v>1.1767138206135036E-4</v>
      </c>
      <c r="W79" s="2"/>
      <c r="X79" s="2">
        <f t="shared" si="10"/>
        <v>-15.02</v>
      </c>
      <c r="Y79" s="2"/>
      <c r="Z79" s="6">
        <f t="shared" si="11"/>
        <v>-1</v>
      </c>
    </row>
    <row r="80" spans="1:26" s="69" customFormat="1" ht="15" hidden="1" customHeight="1" outlineLevel="2" x14ac:dyDescent="0.25">
      <c r="A80" s="25"/>
      <c r="B80" s="12" t="str">
        <f>CONCATENATE("          ","6274"," - ","UTILITIES")</f>
        <v xml:space="preserve">          6274 - UTILITIES</v>
      </c>
      <c r="C80" s="12"/>
      <c r="D80" s="7"/>
      <c r="E80" s="3"/>
      <c r="F80" s="8">
        <f t="shared" si="4"/>
        <v>0</v>
      </c>
      <c r="G80" s="3"/>
      <c r="H80" s="7"/>
      <c r="I80" s="3"/>
      <c r="J80" s="8">
        <f t="shared" si="5"/>
        <v>0</v>
      </c>
      <c r="K80" s="3"/>
      <c r="L80" s="7">
        <f t="shared" si="6"/>
        <v>0</v>
      </c>
      <c r="M80" s="3"/>
      <c r="N80" s="8">
        <f t="shared" si="7"/>
        <v>0</v>
      </c>
      <c r="O80" s="12"/>
      <c r="P80" s="7"/>
      <c r="Q80" s="3"/>
      <c r="R80" s="8">
        <f t="shared" si="8"/>
        <v>0</v>
      </c>
      <c r="S80" s="3"/>
      <c r="T80" s="7">
        <v>15.02</v>
      </c>
      <c r="U80" s="3"/>
      <c r="V80" s="8">
        <f t="shared" si="9"/>
        <v>1.1767138206135036E-4</v>
      </c>
      <c r="W80" s="3"/>
      <c r="X80" s="7">
        <f t="shared" si="10"/>
        <v>-15.02</v>
      </c>
      <c r="Y80" s="3"/>
      <c r="Z80" s="8">
        <f t="shared" si="11"/>
        <v>-1</v>
      </c>
    </row>
    <row r="81" spans="1:26" s="64" customFormat="1" ht="15" customHeight="1" x14ac:dyDescent="0.25">
      <c r="A81" s="36"/>
      <c r="B81" s="36"/>
      <c r="C81" s="36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O81" s="3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62" customFormat="1" ht="15" customHeight="1" collapsed="1" x14ac:dyDescent="0.25">
      <c r="A82" s="11"/>
      <c r="B82" s="28" t="s">
        <v>290</v>
      </c>
      <c r="C82" s="11"/>
      <c r="D82" s="5">
        <f>SUM(OSRRefD25x_0)</f>
        <v>198.47</v>
      </c>
      <c r="E82" s="5"/>
      <c r="F82" s="13">
        <f>IF(D$12=0,0,D82/D$12)</f>
        <v>6.9725325009529398E-3</v>
      </c>
      <c r="G82" s="5"/>
      <c r="H82" s="5">
        <f>SUM(OSRRefH25x_0)</f>
        <v>6782</v>
      </c>
      <c r="I82" s="5"/>
      <c r="J82" s="13">
        <f>IF(H$12=0,0,H82/H$12)</f>
        <v>0.52386311585006484</v>
      </c>
      <c r="K82" s="5"/>
      <c r="L82" s="5">
        <f>+D82-H82</f>
        <v>-6583.53</v>
      </c>
      <c r="M82" s="5"/>
      <c r="N82" s="13">
        <f>IF(H82=0,0,L82/H82)</f>
        <v>-0.97073577115895016</v>
      </c>
      <c r="O82" s="11"/>
      <c r="P82" s="5">
        <f>SUM(OSRRefP25x_0)</f>
        <v>18394.45</v>
      </c>
      <c r="Q82" s="5"/>
      <c r="R82" s="13">
        <f>IF(P$12=0,0,P82/P$12)</f>
        <v>8.2313943445788421E-2</v>
      </c>
      <c r="S82" s="5"/>
      <c r="T82" s="5">
        <f>SUM(OSRRefT25x_0)</f>
        <v>74602</v>
      </c>
      <c r="U82" s="5"/>
      <c r="V82" s="13">
        <f>IF(T$12=0,0,T82/T$12)</f>
        <v>0.58445542240618242</v>
      </c>
      <c r="W82" s="5"/>
      <c r="X82" s="5">
        <f>+P82-T82</f>
        <v>-56207.55</v>
      </c>
      <c r="Y82" s="5"/>
      <c r="Z82" s="13">
        <f>IF(T82=0,0,X82/T82)</f>
        <v>-0.75343221361357604</v>
      </c>
    </row>
    <row r="83" spans="1:26" s="69" customFormat="1" ht="15" hidden="1" customHeight="1" outlineLevel="1" x14ac:dyDescent="0.25">
      <c r="A83" s="42"/>
      <c r="B83" s="12" t="str">
        <f>CONCATENATE("          ","9150"," - ","MISC. INCOME")</f>
        <v xml:space="preserve">          9150 - MISC. INCOME</v>
      </c>
      <c r="C83" s="12"/>
      <c r="D83" s="3">
        <f>--198.47</f>
        <v>198.47</v>
      </c>
      <c r="E83" s="3"/>
      <c r="F83" s="20">
        <f>IF(D$12=0,0,D83/D$12)</f>
        <v>6.9725325009529398E-3</v>
      </c>
      <c r="G83" s="3"/>
      <c r="H83" s="3">
        <f>--6782</f>
        <v>6782</v>
      </c>
      <c r="I83" s="3"/>
      <c r="J83" s="20">
        <f>IF(H$12=0,0,H83/H$12)</f>
        <v>0.52386311585006484</v>
      </c>
      <c r="K83" s="3"/>
      <c r="L83" s="3">
        <f>+D83-H83</f>
        <v>-6583.53</v>
      </c>
      <c r="M83" s="3"/>
      <c r="N83" s="20">
        <f>IF(H83=0,0,L83/H83)</f>
        <v>-0.97073577115895016</v>
      </c>
      <c r="O83" s="12"/>
      <c r="P83" s="3">
        <f>--18394.45</f>
        <v>18394.45</v>
      </c>
      <c r="Q83" s="3"/>
      <c r="R83" s="20">
        <f>IF(P$12=0,0,P83/P$12)</f>
        <v>8.2313943445788421E-2</v>
      </c>
      <c r="S83" s="3"/>
      <c r="T83" s="3">
        <f>--74602</f>
        <v>74602</v>
      </c>
      <c r="U83" s="3"/>
      <c r="V83" s="20">
        <f>IF(T$12=0,0,T83/T$12)</f>
        <v>0.58445542240618242</v>
      </c>
      <c r="W83" s="3"/>
      <c r="X83" s="3">
        <f>+P83-T83</f>
        <v>-56207.55</v>
      </c>
      <c r="Y83" s="3"/>
      <c r="Z83" s="20">
        <f>IF(T83=0,0,X83/T83)</f>
        <v>-0.75343221361357604</v>
      </c>
    </row>
    <row r="84" spans="1:26" s="69" customFormat="1" ht="15" hidden="1" customHeight="1" outlineLevel="1" x14ac:dyDescent="0.25">
      <c r="A84" s="42"/>
      <c r="B84" s="12" t="str">
        <f>CONCATENATE("          ","9163"," - ","MISC. INCOME")</f>
        <v xml:space="preserve">          9163 - MISC. INCOME</v>
      </c>
      <c r="C84" s="12"/>
      <c r="D84" s="3">
        <f>0</f>
        <v>0</v>
      </c>
      <c r="E84" s="3"/>
      <c r="F84" s="20">
        <f>IF(D$12=0,0,D84/D$12)</f>
        <v>0</v>
      </c>
      <c r="G84" s="3"/>
      <c r="H84" s="3">
        <f>0</f>
        <v>0</v>
      </c>
      <c r="I84" s="3"/>
      <c r="J84" s="20">
        <f>IF(H$12=0,0,H84/H$12)</f>
        <v>0</v>
      </c>
      <c r="K84" s="3"/>
      <c r="L84" s="3">
        <f>+D84-H84</f>
        <v>0</v>
      </c>
      <c r="M84" s="3"/>
      <c r="N84" s="20">
        <f>IF(H84=0,0,L84/H84)</f>
        <v>0</v>
      </c>
      <c r="O84" s="12"/>
      <c r="P84" s="3">
        <f>0</f>
        <v>0</v>
      </c>
      <c r="Q84" s="3"/>
      <c r="R84" s="20">
        <f>IF(P$12=0,0,P84/P$12)</f>
        <v>0</v>
      </c>
      <c r="S84" s="3"/>
      <c r="T84" s="3">
        <f>0</f>
        <v>0</v>
      </c>
      <c r="U84" s="3"/>
      <c r="V84" s="20">
        <f>IF(T$12=0,0,T84/T$12)</f>
        <v>0</v>
      </c>
      <c r="W84" s="3"/>
      <c r="X84" s="3">
        <f>+P84-T84</f>
        <v>0</v>
      </c>
      <c r="Y84" s="3"/>
      <c r="Z84" s="20">
        <f>IF(T84=0,0,X84/T84)</f>
        <v>0</v>
      </c>
    </row>
    <row r="85" spans="1:26" ht="15" customHeight="1" x14ac:dyDescent="0.25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25">
      <c r="A86" s="11"/>
      <c r="B86" s="27" t="s">
        <v>291</v>
      </c>
      <c r="C86" s="27"/>
      <c r="D86" s="22">
        <f>+D32-D34+D82</f>
        <v>-292.77999999999997</v>
      </c>
      <c r="E86" s="15"/>
      <c r="F86" s="23">
        <f>IF(D$12=0,0,D86/D$12)</f>
        <v>-1.0285776518511622E-2</v>
      </c>
      <c r="G86" s="15"/>
      <c r="H86" s="22">
        <f>+H32-H34+H82</f>
        <v>6727.9700000000084</v>
      </c>
      <c r="I86" s="15"/>
      <c r="J86" s="23">
        <f>IF(H$12=0,0,H86/H$12)</f>
        <v>0.51968966787758264</v>
      </c>
      <c r="K86" s="16"/>
      <c r="L86" s="22">
        <f>+D86-H86</f>
        <v>-7020.7500000000082</v>
      </c>
      <c r="M86" s="16"/>
      <c r="N86" s="23">
        <f>IF(H86=0,0,L86/H86)</f>
        <v>-1.0435168408895996</v>
      </c>
      <c r="O86" s="28"/>
      <c r="P86" s="22">
        <f>+P32-P34+P82</f>
        <v>-32374.479999999876</v>
      </c>
      <c r="Q86" s="15"/>
      <c r="R86" s="23">
        <f>IF(P$12=0,0,P86/P$12)</f>
        <v>-0.14487365024813451</v>
      </c>
      <c r="S86" s="15"/>
      <c r="T86" s="22">
        <f>+T32-T34+T82</f>
        <v>-83314.320000000007</v>
      </c>
      <c r="U86" s="15"/>
      <c r="V86" s="23">
        <f>IF(T$12=0,0,T86/T$12)</f>
        <v>-0.6527104647071641</v>
      </c>
      <c r="W86" s="16"/>
      <c r="X86" s="22">
        <f>+P86-T86</f>
        <v>50939.840000000127</v>
      </c>
      <c r="Y86" s="16"/>
      <c r="Z86" s="23">
        <f>IF(T86=0,0,X86/T86)</f>
        <v>-0.61141758103529054</v>
      </c>
    </row>
    <row r="87" spans="1:26" ht="15" customHeight="1" x14ac:dyDescent="0.25">
      <c r="A87" s="10"/>
      <c r="B87" s="11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25">
      <c r="A88" s="48"/>
      <c r="B88" s="11" t="s">
        <v>292</v>
      </c>
      <c r="C88" s="11"/>
      <c r="D88" s="5">
        <v>3032.73</v>
      </c>
      <c r="E88" s="5"/>
      <c r="F88" s="13">
        <f>IF(D$12=0,0,D88/D$12)</f>
        <v>0.10654410486025601</v>
      </c>
      <c r="G88" s="5"/>
      <c r="H88" s="5">
        <v>3281.05</v>
      </c>
      <c r="I88" s="5"/>
      <c r="J88" s="13">
        <f>IF(H$12=0,0,H88/H$12)</f>
        <v>0.25343867240634849</v>
      </c>
      <c r="K88" s="5"/>
      <c r="L88" s="5">
        <f>+D88-H88</f>
        <v>-248.32000000000016</v>
      </c>
      <c r="M88" s="5"/>
      <c r="N88" s="13">
        <f>IF(H88=0,0,L88/H88)</f>
        <v>-7.5683089254964156E-2</v>
      </c>
      <c r="O88" s="11"/>
      <c r="P88" s="5">
        <v>25123.360000000001</v>
      </c>
      <c r="Q88" s="5"/>
      <c r="R88" s="13">
        <f>IF(P$12=0,0,P88/P$12)</f>
        <v>0.11242536929390022</v>
      </c>
      <c r="S88" s="5"/>
      <c r="T88" s="5">
        <v>27276.23</v>
      </c>
      <c r="U88" s="5"/>
      <c r="V88" s="13">
        <f>IF(T$12=0,0,T88/T$12)</f>
        <v>0.21369052473523745</v>
      </c>
      <c r="W88" s="5"/>
      <c r="X88" s="5">
        <f>+P88-T88</f>
        <v>-2152.869999999999</v>
      </c>
      <c r="Y88" s="5"/>
      <c r="Z88" s="13">
        <f>IF(T88=0,0,X88/T88)</f>
        <v>-7.8928429625355082E-2</v>
      </c>
    </row>
    <row r="89" spans="1:26" ht="15" customHeight="1" x14ac:dyDescent="0.25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25">
      <c r="A90" s="11"/>
      <c r="B90" s="27" t="s">
        <v>293</v>
      </c>
      <c r="C90" s="27"/>
      <c r="D90" s="35">
        <f>+D86-D88</f>
        <v>-3325.51</v>
      </c>
      <c r="E90" s="15"/>
      <c r="F90" s="30">
        <f>IF(D$12=0,0,D90/D$12)</f>
        <v>-0.11682988137876764</v>
      </c>
      <c r="G90" s="15"/>
      <c r="H90" s="35">
        <f>+H86-H88</f>
        <v>3446.9200000000083</v>
      </c>
      <c r="I90" s="15"/>
      <c r="J90" s="30">
        <f>IF(H$12=0,0,H90/H$12)</f>
        <v>0.26625099547123415</v>
      </c>
      <c r="K90" s="16"/>
      <c r="L90" s="35">
        <f>D90-H90</f>
        <v>-6772.4300000000085</v>
      </c>
      <c r="M90" s="16"/>
      <c r="N90" s="30">
        <f>IF(H90=0,0,L90/H90)</f>
        <v>-1.9647772504148608</v>
      </c>
      <c r="O90" s="28"/>
      <c r="P90" s="35">
        <f>+P86-P88</f>
        <v>-57497.83999999988</v>
      </c>
      <c r="Q90" s="15"/>
      <c r="R90" s="30">
        <f>IF(P$12=0,0,P90/P$12)</f>
        <v>-0.25729901954203477</v>
      </c>
      <c r="S90" s="15"/>
      <c r="T90" s="35">
        <f>+T86-T88</f>
        <v>-110590.55</v>
      </c>
      <c r="U90" s="15"/>
      <c r="V90" s="30">
        <f>IF(T$12=0,0,T90/T$12)</f>
        <v>-0.86640098944240151</v>
      </c>
      <c r="W90" s="16"/>
      <c r="X90" s="35">
        <f>P90-T90</f>
        <v>53092.710000000123</v>
      </c>
      <c r="Y90" s="16"/>
      <c r="Z90" s="30">
        <f>IF(T90=0,0,X90/T90)</f>
        <v>-0.4800836056968712</v>
      </c>
    </row>
    <row r="91" spans="1:26" ht="15" customHeight="1" x14ac:dyDescent="0.25">
      <c r="A91" s="10"/>
      <c r="B91" s="10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ht="15" customHeight="1" x14ac:dyDescent="0.25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2" customFormat="1" ht="15" customHeight="1" x14ac:dyDescent="0.25">
      <c r="A93" s="11"/>
      <c r="B93" s="27" t="s">
        <v>296</v>
      </c>
      <c r="C93" s="27"/>
      <c r="D93" s="32">
        <f>SUM(D90:D92)</f>
        <v>-3325.51</v>
      </c>
      <c r="E93" s="15"/>
      <c r="F93" s="34">
        <f>IF(D$12=0,0,D93/D$12)</f>
        <v>-0.11682988137876764</v>
      </c>
      <c r="G93" s="15"/>
      <c r="H93" s="32">
        <f>SUM(H90:H92)</f>
        <v>3446.9200000000083</v>
      </c>
      <c r="I93" s="15"/>
      <c r="J93" s="34">
        <f>IF(H$12=0,0,H93/H$12)</f>
        <v>0.26625099547123415</v>
      </c>
      <c r="K93" s="16"/>
      <c r="L93" s="32">
        <f>+D93-H93</f>
        <v>-6772.4300000000085</v>
      </c>
      <c r="M93" s="16"/>
      <c r="N93" s="34">
        <f>IF(H93=0,0,L93/H93)</f>
        <v>-1.9647772504148608</v>
      </c>
      <c r="O93" s="28"/>
      <c r="P93" s="32">
        <f>SUM(P90:P92)</f>
        <v>-57497.83999999988</v>
      </c>
      <c r="Q93" s="15"/>
      <c r="R93" s="34">
        <f>IF(P$12=0,0,P93/P$12)</f>
        <v>-0.25729901954203477</v>
      </c>
      <c r="S93" s="15"/>
      <c r="T93" s="32">
        <f>SUM(T90:T92)</f>
        <v>-110590.55</v>
      </c>
      <c r="U93" s="15"/>
      <c r="V93" s="34">
        <f>IF(T$12=0,0,T93/T$12)</f>
        <v>-0.86640098944240151</v>
      </c>
      <c r="W93" s="16"/>
      <c r="X93" s="32">
        <f>+P93-T93</f>
        <v>53092.710000000123</v>
      </c>
      <c r="Y93" s="16"/>
      <c r="Z93" s="34">
        <f>IF(T93=0,0,X93/T93)</f>
        <v>-0.4800836056968712</v>
      </c>
    </row>
    <row r="94" spans="1:26" ht="15" customHeight="1" x14ac:dyDescent="0.25">
      <c r="A94" s="10"/>
      <c r="C94" s="10"/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  <row r="95" spans="1:26" ht="15" customHeight="1" x14ac:dyDescent="0.25">
      <c r="A95" s="10"/>
      <c r="B95" s="50">
        <v>44727.879647071757</v>
      </c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  <row r="96" spans="1:26" ht="15" customHeight="1" x14ac:dyDescent="0.25">
      <c r="A96" s="10"/>
      <c r="B96" s="53" t="s">
        <v>297</v>
      </c>
      <c r="D96" s="18"/>
      <c r="E96" s="18"/>
      <c r="G96" s="18"/>
      <c r="H96" s="18"/>
      <c r="I96" s="18"/>
      <c r="J96" s="41"/>
      <c r="K96" s="18"/>
      <c r="L96" s="18"/>
      <c r="M96" s="18"/>
      <c r="P96" s="18"/>
      <c r="Q96" s="18"/>
      <c r="R96" s="41"/>
      <c r="S96" s="18"/>
      <c r="T96" s="18"/>
      <c r="U96" s="18"/>
      <c r="V96" s="41"/>
      <c r="W96" s="18"/>
      <c r="X96" s="18"/>
    </row>
    <row r="97" spans="1:24" ht="15" customHeight="1" x14ac:dyDescent="0.25">
      <c r="A97" s="10"/>
      <c r="B97" s="55"/>
      <c r="D97" s="18"/>
      <c r="E97" s="18"/>
      <c r="G97" s="18"/>
      <c r="H97" s="18"/>
      <c r="I97" s="18"/>
      <c r="J97" s="41"/>
      <c r="K97" s="18"/>
      <c r="L97" s="18"/>
      <c r="M97" s="18"/>
      <c r="P97" s="18"/>
      <c r="Q97" s="18"/>
      <c r="R97" s="41"/>
      <c r="S97" s="18"/>
      <c r="T97" s="18"/>
      <c r="U97" s="18"/>
      <c r="V97" s="41"/>
      <c r="W97" s="18"/>
      <c r="X97" s="18"/>
    </row>
    <row r="98" spans="1:24" ht="15" customHeight="1" x14ac:dyDescent="0.25">
      <c r="D98" s="18"/>
      <c r="E98" s="18"/>
      <c r="G98" s="18"/>
      <c r="H98" s="18"/>
      <c r="I98" s="18"/>
      <c r="J98" s="41"/>
      <c r="K98" s="18"/>
      <c r="L98" s="18"/>
      <c r="M98" s="18"/>
      <c r="P98" s="18"/>
      <c r="Q98" s="18"/>
      <c r="R98" s="41"/>
      <c r="S98" s="18"/>
      <c r="T98" s="18"/>
      <c r="U98" s="18"/>
      <c r="V98" s="41"/>
      <c r="W98" s="18"/>
      <c r="X9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FA29B-B24B-6F86-50F9-67FA4D2F949A}">
  <sheetPr>
    <tabColor rgb="FF92D050"/>
    <outlinePr summaryBelow="0" summaryRight="0"/>
  </sheetPr>
  <dimension ref="A2:Z9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","316"," - ","Campus Copy Center")</f>
        <v>Department 316 - Campus Copy Center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28464.55</v>
      </c>
      <c r="E12" s="5"/>
      <c r="F12" s="13"/>
      <c r="G12" s="5"/>
      <c r="H12" s="5">
        <f>SUM(OSRRefH13x_0)</f>
        <v>12946.13</v>
      </c>
      <c r="I12" s="5"/>
      <c r="J12" s="13"/>
      <c r="K12" s="5"/>
      <c r="L12" s="5">
        <f t="shared" ref="L12:L25" si="0">+D12-H12</f>
        <v>15518.42</v>
      </c>
      <c r="M12" s="5"/>
      <c r="N12" s="13">
        <f t="shared" ref="N12:N25" si="1">IF(H12=0,0,L12/H12)</f>
        <v>1.1986918098304282</v>
      </c>
      <c r="O12" s="11"/>
      <c r="P12" s="5">
        <f>SUM(OSRRefP13x_0)</f>
        <v>223467</v>
      </c>
      <c r="Q12" s="5"/>
      <c r="R12" s="13"/>
      <c r="S12" s="5"/>
      <c r="T12" s="5">
        <f>SUM(OSRRefT13x_0)</f>
        <v>127643.60999999999</v>
      </c>
      <c r="U12" s="5"/>
      <c r="V12" s="13"/>
      <c r="W12" s="5"/>
      <c r="X12" s="5">
        <f t="shared" ref="X12:X25" si="2">+P12-T12</f>
        <v>95823.390000000014</v>
      </c>
      <c r="Y12" s="5"/>
      <c r="Z12" s="13">
        <f t="shared" ref="Z12:Z25" si="3">IF(T12=0,0,X12/T12)</f>
        <v>0.7507104350934608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--23368.25</f>
        <v>23368.25</v>
      </c>
      <c r="E13" s="3"/>
      <c r="F13" s="20"/>
      <c r="G13" s="3"/>
      <c r="H13" s="3">
        <f>-1</f>
        <v>-1</v>
      </c>
      <c r="I13" s="3"/>
      <c r="J13" s="20"/>
      <c r="K13" s="3"/>
      <c r="L13" s="3">
        <f t="shared" si="0"/>
        <v>23369.25</v>
      </c>
      <c r="M13" s="3"/>
      <c r="N13" s="20">
        <f t="shared" si="1"/>
        <v>-23369.25</v>
      </c>
      <c r="O13" s="12"/>
      <c r="P13" s="3">
        <f>--173278.92</f>
        <v>173278.92</v>
      </c>
      <c r="Q13" s="3"/>
      <c r="R13" s="20"/>
      <c r="S13" s="3"/>
      <c r="T13" s="3">
        <f>-10.28</f>
        <v>-10.28</v>
      </c>
      <c r="U13" s="3"/>
      <c r="V13" s="20"/>
      <c r="W13" s="3"/>
      <c r="X13" s="3">
        <f t="shared" si="2"/>
        <v>173289.2</v>
      </c>
      <c r="Y13" s="3"/>
      <c r="Z13" s="20">
        <f t="shared" si="3"/>
        <v>-16856.926070038913</v>
      </c>
    </row>
    <row r="14" spans="1:26" s="69" customFormat="1" ht="15" hidden="1" customHeight="1" outlineLevel="1" x14ac:dyDescent="0.25">
      <c r="A14" s="42"/>
      <c r="B14" s="12" t="str">
        <f>CONCATENATE("          ","4041"," - ","TAXABLE SALES-LOGO GIFTS")</f>
        <v xml:space="preserve">          4041 - TAXABLE SALES-LOGO GIFTS</v>
      </c>
      <c r="C14" s="12"/>
      <c r="D14" s="3">
        <f>0</f>
        <v>0</v>
      </c>
      <c r="E14" s="3"/>
      <c r="F14" s="20"/>
      <c r="G14" s="3"/>
      <c r="H14" s="3">
        <f>--381.55</f>
        <v>381.55</v>
      </c>
      <c r="I14" s="3"/>
      <c r="J14" s="20"/>
      <c r="K14" s="3"/>
      <c r="L14" s="3">
        <f t="shared" si="0"/>
        <v>-381.55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--93301.72</f>
        <v>93301.72</v>
      </c>
      <c r="U14" s="3"/>
      <c r="V14" s="20"/>
      <c r="W14" s="3"/>
      <c r="X14" s="3">
        <f t="shared" si="2"/>
        <v>-93301.72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","4042"," - ","TAXABLE SALES-EVERYDAY GIFTS")</f>
        <v xml:space="preserve">          4042 - TAXABLE SALES-EVERYDAY GIFTS</v>
      </c>
      <c r="C15" s="12"/>
      <c r="D15" s="3">
        <f>0</f>
        <v>0</v>
      </c>
      <c r="E15" s="3"/>
      <c r="F15" s="20"/>
      <c r="G15" s="3"/>
      <c r="H15" s="3">
        <f>--1225.83</f>
        <v>1225.83</v>
      </c>
      <c r="I15" s="3"/>
      <c r="J15" s="20"/>
      <c r="K15" s="3"/>
      <c r="L15" s="3">
        <f t="shared" si="0"/>
        <v>-1225.83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--18325.67</f>
        <v>18325.669999999998</v>
      </c>
      <c r="U15" s="3"/>
      <c r="V15" s="20"/>
      <c r="W15" s="3"/>
      <c r="X15" s="3">
        <f t="shared" si="2"/>
        <v>-18325.669999999998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","4043"," - ","TAXABLE SALES-CARDS")</f>
        <v xml:space="preserve">          4043 - TAXABLE SALES-CARDS</v>
      </c>
      <c r="C16" s="12"/>
      <c r="D16" s="3">
        <f>0</f>
        <v>0</v>
      </c>
      <c r="E16" s="3"/>
      <c r="F16" s="20"/>
      <c r="G16" s="3"/>
      <c r="H16" s="3">
        <f>--9.47</f>
        <v>9.4700000000000006</v>
      </c>
      <c r="I16" s="3"/>
      <c r="J16" s="20"/>
      <c r="K16" s="3"/>
      <c r="L16" s="3">
        <f t="shared" si="0"/>
        <v>-9.4700000000000006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--62.15</f>
        <v>62.15</v>
      </c>
      <c r="U16" s="3"/>
      <c r="V16" s="20"/>
      <c r="W16" s="3"/>
      <c r="X16" s="3">
        <f t="shared" si="2"/>
        <v>-62.15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","4095"," - ","TAXABLE SALES-CUSTOMER SERVICE")</f>
        <v xml:space="preserve">          4095 - TAXABLE SALES-CUSTOMER SERVICE</v>
      </c>
      <c r="C17" s="12"/>
      <c r="D17" s="3">
        <f>0</f>
        <v>0</v>
      </c>
      <c r="E17" s="3"/>
      <c r="F17" s="20"/>
      <c r="G17" s="3"/>
      <c r="H17" s="3">
        <f>--10891.24</f>
        <v>10891.24</v>
      </c>
      <c r="I17" s="3"/>
      <c r="J17" s="20"/>
      <c r="K17" s="3"/>
      <c r="L17" s="3">
        <f t="shared" si="0"/>
        <v>-10891.24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--13925.83</f>
        <v>13925.83</v>
      </c>
      <c r="U17" s="3"/>
      <c r="V17" s="20"/>
      <c r="W17" s="3"/>
      <c r="X17" s="3">
        <f t="shared" si="2"/>
        <v>-13925.83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--5125.23</f>
        <v>5125.2299999999996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5125.2299999999996</v>
      </c>
      <c r="M18" s="3"/>
      <c r="N18" s="20">
        <f t="shared" si="1"/>
        <v>0</v>
      </c>
      <c r="O18" s="12"/>
      <c r="P18" s="3">
        <f>--51288.03</f>
        <v>51288.03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51288.03</v>
      </c>
      <c r="Y18" s="3"/>
      <c r="Z18" s="20">
        <f t="shared" si="3"/>
        <v>0</v>
      </c>
    </row>
    <row r="19" spans="1:26" s="69" customFormat="1" ht="15" hidden="1" customHeight="1" outlineLevel="1" x14ac:dyDescent="0.25">
      <c r="A19" s="42"/>
      <c r="B19" s="12" t="str">
        <f>CONCATENATE("          ","4141"," - ","NON-TAXABLE SALES-LOGO GIFTS")</f>
        <v xml:space="preserve">          4141 - NON-TAXABLE SALES-LOGO GIFTS</v>
      </c>
      <c r="C19" s="12"/>
      <c r="D19" s="3">
        <f>0</f>
        <v>0</v>
      </c>
      <c r="E19" s="3"/>
      <c r="F19" s="20"/>
      <c r="G19" s="3"/>
      <c r="H19" s="3">
        <f>--476.8</f>
        <v>476.8</v>
      </c>
      <c r="I19" s="3"/>
      <c r="J19" s="20"/>
      <c r="K19" s="3"/>
      <c r="L19" s="3">
        <f t="shared" si="0"/>
        <v>-476.8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--1756.04</f>
        <v>1756.04</v>
      </c>
      <c r="U19" s="3"/>
      <c r="V19" s="20"/>
      <c r="W19" s="3"/>
      <c r="X19" s="3">
        <f t="shared" si="2"/>
        <v>-1756.04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","4142"," - ","NON-TAXABLE SALES-EVERYDAY GIF")</f>
        <v xml:space="preserve">          4142 - NON-TAXABLE SALES-EVERYDAY GIF</v>
      </c>
      <c r="C20" s="12"/>
      <c r="D20" s="3">
        <f>0</f>
        <v>0</v>
      </c>
      <c r="E20" s="3"/>
      <c r="F20" s="20"/>
      <c r="G20" s="3"/>
      <c r="H20" s="3">
        <f>--4.39</f>
        <v>4.3899999999999997</v>
      </c>
      <c r="I20" s="3"/>
      <c r="J20" s="20"/>
      <c r="K20" s="3"/>
      <c r="L20" s="3">
        <f t="shared" si="0"/>
        <v>-4.3899999999999997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--1137.08</f>
        <v>1137.08</v>
      </c>
      <c r="U20" s="3"/>
      <c r="V20" s="20"/>
      <c r="W20" s="3"/>
      <c r="X20" s="3">
        <f t="shared" si="2"/>
        <v>-1137.08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","4146"," - ","NON-TAXABLE SALES-COIN OP MACH")</f>
        <v xml:space="preserve">          4146 - NON-TAXABLE SALES-COIN OP MACH</v>
      </c>
      <c r="C21" s="12"/>
      <c r="D21" s="3">
        <f>0</f>
        <v>0</v>
      </c>
      <c r="E21" s="3"/>
      <c r="F21" s="20"/>
      <c r="G21" s="3"/>
      <c r="H21" s="3">
        <f>--56.6</f>
        <v>56.6</v>
      </c>
      <c r="I21" s="3"/>
      <c r="J21" s="20"/>
      <c r="K21" s="3"/>
      <c r="L21" s="3">
        <f t="shared" si="0"/>
        <v>-56.6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--385.9</f>
        <v>385.9</v>
      </c>
      <c r="U21" s="3"/>
      <c r="V21" s="20"/>
      <c r="W21" s="3"/>
      <c r="X21" s="3">
        <f t="shared" si="2"/>
        <v>-385.9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","4147"," - ","NON-TAXABLE SALES-MISC")</f>
        <v xml:space="preserve">          4147 - NON-TAXABLE SALES-MISC</v>
      </c>
      <c r="C22" s="12"/>
      <c r="D22" s="3">
        <f>0</f>
        <v>0</v>
      </c>
      <c r="E22" s="3"/>
      <c r="F22" s="20"/>
      <c r="G22" s="3"/>
      <c r="H22" s="3">
        <f>--13.5</f>
        <v>13.5</v>
      </c>
      <c r="I22" s="3"/>
      <c r="J22" s="20"/>
      <c r="K22" s="3"/>
      <c r="L22" s="3">
        <f t="shared" si="0"/>
        <v>-13.5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--168</f>
        <v>168</v>
      </c>
      <c r="U22" s="3"/>
      <c r="V22" s="20"/>
      <c r="W22" s="3"/>
      <c r="X22" s="3">
        <f t="shared" si="2"/>
        <v>-168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","4200"," - ","TAXABLE RETURNS")</f>
        <v xml:space="preserve">          4200 - TAXABLE RETURNS</v>
      </c>
      <c r="C23" s="12"/>
      <c r="D23" s="3">
        <f>-28.93</f>
        <v>-28.93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-28.93</v>
      </c>
      <c r="M23" s="3"/>
      <c r="N23" s="20">
        <f t="shared" si="1"/>
        <v>0</v>
      </c>
      <c r="O23" s="12"/>
      <c r="P23" s="3">
        <f>-1099.95</f>
        <v>-1099.95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-1099.95</v>
      </c>
      <c r="Y23" s="3"/>
      <c r="Z23" s="20">
        <f t="shared" si="3"/>
        <v>0</v>
      </c>
    </row>
    <row r="24" spans="1:26" s="69" customFormat="1" ht="15" hidden="1" customHeight="1" outlineLevel="1" x14ac:dyDescent="0.25">
      <c r="A24" s="42"/>
      <c r="B24" s="12" t="str">
        <f>CONCATENATE("          ","4241"," - ","SALES RETURN TAXABLE-LOGO GIFT")</f>
        <v xml:space="preserve">          4241 - SALES RETURN TAXABLE-LOGO GIFT</v>
      </c>
      <c r="C24" s="12"/>
      <c r="D24" s="3">
        <f>0</f>
        <v>0</v>
      </c>
      <c r="E24" s="3"/>
      <c r="F24" s="20"/>
      <c r="G24" s="3"/>
      <c r="H24" s="3">
        <f>-7.95</f>
        <v>-7.95</v>
      </c>
      <c r="I24" s="3"/>
      <c r="J24" s="20"/>
      <c r="K24" s="3"/>
      <c r="L24" s="3">
        <f t="shared" si="0"/>
        <v>7.95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-1293</f>
        <v>-1293</v>
      </c>
      <c r="U24" s="3"/>
      <c r="V24" s="20"/>
      <c r="W24" s="3"/>
      <c r="X24" s="3">
        <f t="shared" si="2"/>
        <v>1293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","4341"," - ","SALES RETURN NON TAXABLE-LOGO")</f>
        <v xml:space="preserve">          4341 - SALES RETURN NON TAXABLE-LOGO</v>
      </c>
      <c r="C25" s="12"/>
      <c r="D25" s="3">
        <f>0</f>
        <v>0</v>
      </c>
      <c r="E25" s="3"/>
      <c r="F25" s="20"/>
      <c r="G25" s="3"/>
      <c r="H25" s="3">
        <f>-104.3</f>
        <v>-104.3</v>
      </c>
      <c r="I25" s="3"/>
      <c r="J25" s="20"/>
      <c r="K25" s="3"/>
      <c r="L25" s="3">
        <f t="shared" si="0"/>
        <v>104.3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-115.5</f>
        <v>-115.5</v>
      </c>
      <c r="U25" s="3"/>
      <c r="V25" s="20"/>
      <c r="W25" s="3"/>
      <c r="X25" s="3">
        <f t="shared" si="2"/>
        <v>115.5</v>
      </c>
      <c r="Y25" s="3"/>
      <c r="Z25" s="20">
        <f t="shared" si="3"/>
        <v>-1</v>
      </c>
    </row>
    <row r="26" spans="1:26" ht="15" customHeight="1" x14ac:dyDescent="0.25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25">
      <c r="A27" s="11"/>
      <c r="B27" s="28" t="s">
        <v>287</v>
      </c>
      <c r="C27" s="11"/>
      <c r="D27" s="5">
        <f>SUM(OSRRefD16x_0)</f>
        <v>0</v>
      </c>
      <c r="E27" s="5"/>
      <c r="F27" s="13">
        <f>IF(D$12=0,0,D27/D$12)</f>
        <v>0</v>
      </c>
      <c r="G27" s="5"/>
      <c r="H27" s="5">
        <f>SUM(OSRRefH16x_0)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SUM(OSRRefP16x_0)</f>
        <v>8.26</v>
      </c>
      <c r="Q27" s="5"/>
      <c r="R27" s="13">
        <f>IF(P$12=0,0,P27/P$12)</f>
        <v>3.6962952024236242E-5</v>
      </c>
      <c r="S27" s="5"/>
      <c r="T27" s="5">
        <f>SUM(OSRRefT16x_0)</f>
        <v>0</v>
      </c>
      <c r="U27" s="5"/>
      <c r="V27" s="13">
        <f>IF(T$12=0,0,T27/T$12)</f>
        <v>0</v>
      </c>
      <c r="W27" s="5"/>
      <c r="X27" s="5">
        <f>+P27-T27</f>
        <v>8.26</v>
      </c>
      <c r="Y27" s="5"/>
      <c r="Z27" s="13">
        <f>IF(T27=0,0,X27/T27)</f>
        <v>0</v>
      </c>
    </row>
    <row r="28" spans="1:26" s="69" customFormat="1" ht="15" hidden="1" customHeight="1" outlineLevel="1" x14ac:dyDescent="0.25">
      <c r="A28" s="42"/>
      <c r="B28" s="12" t="str">
        <f>CONCATENATE("          ","5500"," - ","FREIGHT-IN")</f>
        <v xml:space="preserve">          5500 - FREIGHT-IN</v>
      </c>
      <c r="C28" s="12"/>
      <c r="D28" s="3"/>
      <c r="E28" s="3"/>
      <c r="F28" s="20">
        <f>IF(D$12=0,0,D28/D$12)</f>
        <v>0</v>
      </c>
      <c r="G28" s="3"/>
      <c r="H28" s="3"/>
      <c r="I28" s="3"/>
      <c r="J28" s="20">
        <f>IF(H$12=0,0,H28/H$12)</f>
        <v>0</v>
      </c>
      <c r="K28" s="3"/>
      <c r="L28" s="3">
        <f>+D28-H28</f>
        <v>0</v>
      </c>
      <c r="M28" s="3"/>
      <c r="N28" s="20">
        <f>IF(H28=0,0,L28/H28)</f>
        <v>0</v>
      </c>
      <c r="O28" s="12"/>
      <c r="P28" s="3">
        <v>8.26</v>
      </c>
      <c r="Q28" s="3"/>
      <c r="R28" s="20">
        <f>IF(P$12=0,0,P28/P$12)</f>
        <v>3.6962952024236242E-5</v>
      </c>
      <c r="S28" s="3"/>
      <c r="T28" s="3"/>
      <c r="U28" s="3"/>
      <c r="V28" s="20">
        <f>IF(T$12=0,0,T28/T$12)</f>
        <v>0</v>
      </c>
      <c r="W28" s="3"/>
      <c r="X28" s="3">
        <f>+P28-T28</f>
        <v>8.26</v>
      </c>
      <c r="Y28" s="3"/>
      <c r="Z28" s="20">
        <f>IF(T28=0,0,X28/T28)</f>
        <v>0</v>
      </c>
    </row>
    <row r="29" spans="1:26" ht="15" customHeight="1" x14ac:dyDescent="0.25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25">
      <c r="A30" s="11"/>
      <c r="B30" s="27" t="s">
        <v>288</v>
      </c>
      <c r="C30" s="27"/>
      <c r="D30" s="22">
        <f>D12-D27</f>
        <v>28464.55</v>
      </c>
      <c r="E30" s="15"/>
      <c r="F30" s="23">
        <f>IF(D$12=0,0,D30/D$12)</f>
        <v>1</v>
      </c>
      <c r="G30" s="15"/>
      <c r="H30" s="22">
        <f>H12-H27</f>
        <v>12946.13</v>
      </c>
      <c r="I30" s="15"/>
      <c r="J30" s="23">
        <f>IF(H$12=0,0,H30/H$12)</f>
        <v>1</v>
      </c>
      <c r="K30" s="16"/>
      <c r="L30" s="22">
        <f>+D30-H30</f>
        <v>15518.42</v>
      </c>
      <c r="M30" s="16"/>
      <c r="N30" s="23">
        <f>IF(H30=0,0,L30/H30)</f>
        <v>1.1986918098304282</v>
      </c>
      <c r="O30" s="28"/>
      <c r="P30" s="22">
        <f>P12-P27</f>
        <v>223458.74</v>
      </c>
      <c r="Q30" s="15"/>
      <c r="R30" s="23">
        <f>IF(P$12=0,0,P30/P$12)</f>
        <v>0.99996303704797573</v>
      </c>
      <c r="S30" s="15"/>
      <c r="T30" s="22">
        <f>T12-T27</f>
        <v>127643.60999999999</v>
      </c>
      <c r="U30" s="15"/>
      <c r="V30" s="23">
        <f>IF(T$12=0,0,T30/T$12)</f>
        <v>1</v>
      </c>
      <c r="W30" s="16"/>
      <c r="X30" s="22">
        <f>+P30-T30</f>
        <v>95815.13</v>
      </c>
      <c r="Y30" s="16"/>
      <c r="Z30" s="23">
        <f>IF(T30=0,0,X30/T30)</f>
        <v>0.75064572366764004</v>
      </c>
    </row>
    <row r="31" spans="1:26" ht="15" customHeight="1" x14ac:dyDescent="0.25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2" customFormat="1" ht="15" customHeight="1" x14ac:dyDescent="0.25">
      <c r="A32" s="11"/>
      <c r="B32" s="28" t="s">
        <v>289</v>
      </c>
      <c r="C32" s="11"/>
      <c r="D32" s="21" cm="1">
        <f t="array" ref="D32">SUM(OSRRefD22x_0)</f>
        <v>28955.8</v>
      </c>
      <c r="E32" s="21"/>
      <c r="F32" s="31">
        <f t="shared" ref="F32:F78" si="4">IF(D$12=0,0,D32/D$12)</f>
        <v>1.0172583090194645</v>
      </c>
      <c r="G32" s="21"/>
      <c r="H32" s="21" cm="1">
        <f t="array" ref="H32">SUM(OSRRefH22x_0)</f>
        <v>13000.159999999991</v>
      </c>
      <c r="I32" s="21"/>
      <c r="J32" s="31">
        <f t="shared" ref="J32:J78" si="5">IF(H$12=0,0,H32/H$12)</f>
        <v>1.0041734479724822</v>
      </c>
      <c r="K32" s="5"/>
      <c r="L32" s="21">
        <f t="shared" ref="L32:L78" si="6">+D32-H32</f>
        <v>15955.640000000009</v>
      </c>
      <c r="M32" s="5"/>
      <c r="N32" s="31">
        <f t="shared" ref="N32:N78" si="7">IF(H32=0,0,L32/H32)</f>
        <v>1.2273418173314805</v>
      </c>
      <c r="O32" s="11"/>
      <c r="P32" s="21" cm="1">
        <f t="array" ref="P32">SUM(OSRRefP22x_0)</f>
        <v>274227.66999999987</v>
      </c>
      <c r="Q32" s="21"/>
      <c r="R32" s="31">
        <f t="shared" ref="R32:R78" si="8">IF(P$12=0,0,P32/P$12)</f>
        <v>1.2271506307418987</v>
      </c>
      <c r="S32" s="21"/>
      <c r="T32" s="21" cm="1">
        <f t="array" ref="T32">SUM(OSRRefT22x_0)</f>
        <v>285559.93</v>
      </c>
      <c r="U32" s="21"/>
      <c r="V32" s="31">
        <f t="shared" ref="V32:V78" si="9">IF(T$12=0,0,T32/T$12)</f>
        <v>2.2371658871133464</v>
      </c>
      <c r="W32" s="5"/>
      <c r="X32" s="21">
        <f t="shared" ref="X32:X78" si="10">+P32-T32</f>
        <v>-11332.260000000126</v>
      </c>
      <c r="Y32" s="5"/>
      <c r="Z32" s="31">
        <f t="shared" ref="Z32:Z78" si="11">IF(T32=0,0,X32/T32)</f>
        <v>-3.9684349271272498E-2</v>
      </c>
    </row>
    <row r="33" spans="1:26" s="68" customFormat="1" ht="15" customHeight="1" outlineLevel="1" collapsed="1" x14ac:dyDescent="0.25">
      <c r="A33" s="26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4624.3500000000004</v>
      </c>
      <c r="E33" s="2"/>
      <c r="F33" s="6">
        <f t="shared" si="4"/>
        <v>0.16245997214078567</v>
      </c>
      <c r="G33" s="2"/>
      <c r="H33" s="2">
        <f>SUM(OSRRefH22_0x_0)</f>
        <v>9093.39</v>
      </c>
      <c r="I33" s="2"/>
      <c r="J33" s="6">
        <f t="shared" si="5"/>
        <v>0.70240218505452978</v>
      </c>
      <c r="K33" s="2"/>
      <c r="L33" s="2">
        <f t="shared" si="6"/>
        <v>-4469.0399999999991</v>
      </c>
      <c r="M33" s="2"/>
      <c r="N33" s="6">
        <f t="shared" si="7"/>
        <v>-0.49146028048945434</v>
      </c>
      <c r="O33" s="14"/>
      <c r="P33" s="2">
        <f>SUM(OSRRefP22_0x_0)</f>
        <v>77486.00999999998</v>
      </c>
      <c r="Q33" s="2"/>
      <c r="R33" s="6">
        <f t="shared" si="8"/>
        <v>0.34674475425901802</v>
      </c>
      <c r="S33" s="2"/>
      <c r="T33" s="2">
        <f>SUM(OSRRefT22_0x_0)</f>
        <v>103991.72000000002</v>
      </c>
      <c r="U33" s="2"/>
      <c r="V33" s="6">
        <f t="shared" si="9"/>
        <v>0.81470368943654936</v>
      </c>
      <c r="W33" s="2"/>
      <c r="X33" s="2">
        <f t="shared" si="10"/>
        <v>-26505.710000000036</v>
      </c>
      <c r="Y33" s="2"/>
      <c r="Z33" s="6">
        <f t="shared" si="11"/>
        <v>-0.25488288875306642</v>
      </c>
    </row>
    <row r="34" spans="1:26" s="69" customFormat="1" ht="15" hidden="1" customHeight="1" outlineLevel="2" x14ac:dyDescent="0.25">
      <c r="A34" s="25"/>
      <c r="B34" s="12" t="str">
        <f>CONCATENATE("          ","6111"," - ","F.I.C.A.")</f>
        <v xml:space="preserve">          6111 - F.I.C.A.</v>
      </c>
      <c r="C34" s="12"/>
      <c r="D34" s="7">
        <v>734.98</v>
      </c>
      <c r="E34" s="3"/>
      <c r="F34" s="8">
        <f t="shared" si="4"/>
        <v>2.582088949236858E-2</v>
      </c>
      <c r="G34" s="3"/>
      <c r="H34" s="7">
        <v>1240.76</v>
      </c>
      <c r="I34" s="3"/>
      <c r="J34" s="8">
        <f t="shared" si="5"/>
        <v>9.584022406696055E-2</v>
      </c>
      <c r="K34" s="3"/>
      <c r="L34" s="7">
        <f t="shared" si="6"/>
        <v>-505.78</v>
      </c>
      <c r="M34" s="3"/>
      <c r="N34" s="8">
        <f t="shared" si="7"/>
        <v>-0.40763725458589894</v>
      </c>
      <c r="O34" s="12"/>
      <c r="P34" s="7">
        <v>12927.72</v>
      </c>
      <c r="Q34" s="3"/>
      <c r="R34" s="8">
        <f t="shared" si="8"/>
        <v>5.7850689363530182E-2</v>
      </c>
      <c r="S34" s="3"/>
      <c r="T34" s="7">
        <v>14531.78</v>
      </c>
      <c r="U34" s="3"/>
      <c r="V34" s="8">
        <f t="shared" si="9"/>
        <v>0.11384651374244274</v>
      </c>
      <c r="W34" s="3"/>
      <c r="X34" s="7">
        <f t="shared" si="10"/>
        <v>-1604.0600000000013</v>
      </c>
      <c r="Y34" s="3"/>
      <c r="Z34" s="8">
        <f t="shared" si="11"/>
        <v>-0.11038289872266173</v>
      </c>
    </row>
    <row r="35" spans="1:26" s="69" customFormat="1" ht="15" hidden="1" customHeight="1" outlineLevel="2" x14ac:dyDescent="0.25">
      <c r="A35" s="25"/>
      <c r="B35" s="12" t="str">
        <f>CONCATENATE("          ","6112"," - ","COMPENSATION INSURANCE")</f>
        <v xml:space="preserve">          6112 - COMPENSATION INSURANCE</v>
      </c>
      <c r="C35" s="12"/>
      <c r="D35" s="7">
        <v>265.11</v>
      </c>
      <c r="E35" s="3"/>
      <c r="F35" s="8">
        <f t="shared" si="4"/>
        <v>9.3136901865653945E-3</v>
      </c>
      <c r="G35" s="3"/>
      <c r="H35" s="7">
        <v>475.52</v>
      </c>
      <c r="I35" s="3"/>
      <c r="J35" s="8">
        <f t="shared" si="5"/>
        <v>3.6730667774848548E-2</v>
      </c>
      <c r="K35" s="3"/>
      <c r="L35" s="7">
        <f t="shared" si="6"/>
        <v>-210.40999999999997</v>
      </c>
      <c r="M35" s="3"/>
      <c r="N35" s="8">
        <f t="shared" si="7"/>
        <v>-0.44248401749663524</v>
      </c>
      <c r="O35" s="12"/>
      <c r="P35" s="7">
        <v>2980.89</v>
      </c>
      <c r="Q35" s="3"/>
      <c r="R35" s="8">
        <f t="shared" si="8"/>
        <v>1.3339284995099947E-2</v>
      </c>
      <c r="S35" s="3"/>
      <c r="T35" s="7">
        <v>3812.67</v>
      </c>
      <c r="U35" s="3"/>
      <c r="V35" s="8">
        <f t="shared" si="9"/>
        <v>2.9869650349124414E-2</v>
      </c>
      <c r="W35" s="3"/>
      <c r="X35" s="7">
        <f t="shared" si="10"/>
        <v>-831.7800000000002</v>
      </c>
      <c r="Y35" s="3"/>
      <c r="Z35" s="8">
        <f t="shared" si="11"/>
        <v>-0.2181620753959824</v>
      </c>
    </row>
    <row r="36" spans="1:26" s="69" customFormat="1" ht="15" hidden="1" customHeight="1" outlineLevel="2" x14ac:dyDescent="0.25">
      <c r="A36" s="25"/>
      <c r="B36" s="12" t="str">
        <f>CONCATENATE("          ","6113"," - ","GROUP INSURANCE")</f>
        <v xml:space="preserve">          6113 - GROUP INSURANCE</v>
      </c>
      <c r="C36" s="12"/>
      <c r="D36" s="7">
        <v>1287</v>
      </c>
      <c r="E36" s="3"/>
      <c r="F36" s="8">
        <f t="shared" si="4"/>
        <v>4.5214134774658306E-2</v>
      </c>
      <c r="G36" s="3"/>
      <c r="H36" s="7">
        <v>3421.48</v>
      </c>
      <c r="I36" s="3"/>
      <c r="J36" s="8">
        <f t="shared" si="5"/>
        <v>0.26428592946309054</v>
      </c>
      <c r="K36" s="3"/>
      <c r="L36" s="7">
        <f t="shared" si="6"/>
        <v>-2134.48</v>
      </c>
      <c r="M36" s="3"/>
      <c r="N36" s="8">
        <f t="shared" si="7"/>
        <v>-0.62384699019137912</v>
      </c>
      <c r="O36" s="12"/>
      <c r="P36" s="7">
        <v>24321.02</v>
      </c>
      <c r="Q36" s="3"/>
      <c r="R36" s="8">
        <f t="shared" si="8"/>
        <v>0.1088349510218511</v>
      </c>
      <c r="S36" s="3"/>
      <c r="T36" s="7">
        <v>39478.730000000003</v>
      </c>
      <c r="U36" s="3"/>
      <c r="V36" s="8">
        <f t="shared" si="9"/>
        <v>0.30928872976876798</v>
      </c>
      <c r="W36" s="3"/>
      <c r="X36" s="7">
        <f t="shared" si="10"/>
        <v>-15157.710000000003</v>
      </c>
      <c r="Y36" s="3"/>
      <c r="Z36" s="8">
        <f t="shared" si="11"/>
        <v>-0.38394624143177863</v>
      </c>
    </row>
    <row r="37" spans="1:26" s="69" customFormat="1" ht="15" hidden="1" customHeight="1" outlineLevel="2" x14ac:dyDescent="0.25">
      <c r="A37" s="25"/>
      <c r="B37" s="12" t="str">
        <f>CONCATENATE("          ","6114"," - ","STATE UNEMPLOYMENT INSURANCE")</f>
        <v xml:space="preserve">          6114 - STATE UNEMPLOYMENT INSURANCE</v>
      </c>
      <c r="C37" s="12"/>
      <c r="D37" s="7">
        <v>46.57</v>
      </c>
      <c r="E37" s="3"/>
      <c r="F37" s="8">
        <f t="shared" si="4"/>
        <v>1.6360701293363148E-3</v>
      </c>
      <c r="G37" s="3"/>
      <c r="H37" s="7">
        <v>66.83</v>
      </c>
      <c r="I37" s="3"/>
      <c r="J37" s="8">
        <f t="shared" si="5"/>
        <v>5.1621604294101791E-3</v>
      </c>
      <c r="K37" s="3"/>
      <c r="L37" s="7">
        <f t="shared" si="6"/>
        <v>-20.259999999999998</v>
      </c>
      <c r="M37" s="3"/>
      <c r="N37" s="8">
        <f t="shared" si="7"/>
        <v>-0.30315726470148135</v>
      </c>
      <c r="O37" s="12"/>
      <c r="P37" s="7">
        <v>523.66999999999996</v>
      </c>
      <c r="Q37" s="3"/>
      <c r="R37" s="8">
        <f t="shared" si="8"/>
        <v>2.34338850926535E-3</v>
      </c>
      <c r="S37" s="3"/>
      <c r="T37" s="7">
        <v>535.82000000000005</v>
      </c>
      <c r="U37" s="3"/>
      <c r="V37" s="8">
        <f t="shared" si="9"/>
        <v>4.1977816202471872E-3</v>
      </c>
      <c r="W37" s="3"/>
      <c r="X37" s="7">
        <f t="shared" si="10"/>
        <v>-12.150000000000091</v>
      </c>
      <c r="Y37" s="3"/>
      <c r="Z37" s="8">
        <f t="shared" si="11"/>
        <v>-2.2675525362995202E-2</v>
      </c>
    </row>
    <row r="38" spans="1:26" s="69" customFormat="1" ht="15" hidden="1" customHeight="1" outlineLevel="2" x14ac:dyDescent="0.25">
      <c r="A38" s="25"/>
      <c r="B38" s="12" t="str">
        <f>CONCATENATE("          ","6115"," - ","P.E.R.S.")</f>
        <v xml:space="preserve">          6115 - P.E.R.S.</v>
      </c>
      <c r="C38" s="12"/>
      <c r="D38" s="7">
        <v>793.49</v>
      </c>
      <c r="E38" s="3"/>
      <c r="F38" s="8">
        <f t="shared" si="4"/>
        <v>2.7876428750849742E-2</v>
      </c>
      <c r="G38" s="3"/>
      <c r="H38" s="7">
        <v>1614.41</v>
      </c>
      <c r="I38" s="3"/>
      <c r="J38" s="8">
        <f t="shared" si="5"/>
        <v>0.1247021310615605</v>
      </c>
      <c r="K38" s="3"/>
      <c r="L38" s="7">
        <f t="shared" si="6"/>
        <v>-820.92000000000007</v>
      </c>
      <c r="M38" s="3"/>
      <c r="N38" s="8">
        <f t="shared" si="7"/>
        <v>-0.50849536363129566</v>
      </c>
      <c r="O38" s="12"/>
      <c r="P38" s="7">
        <v>16019.36</v>
      </c>
      <c r="Q38" s="3"/>
      <c r="R38" s="8">
        <f t="shared" si="8"/>
        <v>7.1685573261376409E-2</v>
      </c>
      <c r="S38" s="3"/>
      <c r="T38" s="7">
        <v>18925.89</v>
      </c>
      <c r="U38" s="3"/>
      <c r="V38" s="8">
        <f t="shared" si="9"/>
        <v>0.14827134707330827</v>
      </c>
      <c r="W38" s="3"/>
      <c r="X38" s="7">
        <f t="shared" si="10"/>
        <v>-2906.5299999999988</v>
      </c>
      <c r="Y38" s="3"/>
      <c r="Z38" s="8">
        <f t="shared" si="11"/>
        <v>-0.15357428369286721</v>
      </c>
    </row>
    <row r="39" spans="1:26" s="69" customFormat="1" ht="15" hidden="1" customHeight="1" outlineLevel="2" x14ac:dyDescent="0.25">
      <c r="A39" s="25"/>
      <c r="B39" s="12" t="str">
        <f>CONCATENATE("          ","6118"," - ","VACATION")</f>
        <v xml:space="preserve">          6118 - VACATION</v>
      </c>
      <c r="C39" s="12"/>
      <c r="D39" s="7">
        <v>656.44</v>
      </c>
      <c r="E39" s="3"/>
      <c r="F39" s="8">
        <f t="shared" si="4"/>
        <v>2.306166793432533E-2</v>
      </c>
      <c r="G39" s="3"/>
      <c r="H39" s="7">
        <v>1095.78</v>
      </c>
      <c r="I39" s="3"/>
      <c r="J39" s="8">
        <f t="shared" si="5"/>
        <v>8.4641510629045125E-2</v>
      </c>
      <c r="K39" s="3"/>
      <c r="L39" s="7">
        <f t="shared" si="6"/>
        <v>-439.33999999999992</v>
      </c>
      <c r="M39" s="3"/>
      <c r="N39" s="8">
        <f t="shared" si="7"/>
        <v>-0.40093814451806015</v>
      </c>
      <c r="O39" s="12"/>
      <c r="P39" s="7">
        <v>9158.33</v>
      </c>
      <c r="Q39" s="3"/>
      <c r="R39" s="8">
        <f t="shared" si="8"/>
        <v>4.0982919178223186E-2</v>
      </c>
      <c r="S39" s="3"/>
      <c r="T39" s="7">
        <v>14235.66</v>
      </c>
      <c r="U39" s="3"/>
      <c r="V39" s="8">
        <f t="shared" si="9"/>
        <v>0.11152661696108408</v>
      </c>
      <c r="W39" s="3"/>
      <c r="X39" s="7">
        <f t="shared" si="10"/>
        <v>-5077.33</v>
      </c>
      <c r="Y39" s="3"/>
      <c r="Z39" s="8">
        <f t="shared" si="11"/>
        <v>-0.35666277503115418</v>
      </c>
    </row>
    <row r="40" spans="1:26" s="69" customFormat="1" ht="15" hidden="1" customHeight="1" outlineLevel="2" x14ac:dyDescent="0.25">
      <c r="A40" s="25"/>
      <c r="B40" s="12" t="str">
        <f>CONCATENATE("          ","6119"," - ","SICK LEAVE")</f>
        <v xml:space="preserve">          6119 - SICK LEAVE</v>
      </c>
      <c r="C40" s="12"/>
      <c r="D40" s="7">
        <v>411.06</v>
      </c>
      <c r="E40" s="3"/>
      <c r="F40" s="8">
        <f t="shared" si="4"/>
        <v>1.4441120621966622E-2</v>
      </c>
      <c r="G40" s="3"/>
      <c r="H40" s="7">
        <v>738.5</v>
      </c>
      <c r="I40" s="3"/>
      <c r="J40" s="8">
        <f t="shared" si="5"/>
        <v>5.7044074175062361E-2</v>
      </c>
      <c r="K40" s="3"/>
      <c r="L40" s="7">
        <f t="shared" si="6"/>
        <v>-327.44</v>
      </c>
      <c r="M40" s="3"/>
      <c r="N40" s="8">
        <f t="shared" si="7"/>
        <v>-0.443385240352065</v>
      </c>
      <c r="O40" s="12"/>
      <c r="P40" s="7">
        <v>6814.43</v>
      </c>
      <c r="Q40" s="3"/>
      <c r="R40" s="8">
        <f t="shared" si="8"/>
        <v>3.0494122174638764E-2</v>
      </c>
      <c r="S40" s="3"/>
      <c r="T40" s="7">
        <v>8756.02</v>
      </c>
      <c r="U40" s="3"/>
      <c r="V40" s="8">
        <f t="shared" si="9"/>
        <v>6.8597401781413117E-2</v>
      </c>
      <c r="W40" s="3"/>
      <c r="X40" s="7">
        <f t="shared" si="10"/>
        <v>-1941.5900000000001</v>
      </c>
      <c r="Y40" s="3"/>
      <c r="Z40" s="8">
        <f t="shared" si="11"/>
        <v>-0.2217434405129271</v>
      </c>
    </row>
    <row r="41" spans="1:26" s="69" customFormat="1" ht="15" hidden="1" customHeight="1" outlineLevel="2" x14ac:dyDescent="0.25">
      <c r="A41" s="25"/>
      <c r="B41" s="12" t="str">
        <f>CONCATENATE("          ","6156"," - ","EMPLOYEE MEALS")</f>
        <v xml:space="preserve">          6156 - EMPLOYEE MEALS</v>
      </c>
      <c r="C41" s="12"/>
      <c r="D41" s="7">
        <v>429.7</v>
      </c>
      <c r="E41" s="3"/>
      <c r="F41" s="8">
        <f t="shared" si="4"/>
        <v>1.5095970250715364E-2</v>
      </c>
      <c r="G41" s="3"/>
      <c r="H41" s="7">
        <v>440.11</v>
      </c>
      <c r="I41" s="3"/>
      <c r="J41" s="8">
        <f t="shared" si="5"/>
        <v>3.3995487454552061E-2</v>
      </c>
      <c r="K41" s="3"/>
      <c r="L41" s="7">
        <f t="shared" si="6"/>
        <v>-10.410000000000025</v>
      </c>
      <c r="M41" s="3"/>
      <c r="N41" s="8">
        <f t="shared" si="7"/>
        <v>-2.3653177614687295E-2</v>
      </c>
      <c r="O41" s="12"/>
      <c r="P41" s="7">
        <v>4740.59</v>
      </c>
      <c r="Q41" s="3"/>
      <c r="R41" s="8">
        <f t="shared" si="8"/>
        <v>2.1213825755033184E-2</v>
      </c>
      <c r="S41" s="3"/>
      <c r="T41" s="7">
        <v>3715.15</v>
      </c>
      <c r="U41" s="3"/>
      <c r="V41" s="8">
        <f t="shared" si="9"/>
        <v>2.9105648140161505E-2</v>
      </c>
      <c r="W41" s="3"/>
      <c r="X41" s="7">
        <f t="shared" si="10"/>
        <v>1025.44</v>
      </c>
      <c r="Y41" s="3"/>
      <c r="Z41" s="8">
        <f t="shared" si="11"/>
        <v>0.27601577325276233</v>
      </c>
    </row>
    <row r="42" spans="1:26" s="68" customFormat="1" ht="15" customHeight="1" outlineLevel="1" collapsed="1" x14ac:dyDescent="0.25">
      <c r="A42" s="26"/>
      <c r="B42" s="14" t="str">
        <f>CONCATENATE("     ","*Payroll                                          ")</f>
        <v xml:space="preserve">     *Payroll                                          </v>
      </c>
      <c r="C42" s="14"/>
      <c r="D42" s="2">
        <f>SUM(OSRRefD22_1x_0)</f>
        <v>10514.23</v>
      </c>
      <c r="E42" s="2"/>
      <c r="F42" s="6">
        <f t="shared" si="4"/>
        <v>0.36937980751496158</v>
      </c>
      <c r="G42" s="2"/>
      <c r="H42" s="2">
        <f>SUM(OSRRefH22_1x_0)</f>
        <v>15332.29</v>
      </c>
      <c r="I42" s="2"/>
      <c r="J42" s="6">
        <f t="shared" si="5"/>
        <v>1.184314540329813</v>
      </c>
      <c r="K42" s="2"/>
      <c r="L42" s="2">
        <f t="shared" si="6"/>
        <v>-4818.0600000000013</v>
      </c>
      <c r="M42" s="2"/>
      <c r="N42" s="6">
        <f t="shared" si="7"/>
        <v>-0.31424268651323456</v>
      </c>
      <c r="O42" s="14"/>
      <c r="P42" s="2">
        <f>SUM(OSRRefP22_1x_0)</f>
        <v>152170.49</v>
      </c>
      <c r="Q42" s="2"/>
      <c r="R42" s="6">
        <f t="shared" si="8"/>
        <v>0.68095284762403396</v>
      </c>
      <c r="S42" s="2"/>
      <c r="T42" s="2">
        <f>SUM(OSRRefT22_1x_0)</f>
        <v>170185.91999999998</v>
      </c>
      <c r="U42" s="2"/>
      <c r="V42" s="6">
        <f t="shared" si="9"/>
        <v>1.3332897745527568</v>
      </c>
      <c r="W42" s="2"/>
      <c r="X42" s="2">
        <f t="shared" si="10"/>
        <v>-18015.429999999993</v>
      </c>
      <c r="Y42" s="2"/>
      <c r="Z42" s="6">
        <f t="shared" si="11"/>
        <v>-0.10585734707077997</v>
      </c>
    </row>
    <row r="43" spans="1:26" s="69" customFormat="1" ht="15" hidden="1" customHeight="1" outlineLevel="2" x14ac:dyDescent="0.25">
      <c r="A43" s="25"/>
      <c r="B43" s="12" t="str">
        <f>CONCATENATE("          ","6002"," - ","STAFF SALARIES")</f>
        <v xml:space="preserve">          6002 - STAFF SALARIES</v>
      </c>
      <c r="C43" s="12"/>
      <c r="D43" s="7">
        <v>7765.33</v>
      </c>
      <c r="E43" s="3"/>
      <c r="F43" s="8">
        <f t="shared" si="4"/>
        <v>0.27280705298344782</v>
      </c>
      <c r="G43" s="3"/>
      <c r="H43" s="7">
        <v>14617.17</v>
      </c>
      <c r="I43" s="3"/>
      <c r="J43" s="8">
        <f t="shared" si="5"/>
        <v>1.1290764112518568</v>
      </c>
      <c r="K43" s="3"/>
      <c r="L43" s="7">
        <f t="shared" si="6"/>
        <v>-6851.84</v>
      </c>
      <c r="M43" s="3"/>
      <c r="N43" s="8">
        <f t="shared" si="7"/>
        <v>-0.46875284340265594</v>
      </c>
      <c r="O43" s="12"/>
      <c r="P43" s="7">
        <v>121429.14</v>
      </c>
      <c r="Q43" s="3"/>
      <c r="R43" s="8">
        <f t="shared" si="8"/>
        <v>0.54338734578259873</v>
      </c>
      <c r="S43" s="3"/>
      <c r="T43" s="7">
        <v>162474.29999999999</v>
      </c>
      <c r="U43" s="3"/>
      <c r="V43" s="8">
        <f t="shared" si="9"/>
        <v>1.2728745293242647</v>
      </c>
      <c r="W43" s="3"/>
      <c r="X43" s="7">
        <f t="shared" si="10"/>
        <v>-41045.159999999989</v>
      </c>
      <c r="Y43" s="3"/>
      <c r="Z43" s="8">
        <f t="shared" si="11"/>
        <v>-0.25262555370295481</v>
      </c>
    </row>
    <row r="44" spans="1:26" s="69" customFormat="1" ht="15" hidden="1" customHeight="1" outlineLevel="2" x14ac:dyDescent="0.25">
      <c r="A44" s="25"/>
      <c r="B44" s="12" t="str">
        <f>CONCATENATE("          ","6005"," - ","TEMPORARY WAGES-HOURLY")</f>
        <v xml:space="preserve">          6005 - TEMPORARY WAGES-HOURLY</v>
      </c>
      <c r="C44" s="12"/>
      <c r="D44" s="7"/>
      <c r="E44" s="3"/>
      <c r="F44" s="8">
        <f t="shared" si="4"/>
        <v>0</v>
      </c>
      <c r="G44" s="3"/>
      <c r="H44" s="7"/>
      <c r="I44" s="3"/>
      <c r="J44" s="8">
        <f t="shared" si="5"/>
        <v>0</v>
      </c>
      <c r="K44" s="3"/>
      <c r="L44" s="7">
        <f t="shared" si="6"/>
        <v>0</v>
      </c>
      <c r="M44" s="3"/>
      <c r="N44" s="8">
        <f t="shared" si="7"/>
        <v>0</v>
      </c>
      <c r="O44" s="12"/>
      <c r="P44" s="7"/>
      <c r="Q44" s="3"/>
      <c r="R44" s="8">
        <f t="shared" si="8"/>
        <v>0</v>
      </c>
      <c r="S44" s="3"/>
      <c r="T44" s="7">
        <v>383.25</v>
      </c>
      <c r="U44" s="3"/>
      <c r="V44" s="8">
        <f t="shared" si="9"/>
        <v>3.0025004776972389E-3</v>
      </c>
      <c r="W44" s="3"/>
      <c r="X44" s="7">
        <f t="shared" si="10"/>
        <v>-383.25</v>
      </c>
      <c r="Y44" s="3"/>
      <c r="Z44" s="8">
        <f t="shared" si="11"/>
        <v>-1</v>
      </c>
    </row>
    <row r="45" spans="1:26" s="69" customFormat="1" ht="15" hidden="1" customHeight="1" outlineLevel="2" x14ac:dyDescent="0.25">
      <c r="A45" s="25"/>
      <c r="B45" s="12" t="str">
        <f>CONCATENATE("          ","6007"," - ","STUDENT HOURLY")</f>
        <v xml:space="preserve">          6007 - STUDENT HOURLY</v>
      </c>
      <c r="C45" s="12"/>
      <c r="D45" s="7">
        <v>2482.65</v>
      </c>
      <c r="E45" s="3"/>
      <c r="F45" s="8">
        <f t="shared" si="4"/>
        <v>8.7219014528597857E-2</v>
      </c>
      <c r="G45" s="3"/>
      <c r="H45" s="7">
        <v>715.12</v>
      </c>
      <c r="I45" s="3"/>
      <c r="J45" s="8">
        <f t="shared" si="5"/>
        <v>5.5238129077956118E-2</v>
      </c>
      <c r="K45" s="3"/>
      <c r="L45" s="7">
        <f t="shared" si="6"/>
        <v>1767.5300000000002</v>
      </c>
      <c r="M45" s="3"/>
      <c r="N45" s="8">
        <f t="shared" si="7"/>
        <v>2.4716551068352168</v>
      </c>
      <c r="O45" s="12"/>
      <c r="P45" s="7">
        <v>29722.85</v>
      </c>
      <c r="Q45" s="3"/>
      <c r="R45" s="8">
        <f t="shared" si="8"/>
        <v>0.13300778190963319</v>
      </c>
      <c r="S45" s="3"/>
      <c r="T45" s="7">
        <v>7328.37</v>
      </c>
      <c r="U45" s="3"/>
      <c r="V45" s="8">
        <f t="shared" si="9"/>
        <v>5.7412744750794817E-2</v>
      </c>
      <c r="W45" s="3"/>
      <c r="X45" s="7">
        <f t="shared" si="10"/>
        <v>22394.48</v>
      </c>
      <c r="Y45" s="3"/>
      <c r="Z45" s="8">
        <f t="shared" si="11"/>
        <v>3.0558609895515647</v>
      </c>
    </row>
    <row r="46" spans="1:26" s="69" customFormat="1" ht="15" hidden="1" customHeight="1" outlineLevel="2" x14ac:dyDescent="0.25">
      <c r="A46" s="25"/>
      <c r="B46" s="12" t="str">
        <f>CONCATENATE("          ","6008"," - ","STUDENT HOURLY-FICA EXEMPT")</f>
        <v xml:space="preserve">          6008 - STUDENT HOURLY-FICA EXEMPT</v>
      </c>
      <c r="C46" s="12"/>
      <c r="D46" s="7">
        <v>266.25</v>
      </c>
      <c r="E46" s="3"/>
      <c r="F46" s="8">
        <f t="shared" si="4"/>
        <v>9.3537400029159081E-3</v>
      </c>
      <c r="G46" s="3"/>
      <c r="H46" s="7"/>
      <c r="I46" s="3"/>
      <c r="J46" s="8">
        <f t="shared" si="5"/>
        <v>0</v>
      </c>
      <c r="K46" s="3"/>
      <c r="L46" s="7">
        <f t="shared" si="6"/>
        <v>266.25</v>
      </c>
      <c r="M46" s="3"/>
      <c r="N46" s="8">
        <f t="shared" si="7"/>
        <v>0</v>
      </c>
      <c r="O46" s="12"/>
      <c r="P46" s="7">
        <v>1018.5</v>
      </c>
      <c r="Q46" s="3"/>
      <c r="R46" s="8">
        <f t="shared" si="8"/>
        <v>4.5577199318020114E-3</v>
      </c>
      <c r="S46" s="3"/>
      <c r="T46" s="7"/>
      <c r="U46" s="3"/>
      <c r="V46" s="8">
        <f t="shared" si="9"/>
        <v>0</v>
      </c>
      <c r="W46" s="3"/>
      <c r="X46" s="7">
        <f t="shared" si="10"/>
        <v>1018.5</v>
      </c>
      <c r="Y46" s="3"/>
      <c r="Z46" s="8">
        <f t="shared" si="11"/>
        <v>0</v>
      </c>
    </row>
    <row r="47" spans="1:26" s="68" customFormat="1" ht="15" customHeight="1" outlineLevel="1" collapsed="1" x14ac:dyDescent="0.25">
      <c r="A47" s="26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0</v>
      </c>
      <c r="E47" s="2"/>
      <c r="F47" s="6">
        <f t="shared" si="4"/>
        <v>0</v>
      </c>
      <c r="G47" s="2"/>
      <c r="H47" s="2">
        <f>SUM(OSRRefH22_2x_0)</f>
        <v>0</v>
      </c>
      <c r="I47" s="2"/>
      <c r="J47" s="6">
        <f t="shared" si="5"/>
        <v>0</v>
      </c>
      <c r="K47" s="2"/>
      <c r="L47" s="2">
        <f t="shared" si="6"/>
        <v>0</v>
      </c>
      <c r="M47" s="2"/>
      <c r="N47" s="6">
        <f t="shared" si="7"/>
        <v>0</v>
      </c>
      <c r="O47" s="14"/>
      <c r="P47" s="2">
        <f>SUM(OSRRefP22_2x_0)</f>
        <v>151.85</v>
      </c>
      <c r="Q47" s="2"/>
      <c r="R47" s="6">
        <f t="shared" si="8"/>
        <v>6.7951867613562627E-4</v>
      </c>
      <c r="S47" s="2"/>
      <c r="T47" s="2">
        <f>SUM(OSRRefT22_2x_0)</f>
        <v>0</v>
      </c>
      <c r="U47" s="2"/>
      <c r="V47" s="6">
        <f t="shared" si="9"/>
        <v>0</v>
      </c>
      <c r="W47" s="2"/>
      <c r="X47" s="2">
        <f t="shared" si="10"/>
        <v>151.85</v>
      </c>
      <c r="Y47" s="2"/>
      <c r="Z47" s="6">
        <f t="shared" si="11"/>
        <v>0</v>
      </c>
    </row>
    <row r="48" spans="1:26" s="69" customFormat="1" ht="15" hidden="1" customHeight="1" outlineLevel="2" x14ac:dyDescent="0.25">
      <c r="A48" s="25"/>
      <c r="B48" s="12" t="str">
        <f>CONCATENATE("          ","6362"," - ","ADVERTISING EXPENSE")</f>
        <v xml:space="preserve">          6362 - ADVERTISING EXPENSE</v>
      </c>
      <c r="C48" s="12"/>
      <c r="D48" s="7"/>
      <c r="E48" s="3"/>
      <c r="F48" s="8">
        <f t="shared" si="4"/>
        <v>0</v>
      </c>
      <c r="G48" s="3"/>
      <c r="H48" s="7"/>
      <c r="I48" s="3"/>
      <c r="J48" s="8">
        <f t="shared" si="5"/>
        <v>0</v>
      </c>
      <c r="K48" s="3"/>
      <c r="L48" s="7">
        <f t="shared" si="6"/>
        <v>0</v>
      </c>
      <c r="M48" s="3"/>
      <c r="N48" s="8">
        <f t="shared" si="7"/>
        <v>0</v>
      </c>
      <c r="O48" s="12"/>
      <c r="P48" s="7">
        <v>151.85</v>
      </c>
      <c r="Q48" s="3"/>
      <c r="R48" s="8">
        <f t="shared" si="8"/>
        <v>6.7951867613562627E-4</v>
      </c>
      <c r="S48" s="3"/>
      <c r="T48" s="7"/>
      <c r="U48" s="3"/>
      <c r="V48" s="8">
        <f t="shared" si="9"/>
        <v>0</v>
      </c>
      <c r="W48" s="3"/>
      <c r="X48" s="7">
        <f t="shared" si="10"/>
        <v>151.85</v>
      </c>
      <c r="Y48" s="3"/>
      <c r="Z48" s="8">
        <f t="shared" si="11"/>
        <v>0</v>
      </c>
    </row>
    <row r="49" spans="1:26" s="68" customFormat="1" ht="15" customHeight="1" outlineLevel="1" collapsed="1" x14ac:dyDescent="0.25">
      <c r="A49" s="26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5.9681252645834909E-3</v>
      </c>
      <c r="G49" s="2"/>
      <c r="H49" s="2">
        <f>SUM(OSRRefH22_3x_0)</f>
        <v>169.88</v>
      </c>
      <c r="I49" s="2"/>
      <c r="J49" s="6">
        <f t="shared" si="5"/>
        <v>1.3122068139281778E-2</v>
      </c>
      <c r="K49" s="2"/>
      <c r="L49" s="2">
        <f t="shared" si="6"/>
        <v>0</v>
      </c>
      <c r="M49" s="2"/>
      <c r="N49" s="6">
        <f t="shared" si="7"/>
        <v>0</v>
      </c>
      <c r="O49" s="14"/>
      <c r="P49" s="2">
        <f>SUM(OSRRefP22_3x_0)</f>
        <v>1868.68</v>
      </c>
      <c r="Q49" s="2"/>
      <c r="R49" s="6">
        <f t="shared" si="8"/>
        <v>8.3622190301028791E-3</v>
      </c>
      <c r="S49" s="2"/>
      <c r="T49" s="2">
        <f>SUM(OSRRefT22_3x_0)</f>
        <v>1868.68</v>
      </c>
      <c r="U49" s="2"/>
      <c r="V49" s="6">
        <f t="shared" si="9"/>
        <v>1.463982411653823E-2</v>
      </c>
      <c r="W49" s="2"/>
      <c r="X49" s="2">
        <f t="shared" si="10"/>
        <v>0</v>
      </c>
      <c r="Y49" s="2"/>
      <c r="Z49" s="6">
        <f t="shared" si="11"/>
        <v>0</v>
      </c>
    </row>
    <row r="50" spans="1:26" s="69" customFormat="1" ht="15" hidden="1" customHeight="1" outlineLevel="2" x14ac:dyDescent="0.25">
      <c r="A50" s="25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169.88</v>
      </c>
      <c r="E50" s="3"/>
      <c r="F50" s="8">
        <f t="shared" si="4"/>
        <v>5.9681252645834909E-3</v>
      </c>
      <c r="G50" s="3"/>
      <c r="H50" s="7">
        <v>169.88</v>
      </c>
      <c r="I50" s="3"/>
      <c r="J50" s="8">
        <f t="shared" si="5"/>
        <v>1.3122068139281778E-2</v>
      </c>
      <c r="K50" s="3"/>
      <c r="L50" s="7">
        <f t="shared" si="6"/>
        <v>0</v>
      </c>
      <c r="M50" s="3"/>
      <c r="N50" s="8">
        <f t="shared" si="7"/>
        <v>0</v>
      </c>
      <c r="O50" s="12"/>
      <c r="P50" s="7">
        <v>1868.68</v>
      </c>
      <c r="Q50" s="3"/>
      <c r="R50" s="8">
        <f t="shared" si="8"/>
        <v>8.3622190301028791E-3</v>
      </c>
      <c r="S50" s="3"/>
      <c r="T50" s="7">
        <v>1868.68</v>
      </c>
      <c r="U50" s="3"/>
      <c r="V50" s="8">
        <f t="shared" si="9"/>
        <v>1.463982411653823E-2</v>
      </c>
      <c r="W50" s="3"/>
      <c r="X50" s="7">
        <f t="shared" si="10"/>
        <v>0</v>
      </c>
      <c r="Y50" s="3"/>
      <c r="Z50" s="8">
        <f t="shared" si="11"/>
        <v>0</v>
      </c>
    </row>
    <row r="51" spans="1:26" s="68" customFormat="1" ht="15" customHeight="1" outlineLevel="1" collapsed="1" x14ac:dyDescent="0.25">
      <c r="A51" s="26"/>
      <c r="B51" s="14" t="str">
        <f>CONCATENATE("     ","Discounts and Markdowns                           ")</f>
        <v xml:space="preserve">     Discounts and Markdowns                           </v>
      </c>
      <c r="C51" s="14"/>
      <c r="D51" s="2">
        <f>SUM(OSRRefD22_4x_0)</f>
        <v>0</v>
      </c>
      <c r="E51" s="2"/>
      <c r="F51" s="6">
        <f t="shared" si="4"/>
        <v>0</v>
      </c>
      <c r="G51" s="2"/>
      <c r="H51" s="2">
        <f>SUM(OSRRefH22_4x_0)</f>
        <v>0</v>
      </c>
      <c r="I51" s="2"/>
      <c r="J51" s="6">
        <f t="shared" si="5"/>
        <v>0</v>
      </c>
      <c r="K51" s="2"/>
      <c r="L51" s="2">
        <f t="shared" si="6"/>
        <v>0</v>
      </c>
      <c r="M51" s="2"/>
      <c r="N51" s="6">
        <f t="shared" si="7"/>
        <v>0</v>
      </c>
      <c r="O51" s="14"/>
      <c r="P51" s="2">
        <f>SUM(OSRRefP22_4x_0)</f>
        <v>0</v>
      </c>
      <c r="Q51" s="2"/>
      <c r="R51" s="6">
        <f t="shared" si="8"/>
        <v>0</v>
      </c>
      <c r="S51" s="2"/>
      <c r="T51" s="2">
        <f>SUM(OSRRefT22_4x_0)</f>
        <v>0</v>
      </c>
      <c r="U51" s="2"/>
      <c r="V51" s="6">
        <f t="shared" si="9"/>
        <v>0</v>
      </c>
      <c r="W51" s="2"/>
      <c r="X51" s="2">
        <f t="shared" si="10"/>
        <v>0</v>
      </c>
      <c r="Y51" s="2"/>
      <c r="Z51" s="6">
        <f t="shared" si="11"/>
        <v>0</v>
      </c>
    </row>
    <row r="52" spans="1:26" s="69" customFormat="1" ht="15" hidden="1" customHeight="1" outlineLevel="2" x14ac:dyDescent="0.25">
      <c r="A52" s="25"/>
      <c r="B52" s="12" t="str">
        <f>CONCATENATE("          ","6382"," - ","DISCOUNTS/MARK DOWNS")</f>
        <v xml:space="preserve">          6382 - DISCOUNTS/MARK DOWNS</v>
      </c>
      <c r="C52" s="12"/>
      <c r="D52" s="7"/>
      <c r="E52" s="3"/>
      <c r="F52" s="8">
        <f t="shared" si="4"/>
        <v>0</v>
      </c>
      <c r="G52" s="3"/>
      <c r="H52" s="7">
        <v>0</v>
      </c>
      <c r="I52" s="3"/>
      <c r="J52" s="8">
        <f t="shared" si="5"/>
        <v>0</v>
      </c>
      <c r="K52" s="3"/>
      <c r="L52" s="7">
        <f t="shared" si="6"/>
        <v>0</v>
      </c>
      <c r="M52" s="3"/>
      <c r="N52" s="8">
        <f t="shared" si="7"/>
        <v>0</v>
      </c>
      <c r="O52" s="12"/>
      <c r="P52" s="7"/>
      <c r="Q52" s="3"/>
      <c r="R52" s="8">
        <f t="shared" si="8"/>
        <v>0</v>
      </c>
      <c r="S52" s="3"/>
      <c r="T52" s="7">
        <v>0</v>
      </c>
      <c r="U52" s="3"/>
      <c r="V52" s="8">
        <f t="shared" si="9"/>
        <v>0</v>
      </c>
      <c r="W52" s="3"/>
      <c r="X52" s="7">
        <f t="shared" si="10"/>
        <v>0</v>
      </c>
      <c r="Y52" s="3"/>
      <c r="Z52" s="8">
        <f t="shared" si="11"/>
        <v>0</v>
      </c>
    </row>
    <row r="53" spans="1:26" s="68" customFormat="1" ht="15" customHeight="1" outlineLevel="1" collapsed="1" x14ac:dyDescent="0.25">
      <c r="A53" s="26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SUM(OSRRefD22_5x_0)</f>
        <v>1205.6400000000001</v>
      </c>
      <c r="E53" s="2"/>
      <c r="F53" s="6">
        <f t="shared" si="4"/>
        <v>4.2355842618274311E-2</v>
      </c>
      <c r="G53" s="2"/>
      <c r="H53" s="2">
        <f>SUM(OSRRefH22_5x_0)</f>
        <v>1205.6400000000001</v>
      </c>
      <c r="I53" s="2"/>
      <c r="J53" s="6">
        <f t="shared" si="5"/>
        <v>9.3127444263266329E-2</v>
      </c>
      <c r="K53" s="2"/>
      <c r="L53" s="2">
        <f t="shared" si="6"/>
        <v>0</v>
      </c>
      <c r="M53" s="2"/>
      <c r="N53" s="6">
        <f t="shared" si="7"/>
        <v>0</v>
      </c>
      <c r="O53" s="14"/>
      <c r="P53" s="2">
        <f>SUM(OSRRefP22_5x_0)</f>
        <v>13353.3</v>
      </c>
      <c r="Q53" s="2"/>
      <c r="R53" s="6">
        <f t="shared" si="8"/>
        <v>5.9755131630173576E-2</v>
      </c>
      <c r="S53" s="2"/>
      <c r="T53" s="2">
        <f>SUM(OSRRefT22_5x_0)</f>
        <v>13262.04</v>
      </c>
      <c r="U53" s="2"/>
      <c r="V53" s="6">
        <f t="shared" si="9"/>
        <v>0.1038989730860793</v>
      </c>
      <c r="W53" s="2"/>
      <c r="X53" s="2">
        <f t="shared" si="10"/>
        <v>91.259999999998399</v>
      </c>
      <c r="Y53" s="2"/>
      <c r="Z53" s="6">
        <f t="shared" si="11"/>
        <v>6.8812942805178082E-3</v>
      </c>
    </row>
    <row r="54" spans="1:26" s="69" customFormat="1" ht="15" hidden="1" customHeight="1" outlineLevel="2" x14ac:dyDescent="0.25">
      <c r="A54" s="25"/>
      <c r="B54" s="12" t="str">
        <f>CONCATENATE("          ","6351"," - ","EQUIPMENT RENTAL")</f>
        <v xml:space="preserve">          6351 - EQUIPMENT RENTAL</v>
      </c>
      <c r="C54" s="12"/>
      <c r="D54" s="7">
        <v>1205.6400000000001</v>
      </c>
      <c r="E54" s="3"/>
      <c r="F54" s="8">
        <f t="shared" si="4"/>
        <v>4.2355842618274311E-2</v>
      </c>
      <c r="G54" s="3"/>
      <c r="H54" s="7">
        <v>1205.6400000000001</v>
      </c>
      <c r="I54" s="3"/>
      <c r="J54" s="8">
        <f t="shared" si="5"/>
        <v>9.3127444263266329E-2</v>
      </c>
      <c r="K54" s="3"/>
      <c r="L54" s="7">
        <f t="shared" si="6"/>
        <v>0</v>
      </c>
      <c r="M54" s="3"/>
      <c r="N54" s="8">
        <f t="shared" si="7"/>
        <v>0</v>
      </c>
      <c r="O54" s="12"/>
      <c r="P54" s="7">
        <v>13353.3</v>
      </c>
      <c r="Q54" s="3"/>
      <c r="R54" s="8">
        <f t="shared" si="8"/>
        <v>5.9755131630173576E-2</v>
      </c>
      <c r="S54" s="3"/>
      <c r="T54" s="7">
        <v>13262.04</v>
      </c>
      <c r="U54" s="3"/>
      <c r="V54" s="8">
        <f t="shared" si="9"/>
        <v>0.1038989730860793</v>
      </c>
      <c r="W54" s="3"/>
      <c r="X54" s="7">
        <f t="shared" si="10"/>
        <v>91.259999999998399</v>
      </c>
      <c r="Y54" s="3"/>
      <c r="Z54" s="8">
        <f t="shared" si="11"/>
        <v>6.8812942805178082E-3</v>
      </c>
    </row>
    <row r="55" spans="1:26" s="68" customFormat="1" ht="15" customHeight="1" outlineLevel="1" collapsed="1" x14ac:dyDescent="0.25">
      <c r="A55" s="26"/>
      <c r="B55" s="14" t="str">
        <f>CONCATENATE("     ","Freight out/Postage                               ")</f>
        <v xml:space="preserve">     Freight out/Postage                               </v>
      </c>
      <c r="C55" s="14"/>
      <c r="D55" s="2">
        <f>SUM(OSRRefD22_6x_0)</f>
        <v>-2070.3500000000004</v>
      </c>
      <c r="E55" s="2"/>
      <c r="F55" s="6">
        <f t="shared" si="4"/>
        <v>-7.2734330948495601E-2</v>
      </c>
      <c r="G55" s="2"/>
      <c r="H55" s="2">
        <f>SUM(OSRRefH22_6x_0)</f>
        <v>-23795.970000000005</v>
      </c>
      <c r="I55" s="2"/>
      <c r="J55" s="6">
        <f t="shared" si="5"/>
        <v>-1.8380759346615556</v>
      </c>
      <c r="K55" s="2"/>
      <c r="L55" s="2">
        <f t="shared" si="6"/>
        <v>21725.620000000003</v>
      </c>
      <c r="M55" s="2"/>
      <c r="N55" s="6">
        <f t="shared" si="7"/>
        <v>-0.9129957719731534</v>
      </c>
      <c r="O55" s="14"/>
      <c r="P55" s="2">
        <f>SUM(OSRRefP22_6x_0)</f>
        <v>-70704.59</v>
      </c>
      <c r="Q55" s="2"/>
      <c r="R55" s="6">
        <f t="shared" si="8"/>
        <v>-0.3163983496444665</v>
      </c>
      <c r="S55" s="2"/>
      <c r="T55" s="2">
        <f>SUM(OSRRefT22_6x_0)</f>
        <v>-96469.670000000013</v>
      </c>
      <c r="U55" s="2"/>
      <c r="V55" s="6">
        <f t="shared" si="9"/>
        <v>-0.75577359493358132</v>
      </c>
      <c r="W55" s="2"/>
      <c r="X55" s="2">
        <f t="shared" si="10"/>
        <v>25765.080000000016</v>
      </c>
      <c r="Y55" s="2"/>
      <c r="Z55" s="6">
        <f t="shared" si="11"/>
        <v>-0.26707959092220396</v>
      </c>
    </row>
    <row r="56" spans="1:26" s="69" customFormat="1" ht="15" hidden="1" customHeight="1" outlineLevel="2" x14ac:dyDescent="0.25">
      <c r="A56" s="25"/>
      <c r="B56" s="12" t="str">
        <f>CONCATENATE("          ","6305"," - ","FREIGHT OUT")</f>
        <v xml:space="preserve">          6305 - FREIGHT OUT</v>
      </c>
      <c r="C56" s="12"/>
      <c r="D56" s="7">
        <v>7268.6</v>
      </c>
      <c r="E56" s="3"/>
      <c r="F56" s="8">
        <f t="shared" si="4"/>
        <v>0.25535622379415801</v>
      </c>
      <c r="G56" s="3"/>
      <c r="H56" s="7">
        <v>19778.009999999998</v>
      </c>
      <c r="I56" s="3"/>
      <c r="J56" s="8">
        <f t="shared" si="5"/>
        <v>1.5277160047056533</v>
      </c>
      <c r="K56" s="3"/>
      <c r="L56" s="7">
        <f t="shared" si="6"/>
        <v>-12509.409999999998</v>
      </c>
      <c r="M56" s="3"/>
      <c r="N56" s="8">
        <f t="shared" si="7"/>
        <v>-0.63249083198966927</v>
      </c>
      <c r="O56" s="12"/>
      <c r="P56" s="7">
        <v>120321.72</v>
      </c>
      <c r="Q56" s="3"/>
      <c r="R56" s="8">
        <f t="shared" si="8"/>
        <v>0.53843171474982887</v>
      </c>
      <c r="S56" s="3"/>
      <c r="T56" s="7">
        <v>197787.91</v>
      </c>
      <c r="U56" s="3"/>
      <c r="V56" s="8">
        <f t="shared" si="9"/>
        <v>1.5495324051082544</v>
      </c>
      <c r="W56" s="3"/>
      <c r="X56" s="7">
        <f t="shared" si="10"/>
        <v>-77466.19</v>
      </c>
      <c r="Y56" s="3"/>
      <c r="Z56" s="8">
        <f t="shared" si="11"/>
        <v>-0.39166291812275078</v>
      </c>
    </row>
    <row r="57" spans="1:26" s="69" customFormat="1" ht="15" hidden="1" customHeight="1" outlineLevel="2" x14ac:dyDescent="0.25">
      <c r="A57" s="25"/>
      <c r="B57" s="12" t="str">
        <f>CONCATENATE("          ","6307"," - ","POSTAGE")</f>
        <v xml:space="preserve">          6307 - POSTAGE</v>
      </c>
      <c r="C57" s="12"/>
      <c r="D57" s="7">
        <v>-9338.9500000000007</v>
      </c>
      <c r="E57" s="3"/>
      <c r="F57" s="8">
        <f t="shared" si="4"/>
        <v>-0.32809055474265364</v>
      </c>
      <c r="G57" s="3"/>
      <c r="H57" s="7">
        <v>-43573.98</v>
      </c>
      <c r="I57" s="3"/>
      <c r="J57" s="8">
        <f t="shared" si="5"/>
        <v>-3.3657919393672091</v>
      </c>
      <c r="K57" s="3"/>
      <c r="L57" s="7">
        <f t="shared" si="6"/>
        <v>34235.03</v>
      </c>
      <c r="M57" s="3"/>
      <c r="N57" s="8">
        <f t="shared" si="7"/>
        <v>-0.78567599287464662</v>
      </c>
      <c r="O57" s="12"/>
      <c r="P57" s="7">
        <v>-191026.31</v>
      </c>
      <c r="Q57" s="3"/>
      <c r="R57" s="8">
        <f t="shared" si="8"/>
        <v>-0.85483006439429532</v>
      </c>
      <c r="S57" s="3"/>
      <c r="T57" s="7">
        <v>-294257.58</v>
      </c>
      <c r="U57" s="3"/>
      <c r="V57" s="8">
        <f t="shared" si="9"/>
        <v>-2.3053060000418357</v>
      </c>
      <c r="W57" s="3"/>
      <c r="X57" s="7">
        <f t="shared" si="10"/>
        <v>103231.27000000002</v>
      </c>
      <c r="Y57" s="3"/>
      <c r="Z57" s="8">
        <f t="shared" si="11"/>
        <v>-0.35081940794864153</v>
      </c>
    </row>
    <row r="58" spans="1:26" s="68" customFormat="1" ht="15" customHeight="1" outlineLevel="1" collapsed="1" x14ac:dyDescent="0.25">
      <c r="A58" s="26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SUM(OSRRefD22_7x_0)</f>
        <v>0</v>
      </c>
      <c r="E58" s="2"/>
      <c r="F58" s="6">
        <f t="shared" si="4"/>
        <v>0</v>
      </c>
      <c r="G58" s="2"/>
      <c r="H58" s="2">
        <f>SUM(OSRRefH22_7x_0)</f>
        <v>0</v>
      </c>
      <c r="I58" s="2"/>
      <c r="J58" s="6">
        <f t="shared" si="5"/>
        <v>0</v>
      </c>
      <c r="K58" s="2"/>
      <c r="L58" s="2">
        <f t="shared" si="6"/>
        <v>0</v>
      </c>
      <c r="M58" s="2"/>
      <c r="N58" s="6">
        <f t="shared" si="7"/>
        <v>0</v>
      </c>
      <c r="O58" s="14"/>
      <c r="P58" s="2">
        <f>SUM(OSRRefP22_7x_0)</f>
        <v>91.31</v>
      </c>
      <c r="Q58" s="2"/>
      <c r="R58" s="6">
        <f t="shared" si="8"/>
        <v>4.0860619241319746E-4</v>
      </c>
      <c r="S58" s="2"/>
      <c r="T58" s="2">
        <f>SUM(OSRRefT22_7x_0)</f>
        <v>0</v>
      </c>
      <c r="U58" s="2"/>
      <c r="V58" s="6">
        <f t="shared" si="9"/>
        <v>0</v>
      </c>
      <c r="W58" s="2"/>
      <c r="X58" s="2">
        <f t="shared" si="10"/>
        <v>91.31</v>
      </c>
      <c r="Y58" s="2"/>
      <c r="Z58" s="6">
        <f t="shared" si="11"/>
        <v>0</v>
      </c>
    </row>
    <row r="59" spans="1:26" s="69" customFormat="1" ht="15" hidden="1" customHeight="1" outlineLevel="2" x14ac:dyDescent="0.25">
      <c r="A59" s="25"/>
      <c r="B59" s="12" t="str">
        <f>CONCATENATE("          ","6279"," - ","GENERAL EXPENSE")</f>
        <v xml:space="preserve">          6279 - GENERAL EXPENSE</v>
      </c>
      <c r="C59" s="12"/>
      <c r="D59" s="7"/>
      <c r="E59" s="3"/>
      <c r="F59" s="8">
        <f t="shared" si="4"/>
        <v>0</v>
      </c>
      <c r="G59" s="3"/>
      <c r="H59" s="7"/>
      <c r="I59" s="3"/>
      <c r="J59" s="8">
        <f t="shared" si="5"/>
        <v>0</v>
      </c>
      <c r="K59" s="3"/>
      <c r="L59" s="7">
        <f t="shared" si="6"/>
        <v>0</v>
      </c>
      <c r="M59" s="3"/>
      <c r="N59" s="8">
        <f t="shared" si="7"/>
        <v>0</v>
      </c>
      <c r="O59" s="12"/>
      <c r="P59" s="7">
        <v>91.31</v>
      </c>
      <c r="Q59" s="3"/>
      <c r="R59" s="8">
        <f t="shared" si="8"/>
        <v>4.0860619241319746E-4</v>
      </c>
      <c r="S59" s="3"/>
      <c r="T59" s="7"/>
      <c r="U59" s="3"/>
      <c r="V59" s="8">
        <f t="shared" si="9"/>
        <v>0</v>
      </c>
      <c r="W59" s="3"/>
      <c r="X59" s="7">
        <f t="shared" si="10"/>
        <v>91.31</v>
      </c>
      <c r="Y59" s="3"/>
      <c r="Z59" s="8">
        <f t="shared" si="11"/>
        <v>0</v>
      </c>
    </row>
    <row r="60" spans="1:26" s="68" customFormat="1" ht="15" customHeight="1" outlineLevel="1" collapsed="1" x14ac:dyDescent="0.25">
      <c r="A60" s="26"/>
      <c r="B60" s="14" t="str">
        <f>CONCATENATE("     ","Repair and Maintenance                            ")</f>
        <v xml:space="preserve">     Repair and Maintenance                            </v>
      </c>
      <c r="C60" s="14"/>
      <c r="D60" s="2">
        <f>SUM(OSRRefD22_8x_0)</f>
        <v>3054.5299999999997</v>
      </c>
      <c r="E60" s="2"/>
      <c r="F60" s="6">
        <f t="shared" si="4"/>
        <v>0.10730996976941494</v>
      </c>
      <c r="G60" s="2"/>
      <c r="H60" s="2">
        <f>SUM(OSRRefH22_8x_0)</f>
        <v>3783.1099999999997</v>
      </c>
      <c r="I60" s="2"/>
      <c r="J60" s="6">
        <f t="shared" si="5"/>
        <v>0.29221937366610717</v>
      </c>
      <c r="K60" s="2"/>
      <c r="L60" s="2">
        <f t="shared" si="6"/>
        <v>-728.57999999999993</v>
      </c>
      <c r="M60" s="2"/>
      <c r="N60" s="6">
        <f t="shared" si="7"/>
        <v>-0.19258758005979207</v>
      </c>
      <c r="O60" s="14"/>
      <c r="P60" s="2">
        <f>SUM(OSRRefP22_8x_0)</f>
        <v>31359.57</v>
      </c>
      <c r="Q60" s="2"/>
      <c r="R60" s="6">
        <f t="shared" si="8"/>
        <v>0.14033199532816926</v>
      </c>
      <c r="S60" s="2"/>
      <c r="T60" s="2">
        <f>SUM(OSRRefT22_8x_0)</f>
        <v>34876.81</v>
      </c>
      <c r="U60" s="2"/>
      <c r="V60" s="6">
        <f t="shared" si="9"/>
        <v>0.27323584784228527</v>
      </c>
      <c r="W60" s="2"/>
      <c r="X60" s="2">
        <f t="shared" si="10"/>
        <v>-3517.239999999998</v>
      </c>
      <c r="Y60" s="2"/>
      <c r="Z60" s="6">
        <f t="shared" si="11"/>
        <v>-0.1008475259061823</v>
      </c>
    </row>
    <row r="61" spans="1:26" s="69" customFormat="1" ht="15" hidden="1" customHeight="1" outlineLevel="2" x14ac:dyDescent="0.25">
      <c r="A61" s="25"/>
      <c r="B61" s="12" t="str">
        <f>CONCATENATE("          ","6371"," - ","COMPUTER SOFTWARE MAINTENANCE")</f>
        <v xml:space="preserve">          6371 - COMPUTER SOFTWARE MAINTENANCE</v>
      </c>
      <c r="C61" s="12"/>
      <c r="D61" s="7"/>
      <c r="E61" s="3"/>
      <c r="F61" s="8">
        <f t="shared" si="4"/>
        <v>0</v>
      </c>
      <c r="G61" s="3"/>
      <c r="H61" s="7"/>
      <c r="I61" s="3"/>
      <c r="J61" s="8">
        <f t="shared" si="5"/>
        <v>0</v>
      </c>
      <c r="K61" s="3"/>
      <c r="L61" s="7">
        <f t="shared" si="6"/>
        <v>0</v>
      </c>
      <c r="M61" s="3"/>
      <c r="N61" s="8">
        <f t="shared" si="7"/>
        <v>0</v>
      </c>
      <c r="O61" s="12"/>
      <c r="P61" s="7"/>
      <c r="Q61" s="3"/>
      <c r="R61" s="8">
        <f t="shared" si="8"/>
        <v>0</v>
      </c>
      <c r="S61" s="3"/>
      <c r="T61" s="7">
        <v>7.69</v>
      </c>
      <c r="U61" s="3"/>
      <c r="V61" s="8">
        <f t="shared" si="9"/>
        <v>6.0245867380278581E-5</v>
      </c>
      <c r="W61" s="3"/>
      <c r="X61" s="7">
        <f t="shared" si="10"/>
        <v>-7.69</v>
      </c>
      <c r="Y61" s="3"/>
      <c r="Z61" s="8">
        <f t="shared" si="11"/>
        <v>-1</v>
      </c>
    </row>
    <row r="62" spans="1:26" s="69" customFormat="1" ht="15" hidden="1" customHeight="1" outlineLevel="2" x14ac:dyDescent="0.25">
      <c r="A62" s="25"/>
      <c r="B62" s="12" t="str">
        <f>CONCATENATE("          ","6373"," - ","MAINTENANCE CONTRACTS")</f>
        <v xml:space="preserve">          6373 - MAINTENANCE CONTRACTS</v>
      </c>
      <c r="C62" s="12"/>
      <c r="D62" s="7">
        <v>1294.94</v>
      </c>
      <c r="E62" s="3"/>
      <c r="F62" s="8">
        <f t="shared" si="4"/>
        <v>4.5493078232397843E-2</v>
      </c>
      <c r="G62" s="3"/>
      <c r="H62" s="7">
        <v>270.93</v>
      </c>
      <c r="I62" s="3"/>
      <c r="J62" s="8">
        <f t="shared" si="5"/>
        <v>2.092748952775849E-2</v>
      </c>
      <c r="K62" s="3"/>
      <c r="L62" s="7">
        <f t="shared" si="6"/>
        <v>1024.01</v>
      </c>
      <c r="M62" s="3"/>
      <c r="N62" s="8">
        <f t="shared" si="7"/>
        <v>3.7796109696231497</v>
      </c>
      <c r="O62" s="12"/>
      <c r="P62" s="7">
        <v>10542.83</v>
      </c>
      <c r="Q62" s="3"/>
      <c r="R62" s="8">
        <f t="shared" si="8"/>
        <v>4.7178464829258908E-2</v>
      </c>
      <c r="S62" s="3"/>
      <c r="T62" s="7">
        <v>31352.34</v>
      </c>
      <c r="U62" s="3"/>
      <c r="V62" s="8">
        <f t="shared" si="9"/>
        <v>0.24562404651513697</v>
      </c>
      <c r="W62" s="3"/>
      <c r="X62" s="7">
        <f t="shared" si="10"/>
        <v>-20809.510000000002</v>
      </c>
      <c r="Y62" s="3"/>
      <c r="Z62" s="8">
        <f t="shared" si="11"/>
        <v>-0.66373068166522819</v>
      </c>
    </row>
    <row r="63" spans="1:26" s="69" customFormat="1" ht="15" hidden="1" customHeight="1" outlineLevel="2" x14ac:dyDescent="0.25">
      <c r="A63" s="25"/>
      <c r="B63" s="12" t="str">
        <f>CONCATENATE("          ","6375"," - ","OUTSIDE REPAIRS &amp; MAINTENANCE")</f>
        <v xml:space="preserve">          6375 - OUTSIDE REPAIRS &amp; MAINTENANCE</v>
      </c>
      <c r="C63" s="12"/>
      <c r="D63" s="7">
        <v>1759.59</v>
      </c>
      <c r="E63" s="3"/>
      <c r="F63" s="8">
        <f t="shared" si="4"/>
        <v>6.1816891537017096E-2</v>
      </c>
      <c r="G63" s="3"/>
      <c r="H63" s="7">
        <v>3512.18</v>
      </c>
      <c r="I63" s="3"/>
      <c r="J63" s="8">
        <f t="shared" si="5"/>
        <v>0.2712918841383487</v>
      </c>
      <c r="K63" s="3"/>
      <c r="L63" s="7">
        <f t="shared" si="6"/>
        <v>-1752.59</v>
      </c>
      <c r="M63" s="3"/>
      <c r="N63" s="8">
        <f t="shared" si="7"/>
        <v>-0.49900346793159805</v>
      </c>
      <c r="O63" s="12"/>
      <c r="P63" s="7">
        <v>20816.740000000002</v>
      </c>
      <c r="Q63" s="3"/>
      <c r="R63" s="8">
        <f t="shared" si="8"/>
        <v>9.3153530498910356E-2</v>
      </c>
      <c r="S63" s="3"/>
      <c r="T63" s="7">
        <v>3516.78</v>
      </c>
      <c r="U63" s="3"/>
      <c r="V63" s="8">
        <f t="shared" si="9"/>
        <v>2.7551555459768024E-2</v>
      </c>
      <c r="W63" s="3"/>
      <c r="X63" s="7">
        <f t="shared" si="10"/>
        <v>17299.960000000003</v>
      </c>
      <c r="Y63" s="3"/>
      <c r="Z63" s="8">
        <f t="shared" si="11"/>
        <v>4.9192613697757617</v>
      </c>
    </row>
    <row r="64" spans="1:26" s="68" customFormat="1" ht="15" customHeight="1" outlineLevel="1" collapsed="1" x14ac:dyDescent="0.25">
      <c r="A64" s="26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2">
        <f>SUM(OSRRefD22_9x_0)</f>
        <v>1260.81</v>
      </c>
      <c r="E64" s="2"/>
      <c r="F64" s="6">
        <f t="shared" si="4"/>
        <v>4.4294042941132039E-2</v>
      </c>
      <c r="G64" s="2"/>
      <c r="H64" s="2">
        <f>SUM(OSRRefH22_9x_0)</f>
        <v>393.98</v>
      </c>
      <c r="I64" s="2"/>
      <c r="J64" s="6">
        <f t="shared" si="5"/>
        <v>3.0432260451578968E-2</v>
      </c>
      <c r="K64" s="2"/>
      <c r="L64" s="2">
        <f t="shared" si="6"/>
        <v>866.82999999999993</v>
      </c>
      <c r="M64" s="2"/>
      <c r="N64" s="6">
        <f t="shared" si="7"/>
        <v>2.200187826793238</v>
      </c>
      <c r="O64" s="14"/>
      <c r="P64" s="2">
        <f>SUM(OSRRefP22_9x_0)</f>
        <v>13311.46</v>
      </c>
      <c r="Q64" s="2"/>
      <c r="R64" s="6">
        <f t="shared" si="8"/>
        <v>5.9567900405876478E-2</v>
      </c>
      <c r="S64" s="2"/>
      <c r="T64" s="2">
        <f>SUM(OSRRefT22_9x_0)</f>
        <v>13627.87</v>
      </c>
      <c r="U64" s="2"/>
      <c r="V64" s="6">
        <f t="shared" si="9"/>
        <v>0.10676499983038715</v>
      </c>
      <c r="W64" s="2"/>
      <c r="X64" s="2">
        <f t="shared" si="10"/>
        <v>-316.41000000000167</v>
      </c>
      <c r="Y64" s="2"/>
      <c r="Z64" s="6">
        <f t="shared" si="11"/>
        <v>-2.3217861632082025E-2</v>
      </c>
    </row>
    <row r="65" spans="1:26" s="69" customFormat="1" ht="15" hidden="1" customHeight="1" outlineLevel="2" x14ac:dyDescent="0.25">
      <c r="A65" s="25"/>
      <c r="B65" s="12" t="str">
        <f>CONCATENATE("          ","6259"," - ","ROYALTY &amp; COMMISSIONS")</f>
        <v xml:space="preserve">          6259 - ROYALTY &amp; COMMISSIONS</v>
      </c>
      <c r="C65" s="12"/>
      <c r="D65" s="7">
        <v>1260.81</v>
      </c>
      <c r="E65" s="3"/>
      <c r="F65" s="8">
        <f t="shared" si="4"/>
        <v>4.4294042941132039E-2</v>
      </c>
      <c r="G65" s="3"/>
      <c r="H65" s="7">
        <v>393.98</v>
      </c>
      <c r="I65" s="3"/>
      <c r="J65" s="8">
        <f t="shared" si="5"/>
        <v>3.0432260451578968E-2</v>
      </c>
      <c r="K65" s="3"/>
      <c r="L65" s="7">
        <f t="shared" si="6"/>
        <v>866.82999999999993</v>
      </c>
      <c r="M65" s="3"/>
      <c r="N65" s="8">
        <f t="shared" si="7"/>
        <v>2.200187826793238</v>
      </c>
      <c r="O65" s="12"/>
      <c r="P65" s="7">
        <v>13311.46</v>
      </c>
      <c r="Q65" s="3"/>
      <c r="R65" s="8">
        <f t="shared" si="8"/>
        <v>5.9567900405876478E-2</v>
      </c>
      <c r="S65" s="3"/>
      <c r="T65" s="7">
        <v>13627.87</v>
      </c>
      <c r="U65" s="3"/>
      <c r="V65" s="8">
        <f t="shared" si="9"/>
        <v>0.10676499983038715</v>
      </c>
      <c r="W65" s="3"/>
      <c r="X65" s="7">
        <f t="shared" si="10"/>
        <v>-316.41000000000167</v>
      </c>
      <c r="Y65" s="3"/>
      <c r="Z65" s="8">
        <f t="shared" si="11"/>
        <v>-2.3217861632082025E-2</v>
      </c>
    </row>
    <row r="66" spans="1:26" s="68" customFormat="1" ht="15" customHeight="1" outlineLevel="1" collapsed="1" x14ac:dyDescent="0.25">
      <c r="A66" s="26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2">
        <f>SUM(OSRRefD22_10x_0)</f>
        <v>0</v>
      </c>
      <c r="E66" s="2"/>
      <c r="F66" s="6">
        <f t="shared" si="4"/>
        <v>0</v>
      </c>
      <c r="G66" s="2"/>
      <c r="H66" s="2">
        <f>SUM(OSRRefH22_10x_0)</f>
        <v>31.75</v>
      </c>
      <c r="I66" s="2"/>
      <c r="J66" s="6">
        <f t="shared" si="5"/>
        <v>2.4524703521438453E-3</v>
      </c>
      <c r="K66" s="2"/>
      <c r="L66" s="2">
        <f t="shared" si="6"/>
        <v>-31.75</v>
      </c>
      <c r="M66" s="2"/>
      <c r="N66" s="6">
        <f t="shared" si="7"/>
        <v>-1</v>
      </c>
      <c r="O66" s="14"/>
      <c r="P66" s="2">
        <f>SUM(OSRRefP22_10x_0)</f>
        <v>5.28</v>
      </c>
      <c r="Q66" s="2"/>
      <c r="R66" s="6">
        <f t="shared" si="8"/>
        <v>2.3627649720092901E-5</v>
      </c>
      <c r="S66" s="2"/>
      <c r="T66" s="2">
        <f>SUM(OSRRefT22_10x_0)</f>
        <v>31.75</v>
      </c>
      <c r="U66" s="2"/>
      <c r="V66" s="6">
        <f t="shared" si="9"/>
        <v>2.48739439443933E-4</v>
      </c>
      <c r="W66" s="2"/>
      <c r="X66" s="2">
        <f t="shared" si="10"/>
        <v>-26.47</v>
      </c>
      <c r="Y66" s="2"/>
      <c r="Z66" s="6">
        <f t="shared" si="11"/>
        <v>-0.83370078740157472</v>
      </c>
    </row>
    <row r="67" spans="1:26" s="69" customFormat="1" ht="15" hidden="1" customHeight="1" outlineLevel="2" x14ac:dyDescent="0.25">
      <c r="A67" s="25"/>
      <c r="B67" s="12" t="str">
        <f>CONCATENATE("          ","6258"," - ","MEMBERSHIP DUES")</f>
        <v xml:space="preserve">          6258 - MEMBERSHIP DUES</v>
      </c>
      <c r="C67" s="12"/>
      <c r="D67" s="7"/>
      <c r="E67" s="3"/>
      <c r="F67" s="8">
        <f t="shared" si="4"/>
        <v>0</v>
      </c>
      <c r="G67" s="3"/>
      <c r="H67" s="7">
        <v>31.75</v>
      </c>
      <c r="I67" s="3"/>
      <c r="J67" s="8">
        <f t="shared" si="5"/>
        <v>2.4524703521438453E-3</v>
      </c>
      <c r="K67" s="3"/>
      <c r="L67" s="7">
        <f t="shared" si="6"/>
        <v>-31.75</v>
      </c>
      <c r="M67" s="3"/>
      <c r="N67" s="8">
        <f t="shared" si="7"/>
        <v>-1</v>
      </c>
      <c r="O67" s="12"/>
      <c r="P67" s="7">
        <v>5.28</v>
      </c>
      <c r="Q67" s="3"/>
      <c r="R67" s="8">
        <f t="shared" si="8"/>
        <v>2.3627649720092901E-5</v>
      </c>
      <c r="S67" s="3"/>
      <c r="T67" s="7">
        <v>31.75</v>
      </c>
      <c r="U67" s="3"/>
      <c r="V67" s="8">
        <f t="shared" si="9"/>
        <v>2.48739439443933E-4</v>
      </c>
      <c r="W67" s="3"/>
      <c r="X67" s="7">
        <f t="shared" si="10"/>
        <v>-26.47</v>
      </c>
      <c r="Y67" s="3"/>
      <c r="Z67" s="8">
        <f t="shared" si="11"/>
        <v>-0.83370078740157472</v>
      </c>
    </row>
    <row r="68" spans="1:26" s="68" customFormat="1" ht="15" customHeight="1" outlineLevel="1" collapsed="1" x14ac:dyDescent="0.25">
      <c r="A68" s="26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SUM(OSRRefD22_11x_0)</f>
        <v>10112.01</v>
      </c>
      <c r="E68" s="2"/>
      <c r="F68" s="6">
        <f t="shared" si="4"/>
        <v>0.35524924862680074</v>
      </c>
      <c r="G68" s="2"/>
      <c r="H68" s="2">
        <f>SUM(OSRRefH22_11x_0)</f>
        <v>6628.24</v>
      </c>
      <c r="I68" s="2"/>
      <c r="J68" s="6">
        <f t="shared" si="5"/>
        <v>0.51198620746122592</v>
      </c>
      <c r="K68" s="2"/>
      <c r="L68" s="2">
        <f t="shared" si="6"/>
        <v>3483.7700000000004</v>
      </c>
      <c r="M68" s="2"/>
      <c r="N68" s="6">
        <f t="shared" si="7"/>
        <v>0.52559502975148764</v>
      </c>
      <c r="O68" s="14"/>
      <c r="P68" s="2">
        <f>SUM(OSRRefP22_11x_0)</f>
        <v>53878.010000000009</v>
      </c>
      <c r="Q68" s="2"/>
      <c r="R68" s="6">
        <f t="shared" si="8"/>
        <v>0.24110052043478461</v>
      </c>
      <c r="S68" s="2"/>
      <c r="T68" s="2">
        <f>SUM(OSRRefT22_11x_0)</f>
        <v>42426.44</v>
      </c>
      <c r="U68" s="2"/>
      <c r="V68" s="6">
        <f t="shared" si="9"/>
        <v>0.33238201269926482</v>
      </c>
      <c r="W68" s="2"/>
      <c r="X68" s="2">
        <f t="shared" si="10"/>
        <v>11451.570000000007</v>
      </c>
      <c r="Y68" s="2"/>
      <c r="Z68" s="6">
        <f t="shared" si="11"/>
        <v>0.26991588264299354</v>
      </c>
    </row>
    <row r="69" spans="1:26" s="69" customFormat="1" ht="15" hidden="1" customHeight="1" outlineLevel="2" x14ac:dyDescent="0.25">
      <c r="A69" s="25"/>
      <c r="B69" s="12" t="str">
        <f>CONCATENATE("          ","6234"," - ","EXPENDABLE SUPPLIES &amp; EQUIPMEN")</f>
        <v xml:space="preserve">          6234 - EXPENDABLE SUPPLIES &amp; EQUIPMEN</v>
      </c>
      <c r="C69" s="12"/>
      <c r="D69" s="7"/>
      <c r="E69" s="3"/>
      <c r="F69" s="8">
        <f t="shared" si="4"/>
        <v>0</v>
      </c>
      <c r="G69" s="3"/>
      <c r="H69" s="7"/>
      <c r="I69" s="3"/>
      <c r="J69" s="8">
        <f t="shared" si="5"/>
        <v>0</v>
      </c>
      <c r="K69" s="3"/>
      <c r="L69" s="7">
        <f t="shared" si="6"/>
        <v>0</v>
      </c>
      <c r="M69" s="3"/>
      <c r="N69" s="8">
        <f t="shared" si="7"/>
        <v>0</v>
      </c>
      <c r="O69" s="12"/>
      <c r="P69" s="7">
        <v>4993.3100000000004</v>
      </c>
      <c r="Q69" s="3"/>
      <c r="R69" s="8">
        <f t="shared" si="8"/>
        <v>2.2344730989363085E-2</v>
      </c>
      <c r="S69" s="3"/>
      <c r="T69" s="7"/>
      <c r="U69" s="3"/>
      <c r="V69" s="8">
        <f t="shared" si="9"/>
        <v>0</v>
      </c>
      <c r="W69" s="3"/>
      <c r="X69" s="7">
        <f t="shared" si="10"/>
        <v>4993.3100000000004</v>
      </c>
      <c r="Y69" s="3"/>
      <c r="Z69" s="8">
        <f t="shared" si="11"/>
        <v>0</v>
      </c>
    </row>
    <row r="70" spans="1:26" s="69" customFormat="1" ht="15" hidden="1" customHeight="1" outlineLevel="2" x14ac:dyDescent="0.25">
      <c r="A70" s="25"/>
      <c r="B70" s="12" t="str">
        <f>CONCATENATE("          ","6235"," - ","COVID-19 EXPENSES")</f>
        <v xml:space="preserve">          6235 - COVID-19 EXPENSES</v>
      </c>
      <c r="C70" s="12"/>
      <c r="D70" s="7"/>
      <c r="E70" s="3"/>
      <c r="F70" s="8">
        <f t="shared" si="4"/>
        <v>0</v>
      </c>
      <c r="G70" s="3"/>
      <c r="H70" s="7"/>
      <c r="I70" s="3"/>
      <c r="J70" s="8">
        <f t="shared" si="5"/>
        <v>0</v>
      </c>
      <c r="K70" s="3"/>
      <c r="L70" s="7">
        <f t="shared" si="6"/>
        <v>0</v>
      </c>
      <c r="M70" s="3"/>
      <c r="N70" s="8">
        <f t="shared" si="7"/>
        <v>0</v>
      </c>
      <c r="O70" s="12"/>
      <c r="P70" s="7"/>
      <c r="Q70" s="3"/>
      <c r="R70" s="8">
        <f t="shared" si="8"/>
        <v>0</v>
      </c>
      <c r="S70" s="3"/>
      <c r="T70" s="7">
        <v>310.91000000000003</v>
      </c>
      <c r="U70" s="3"/>
      <c r="V70" s="8">
        <f t="shared" si="9"/>
        <v>2.4357662714177392E-3</v>
      </c>
      <c r="W70" s="3"/>
      <c r="X70" s="7">
        <f t="shared" si="10"/>
        <v>-310.91000000000003</v>
      </c>
      <c r="Y70" s="3"/>
      <c r="Z70" s="8">
        <f t="shared" si="11"/>
        <v>-1</v>
      </c>
    </row>
    <row r="71" spans="1:26" s="69" customFormat="1" ht="15" hidden="1" customHeight="1" outlineLevel="2" x14ac:dyDescent="0.25">
      <c r="A71" s="25"/>
      <c r="B71" s="12" t="str">
        <f>CONCATENATE("          ","6241"," - ","OFFICE EXPENSE")</f>
        <v xml:space="preserve">          6241 - OFFICE EXPENSE</v>
      </c>
      <c r="C71" s="12"/>
      <c r="D71" s="7">
        <v>14.95</v>
      </c>
      <c r="E71" s="3"/>
      <c r="F71" s="8">
        <f t="shared" si="4"/>
        <v>5.2521469687734389E-4</v>
      </c>
      <c r="G71" s="3"/>
      <c r="H71" s="7">
        <v>18.25</v>
      </c>
      <c r="I71" s="3"/>
      <c r="J71" s="8">
        <f t="shared" si="5"/>
        <v>1.4096876827283521E-3</v>
      </c>
      <c r="K71" s="3"/>
      <c r="L71" s="7">
        <f t="shared" si="6"/>
        <v>-3.3000000000000007</v>
      </c>
      <c r="M71" s="3"/>
      <c r="N71" s="8">
        <f t="shared" si="7"/>
        <v>-0.18082191780821921</v>
      </c>
      <c r="O71" s="12"/>
      <c r="P71" s="7">
        <v>11023.3</v>
      </c>
      <c r="Q71" s="3"/>
      <c r="R71" s="8">
        <f t="shared" si="8"/>
        <v>4.9328536204450768E-2</v>
      </c>
      <c r="S71" s="3"/>
      <c r="T71" s="7">
        <v>4676.01</v>
      </c>
      <c r="U71" s="3"/>
      <c r="V71" s="8">
        <f t="shared" si="9"/>
        <v>3.6633326180605524E-2</v>
      </c>
      <c r="W71" s="3"/>
      <c r="X71" s="7">
        <f t="shared" si="10"/>
        <v>6347.2899999999991</v>
      </c>
      <c r="Y71" s="3"/>
      <c r="Z71" s="8">
        <f t="shared" si="11"/>
        <v>1.3574158310183251</v>
      </c>
    </row>
    <row r="72" spans="1:26" s="69" customFormat="1" ht="15" hidden="1" customHeight="1" outlineLevel="2" x14ac:dyDescent="0.25">
      <c r="A72" s="25"/>
      <c r="B72" s="12" t="str">
        <f>CONCATENATE("          ","6243"," - ","PAPER SUPPLIES")</f>
        <v xml:space="preserve">          6243 - PAPER SUPPLIES</v>
      </c>
      <c r="C72" s="12"/>
      <c r="D72" s="7">
        <v>2845.58</v>
      </c>
      <c r="E72" s="3"/>
      <c r="F72" s="8">
        <f t="shared" si="4"/>
        <v>9.9969260009380084E-2</v>
      </c>
      <c r="G72" s="3"/>
      <c r="H72" s="7"/>
      <c r="I72" s="3"/>
      <c r="J72" s="8">
        <f t="shared" si="5"/>
        <v>0</v>
      </c>
      <c r="K72" s="3"/>
      <c r="L72" s="7">
        <f t="shared" si="6"/>
        <v>2845.58</v>
      </c>
      <c r="M72" s="3"/>
      <c r="N72" s="8">
        <f t="shared" si="7"/>
        <v>0</v>
      </c>
      <c r="O72" s="12"/>
      <c r="P72" s="7">
        <v>10090.94</v>
      </c>
      <c r="Q72" s="3"/>
      <c r="R72" s="8">
        <f t="shared" si="8"/>
        <v>4.5156287058044364E-2</v>
      </c>
      <c r="S72" s="3"/>
      <c r="T72" s="7">
        <v>6682.58</v>
      </c>
      <c r="U72" s="3"/>
      <c r="V72" s="8">
        <f t="shared" si="9"/>
        <v>5.2353423724070487E-2</v>
      </c>
      <c r="W72" s="3"/>
      <c r="X72" s="7">
        <f t="shared" si="10"/>
        <v>3408.3600000000006</v>
      </c>
      <c r="Y72" s="3"/>
      <c r="Z72" s="8">
        <f t="shared" si="11"/>
        <v>0.5100365427724024</v>
      </c>
    </row>
    <row r="73" spans="1:26" s="69" customFormat="1" ht="15" hidden="1" customHeight="1" outlineLevel="2" x14ac:dyDescent="0.25">
      <c r="A73" s="25"/>
      <c r="B73" s="12" t="str">
        <f>CONCATENATE("          ","6245"," - ","PRINTING")</f>
        <v xml:space="preserve">          6245 - PRINTING</v>
      </c>
      <c r="C73" s="12"/>
      <c r="D73" s="7">
        <v>4762.72</v>
      </c>
      <c r="E73" s="3"/>
      <c r="F73" s="8">
        <f t="shared" si="4"/>
        <v>0.16732110642887382</v>
      </c>
      <c r="G73" s="3"/>
      <c r="H73" s="7">
        <v>5963.79</v>
      </c>
      <c r="I73" s="3"/>
      <c r="J73" s="8">
        <f t="shared" si="5"/>
        <v>0.46066198933580926</v>
      </c>
      <c r="K73" s="3"/>
      <c r="L73" s="7">
        <f t="shared" si="6"/>
        <v>-1201.0699999999997</v>
      </c>
      <c r="M73" s="3"/>
      <c r="N73" s="8">
        <f t="shared" si="7"/>
        <v>-0.20139374458188497</v>
      </c>
      <c r="O73" s="12"/>
      <c r="P73" s="7">
        <v>10049.41</v>
      </c>
      <c r="Q73" s="3"/>
      <c r="R73" s="8">
        <f t="shared" si="8"/>
        <v>4.4970443063181591E-2</v>
      </c>
      <c r="S73" s="3"/>
      <c r="T73" s="7">
        <v>9015.7199999999993</v>
      </c>
      <c r="U73" s="3"/>
      <c r="V73" s="8">
        <f t="shared" si="9"/>
        <v>7.0631972881368688E-2</v>
      </c>
      <c r="W73" s="3"/>
      <c r="X73" s="7">
        <f t="shared" si="10"/>
        <v>1033.6900000000005</v>
      </c>
      <c r="Y73" s="3"/>
      <c r="Z73" s="8">
        <f t="shared" si="11"/>
        <v>0.11465418180688848</v>
      </c>
    </row>
    <row r="74" spans="1:26" s="69" customFormat="1" ht="15" hidden="1" customHeight="1" outlineLevel="2" x14ac:dyDescent="0.25">
      <c r="A74" s="25"/>
      <c r="B74" s="12" t="str">
        <f>CONCATENATE("          ","6247"," - ","STORE SUPPLIES")</f>
        <v xml:space="preserve">          6247 - STORE SUPPLIES</v>
      </c>
      <c r="C74" s="12"/>
      <c r="D74" s="7">
        <v>2488.7600000000002</v>
      </c>
      <c r="E74" s="3"/>
      <c r="F74" s="8">
        <f t="shared" si="4"/>
        <v>8.7433667491669476E-2</v>
      </c>
      <c r="G74" s="3"/>
      <c r="H74" s="7">
        <v>646.20000000000005</v>
      </c>
      <c r="I74" s="3"/>
      <c r="J74" s="8">
        <f t="shared" si="5"/>
        <v>4.9914530442688287E-2</v>
      </c>
      <c r="K74" s="3"/>
      <c r="L74" s="7">
        <f t="shared" si="6"/>
        <v>1842.5600000000002</v>
      </c>
      <c r="M74" s="3"/>
      <c r="N74" s="8">
        <f t="shared" si="7"/>
        <v>2.8513772825750543</v>
      </c>
      <c r="O74" s="12"/>
      <c r="P74" s="7">
        <v>17721.05</v>
      </c>
      <c r="Q74" s="3"/>
      <c r="R74" s="8">
        <f t="shared" si="8"/>
        <v>7.930052311974474E-2</v>
      </c>
      <c r="S74" s="3"/>
      <c r="T74" s="7">
        <v>21741.22</v>
      </c>
      <c r="U74" s="3"/>
      <c r="V74" s="8">
        <f t="shared" si="9"/>
        <v>0.1703275236418024</v>
      </c>
      <c r="W74" s="3"/>
      <c r="X74" s="7">
        <f t="shared" si="10"/>
        <v>-4020.1700000000019</v>
      </c>
      <c r="Y74" s="3"/>
      <c r="Z74" s="8">
        <f t="shared" si="11"/>
        <v>-0.18491004644633566</v>
      </c>
    </row>
    <row r="75" spans="1:26" s="68" customFormat="1" ht="15" customHeight="1" outlineLevel="1" collapsed="1" x14ac:dyDescent="0.25">
      <c r="A75" s="26"/>
      <c r="B75" s="14" t="str">
        <f>CONCATENATE("     ","Telephone/Data Lines                              ")</f>
        <v xml:space="preserve">     Telephone/Data Lines                              </v>
      </c>
      <c r="C75" s="14"/>
      <c r="D75" s="2">
        <f>SUM(OSRRefD22_12x_0)</f>
        <v>84.7</v>
      </c>
      <c r="E75" s="2"/>
      <c r="F75" s="6">
        <f t="shared" si="4"/>
        <v>2.9756310920074271E-3</v>
      </c>
      <c r="G75" s="2"/>
      <c r="H75" s="2">
        <f>SUM(OSRRefH22_12x_0)</f>
        <v>157.85</v>
      </c>
      <c r="I75" s="2"/>
      <c r="J75" s="6">
        <f t="shared" si="5"/>
        <v>1.2192832916091528E-2</v>
      </c>
      <c r="K75" s="2"/>
      <c r="L75" s="2">
        <f t="shared" si="6"/>
        <v>-73.149999999999991</v>
      </c>
      <c r="M75" s="2"/>
      <c r="N75" s="6">
        <f t="shared" si="7"/>
        <v>-0.46341463414634143</v>
      </c>
      <c r="O75" s="14"/>
      <c r="P75" s="2">
        <f>SUM(OSRRefP22_12x_0)</f>
        <v>1256.3</v>
      </c>
      <c r="Q75" s="2"/>
      <c r="R75" s="6">
        <f t="shared" si="8"/>
        <v>5.6218591559380133E-3</v>
      </c>
      <c r="S75" s="2"/>
      <c r="T75" s="2">
        <f>SUM(OSRRefT22_12x_0)</f>
        <v>1743.35</v>
      </c>
      <c r="U75" s="2"/>
      <c r="V75" s="6">
        <f t="shared" si="9"/>
        <v>1.3657949661561595E-2</v>
      </c>
      <c r="W75" s="2"/>
      <c r="X75" s="2">
        <f t="shared" si="10"/>
        <v>-487.04999999999995</v>
      </c>
      <c r="Y75" s="2"/>
      <c r="Z75" s="6">
        <f t="shared" si="11"/>
        <v>-0.27937591418820085</v>
      </c>
    </row>
    <row r="76" spans="1:26" s="69" customFormat="1" ht="15" hidden="1" customHeight="1" outlineLevel="2" x14ac:dyDescent="0.25">
      <c r="A76" s="25"/>
      <c r="B76" s="12" t="str">
        <f>CONCATENATE("          ","6309"," - ","TELEPHONE")</f>
        <v xml:space="preserve">          6309 - TELEPHONE</v>
      </c>
      <c r="C76" s="12"/>
      <c r="D76" s="7">
        <v>84.7</v>
      </c>
      <c r="E76" s="3"/>
      <c r="F76" s="8">
        <f t="shared" si="4"/>
        <v>2.9756310920074271E-3</v>
      </c>
      <c r="G76" s="3"/>
      <c r="H76" s="7">
        <v>157.85</v>
      </c>
      <c r="I76" s="3"/>
      <c r="J76" s="8">
        <f t="shared" si="5"/>
        <v>1.2192832916091528E-2</v>
      </c>
      <c r="K76" s="3"/>
      <c r="L76" s="7">
        <f t="shared" si="6"/>
        <v>-73.149999999999991</v>
      </c>
      <c r="M76" s="3"/>
      <c r="N76" s="8">
        <f t="shared" si="7"/>
        <v>-0.46341463414634143</v>
      </c>
      <c r="O76" s="12"/>
      <c r="P76" s="7">
        <v>1256.3</v>
      </c>
      <c r="Q76" s="3"/>
      <c r="R76" s="8">
        <f t="shared" si="8"/>
        <v>5.6218591559380133E-3</v>
      </c>
      <c r="S76" s="3"/>
      <c r="T76" s="7">
        <v>1743.35</v>
      </c>
      <c r="U76" s="3"/>
      <c r="V76" s="8">
        <f t="shared" si="9"/>
        <v>1.3657949661561595E-2</v>
      </c>
      <c r="W76" s="3"/>
      <c r="X76" s="7">
        <f t="shared" si="10"/>
        <v>-487.04999999999995</v>
      </c>
      <c r="Y76" s="3"/>
      <c r="Z76" s="8">
        <f t="shared" si="11"/>
        <v>-0.27937591418820085</v>
      </c>
    </row>
    <row r="77" spans="1:26" s="68" customFormat="1" ht="15" customHeight="1" outlineLevel="1" collapsed="1" x14ac:dyDescent="0.25">
      <c r="A77" s="26"/>
      <c r="B77" s="14" t="str">
        <f>CONCATENATE("     ","Utilities                                         ")</f>
        <v xml:space="preserve">     Utilities                                         </v>
      </c>
      <c r="C77" s="14"/>
      <c r="D77" s="2">
        <f>SUM(OSRRefD22_13x_0)</f>
        <v>0</v>
      </c>
      <c r="E77" s="2"/>
      <c r="F77" s="6">
        <f t="shared" si="4"/>
        <v>0</v>
      </c>
      <c r="G77" s="2"/>
      <c r="H77" s="2">
        <f>SUM(OSRRefH22_13x_0)</f>
        <v>0</v>
      </c>
      <c r="I77" s="2"/>
      <c r="J77" s="6">
        <f t="shared" si="5"/>
        <v>0</v>
      </c>
      <c r="K77" s="2"/>
      <c r="L77" s="2">
        <f t="shared" si="6"/>
        <v>0</v>
      </c>
      <c r="M77" s="2"/>
      <c r="N77" s="6">
        <f t="shared" si="7"/>
        <v>0</v>
      </c>
      <c r="O77" s="14"/>
      <c r="P77" s="2">
        <f>SUM(OSRRefP22_13x_0)</f>
        <v>0</v>
      </c>
      <c r="Q77" s="2"/>
      <c r="R77" s="6">
        <f t="shared" si="8"/>
        <v>0</v>
      </c>
      <c r="S77" s="2"/>
      <c r="T77" s="2">
        <f>SUM(OSRRefT22_13x_0)</f>
        <v>15.02</v>
      </c>
      <c r="U77" s="2"/>
      <c r="V77" s="6">
        <f t="shared" si="9"/>
        <v>1.1767138206135036E-4</v>
      </c>
      <c r="W77" s="2"/>
      <c r="X77" s="2">
        <f t="shared" si="10"/>
        <v>-15.02</v>
      </c>
      <c r="Y77" s="2"/>
      <c r="Z77" s="6">
        <f t="shared" si="11"/>
        <v>-1</v>
      </c>
    </row>
    <row r="78" spans="1:26" s="69" customFormat="1" ht="15" hidden="1" customHeight="1" outlineLevel="2" x14ac:dyDescent="0.25">
      <c r="A78" s="25"/>
      <c r="B78" s="12" t="str">
        <f>CONCATENATE("          ","6274"," - ","UTILITIES")</f>
        <v xml:space="preserve">          6274 - UTILITIES</v>
      </c>
      <c r="C78" s="12"/>
      <c r="D78" s="7"/>
      <c r="E78" s="3"/>
      <c r="F78" s="8">
        <f t="shared" si="4"/>
        <v>0</v>
      </c>
      <c r="G78" s="3"/>
      <c r="H78" s="7"/>
      <c r="I78" s="3"/>
      <c r="J78" s="8">
        <f t="shared" si="5"/>
        <v>0</v>
      </c>
      <c r="K78" s="3"/>
      <c r="L78" s="7">
        <f t="shared" si="6"/>
        <v>0</v>
      </c>
      <c r="M78" s="3"/>
      <c r="N78" s="8">
        <f t="shared" si="7"/>
        <v>0</v>
      </c>
      <c r="O78" s="12"/>
      <c r="P78" s="7"/>
      <c r="Q78" s="3"/>
      <c r="R78" s="8">
        <f t="shared" si="8"/>
        <v>0</v>
      </c>
      <c r="S78" s="3"/>
      <c r="T78" s="7">
        <v>15.02</v>
      </c>
      <c r="U78" s="3"/>
      <c r="V78" s="8">
        <f t="shared" si="9"/>
        <v>1.1767138206135036E-4</v>
      </c>
      <c r="W78" s="3"/>
      <c r="X78" s="7">
        <f t="shared" si="10"/>
        <v>-15.02</v>
      </c>
      <c r="Y78" s="3"/>
      <c r="Z78" s="8">
        <f t="shared" si="11"/>
        <v>-1</v>
      </c>
    </row>
    <row r="79" spans="1:26" s="64" customFormat="1" ht="15" customHeight="1" x14ac:dyDescent="0.25">
      <c r="A79" s="36"/>
      <c r="B79" s="36"/>
      <c r="C79" s="36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O79" s="3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62" customFormat="1" ht="15" customHeight="1" collapsed="1" x14ac:dyDescent="0.25">
      <c r="A80" s="11"/>
      <c r="B80" s="28" t="s">
        <v>290</v>
      </c>
      <c r="C80" s="11"/>
      <c r="D80" s="5">
        <f>SUM(OSRRefD25x_0)</f>
        <v>198.47</v>
      </c>
      <c r="E80" s="5"/>
      <c r="F80" s="13">
        <f>IF(D$12=0,0,D80/D$12)</f>
        <v>6.9725325009529398E-3</v>
      </c>
      <c r="G80" s="5"/>
      <c r="H80" s="5">
        <f>SUM(OSRRefH25x_0)</f>
        <v>6782</v>
      </c>
      <c r="I80" s="5"/>
      <c r="J80" s="13">
        <f>IF(H$12=0,0,H80/H$12)</f>
        <v>0.52386311585006484</v>
      </c>
      <c r="K80" s="5"/>
      <c r="L80" s="5">
        <f>+D80-H80</f>
        <v>-6583.53</v>
      </c>
      <c r="M80" s="5"/>
      <c r="N80" s="13">
        <f>IF(H80=0,0,L80/H80)</f>
        <v>-0.97073577115895016</v>
      </c>
      <c r="O80" s="11"/>
      <c r="P80" s="5">
        <f>SUM(OSRRefP25x_0)</f>
        <v>18394.45</v>
      </c>
      <c r="Q80" s="5"/>
      <c r="R80" s="13">
        <f>IF(P$12=0,0,P80/P$12)</f>
        <v>8.2313943445788421E-2</v>
      </c>
      <c r="S80" s="5"/>
      <c r="T80" s="5">
        <f>SUM(OSRRefT25x_0)</f>
        <v>74602</v>
      </c>
      <c r="U80" s="5"/>
      <c r="V80" s="13">
        <f>IF(T$12=0,0,T80/T$12)</f>
        <v>0.58445542240618242</v>
      </c>
      <c r="W80" s="5"/>
      <c r="X80" s="5">
        <f>+P80-T80</f>
        <v>-56207.55</v>
      </c>
      <c r="Y80" s="5"/>
      <c r="Z80" s="13">
        <f>IF(T80=0,0,X80/T80)</f>
        <v>-0.75343221361357604</v>
      </c>
    </row>
    <row r="81" spans="1:26" s="69" customFormat="1" ht="15" hidden="1" customHeight="1" outlineLevel="1" x14ac:dyDescent="0.25">
      <c r="A81" s="42"/>
      <c r="B81" s="12" t="str">
        <f>CONCATENATE("          ","9150"," - ","MISC. INCOME")</f>
        <v xml:space="preserve">          9150 - MISC. INCOME</v>
      </c>
      <c r="C81" s="12"/>
      <c r="D81" s="3">
        <f>--198.47</f>
        <v>198.47</v>
      </c>
      <c r="E81" s="3"/>
      <c r="F81" s="20">
        <f>IF(D$12=0,0,D81/D$12)</f>
        <v>6.9725325009529398E-3</v>
      </c>
      <c r="G81" s="3"/>
      <c r="H81" s="3">
        <f>--6782</f>
        <v>6782</v>
      </c>
      <c r="I81" s="3"/>
      <c r="J81" s="20">
        <f>IF(H$12=0,0,H81/H$12)</f>
        <v>0.52386311585006484</v>
      </c>
      <c r="K81" s="3"/>
      <c r="L81" s="3">
        <f>+D81-H81</f>
        <v>-6583.53</v>
      </c>
      <c r="M81" s="3"/>
      <c r="N81" s="20">
        <f>IF(H81=0,0,L81/H81)</f>
        <v>-0.97073577115895016</v>
      </c>
      <c r="O81" s="12"/>
      <c r="P81" s="3">
        <f>--18394.45</f>
        <v>18394.45</v>
      </c>
      <c r="Q81" s="3"/>
      <c r="R81" s="20">
        <f>IF(P$12=0,0,P81/P$12)</f>
        <v>8.2313943445788421E-2</v>
      </c>
      <c r="S81" s="3"/>
      <c r="T81" s="3">
        <f>--74602</f>
        <v>74602</v>
      </c>
      <c r="U81" s="3"/>
      <c r="V81" s="20">
        <f>IF(T$12=0,0,T81/T$12)</f>
        <v>0.58445542240618242</v>
      </c>
      <c r="W81" s="3"/>
      <c r="X81" s="3">
        <f>+P81-T81</f>
        <v>-56207.55</v>
      </c>
      <c r="Y81" s="3"/>
      <c r="Z81" s="20">
        <f>IF(T81=0,0,X81/T81)</f>
        <v>-0.75343221361357604</v>
      </c>
    </row>
    <row r="82" spans="1:26" ht="15" customHeight="1" x14ac:dyDescent="0.25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25">
      <c r="A83" s="11"/>
      <c r="B83" s="27" t="s">
        <v>291</v>
      </c>
      <c r="C83" s="27"/>
      <c r="D83" s="22">
        <f>+D30-D32+D80</f>
        <v>-292.77999999999997</v>
      </c>
      <c r="E83" s="15"/>
      <c r="F83" s="23">
        <f>IF(D$12=0,0,D83/D$12)</f>
        <v>-1.0285776518511622E-2</v>
      </c>
      <c r="G83" s="15"/>
      <c r="H83" s="22">
        <f>+H30-H32+H80</f>
        <v>6727.9700000000084</v>
      </c>
      <c r="I83" s="15"/>
      <c r="J83" s="23">
        <f>IF(H$12=0,0,H83/H$12)</f>
        <v>0.51968966787758264</v>
      </c>
      <c r="K83" s="16"/>
      <c r="L83" s="22">
        <f>+D83-H83</f>
        <v>-7020.7500000000082</v>
      </c>
      <c r="M83" s="16"/>
      <c r="N83" s="23">
        <f>IF(H83=0,0,L83/H83)</f>
        <v>-1.0435168408895996</v>
      </c>
      <c r="O83" s="28"/>
      <c r="P83" s="22">
        <f>+P30-P32+P80</f>
        <v>-32374.479999999876</v>
      </c>
      <c r="Q83" s="15"/>
      <c r="R83" s="23">
        <f>IF(P$12=0,0,P83/P$12)</f>
        <v>-0.14487365024813451</v>
      </c>
      <c r="S83" s="15"/>
      <c r="T83" s="22">
        <f>+T30-T32+T80</f>
        <v>-83314.320000000007</v>
      </c>
      <c r="U83" s="15"/>
      <c r="V83" s="23">
        <f>IF(T$12=0,0,T83/T$12)</f>
        <v>-0.6527104647071641</v>
      </c>
      <c r="W83" s="16"/>
      <c r="X83" s="22">
        <f>+P83-T83</f>
        <v>50939.840000000127</v>
      </c>
      <c r="Y83" s="16"/>
      <c r="Z83" s="23">
        <f>IF(T83=0,0,X83/T83)</f>
        <v>-0.61141758103529054</v>
      </c>
    </row>
    <row r="84" spans="1:26" ht="15" customHeight="1" x14ac:dyDescent="0.25">
      <c r="A84" s="10"/>
      <c r="B84" s="11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25">
      <c r="A85" s="48"/>
      <c r="B85" s="11" t="s">
        <v>292</v>
      </c>
      <c r="C85" s="11"/>
      <c r="D85" s="5">
        <v>3032.73</v>
      </c>
      <c r="E85" s="5"/>
      <c r="F85" s="13">
        <f>IF(D$12=0,0,D85/D$12)</f>
        <v>0.10654410486025601</v>
      </c>
      <c r="G85" s="5"/>
      <c r="H85" s="5">
        <v>3281.05</v>
      </c>
      <c r="I85" s="5"/>
      <c r="J85" s="13">
        <f>IF(H$12=0,0,H85/H$12)</f>
        <v>0.25343867240634849</v>
      </c>
      <c r="K85" s="5"/>
      <c r="L85" s="5">
        <f>+D85-H85</f>
        <v>-248.32000000000016</v>
      </c>
      <c r="M85" s="5"/>
      <c r="N85" s="13">
        <f>IF(H85=0,0,L85/H85)</f>
        <v>-7.5683089254964156E-2</v>
      </c>
      <c r="O85" s="11"/>
      <c r="P85" s="5">
        <v>25123.360000000001</v>
      </c>
      <c r="Q85" s="5"/>
      <c r="R85" s="13">
        <f>IF(P$12=0,0,P85/P$12)</f>
        <v>0.11242536929390022</v>
      </c>
      <c r="S85" s="5"/>
      <c r="T85" s="5">
        <v>27276.23</v>
      </c>
      <c r="U85" s="5"/>
      <c r="V85" s="13">
        <f>IF(T$12=0,0,T85/T$12)</f>
        <v>0.21369052473523745</v>
      </c>
      <c r="W85" s="5"/>
      <c r="X85" s="5">
        <f>+P85-T85</f>
        <v>-2152.869999999999</v>
      </c>
      <c r="Y85" s="5"/>
      <c r="Z85" s="13">
        <f>IF(T85=0,0,X85/T85)</f>
        <v>-7.8928429625355082E-2</v>
      </c>
    </row>
    <row r="86" spans="1:26" ht="15" customHeight="1" x14ac:dyDescent="0.25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25">
      <c r="A87" s="11"/>
      <c r="B87" s="27" t="s">
        <v>293</v>
      </c>
      <c r="C87" s="27"/>
      <c r="D87" s="35">
        <f>+D83-D85</f>
        <v>-3325.51</v>
      </c>
      <c r="E87" s="15"/>
      <c r="F87" s="30">
        <f>IF(D$12=0,0,D87/D$12)</f>
        <v>-0.11682988137876764</v>
      </c>
      <c r="G87" s="15"/>
      <c r="H87" s="35">
        <f>+H83-H85</f>
        <v>3446.9200000000083</v>
      </c>
      <c r="I87" s="15"/>
      <c r="J87" s="30">
        <f>IF(H$12=0,0,H87/H$12)</f>
        <v>0.26625099547123415</v>
      </c>
      <c r="K87" s="16"/>
      <c r="L87" s="35">
        <f>D87-H87</f>
        <v>-6772.4300000000085</v>
      </c>
      <c r="M87" s="16"/>
      <c r="N87" s="30">
        <f>IF(H87=0,0,L87/H87)</f>
        <v>-1.9647772504148608</v>
      </c>
      <c r="O87" s="28"/>
      <c r="P87" s="35">
        <f>+P83-P85</f>
        <v>-57497.83999999988</v>
      </c>
      <c r="Q87" s="15"/>
      <c r="R87" s="30">
        <f>IF(P$12=0,0,P87/P$12)</f>
        <v>-0.25729901954203477</v>
      </c>
      <c r="S87" s="15"/>
      <c r="T87" s="35">
        <f>+T83-T85</f>
        <v>-110590.55</v>
      </c>
      <c r="U87" s="15"/>
      <c r="V87" s="30">
        <f>IF(T$12=0,0,T87/T$12)</f>
        <v>-0.86640098944240151</v>
      </c>
      <c r="W87" s="16"/>
      <c r="X87" s="35">
        <f>P87-T87</f>
        <v>53092.710000000123</v>
      </c>
      <c r="Y87" s="16"/>
      <c r="Z87" s="30">
        <f>IF(T87=0,0,X87/T87)</f>
        <v>-0.4800836056968712</v>
      </c>
    </row>
    <row r="88" spans="1:26" ht="15" customHeight="1" x14ac:dyDescent="0.25">
      <c r="A88" s="10"/>
      <c r="B88" s="10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ht="15" customHeight="1" x14ac:dyDescent="0.25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25">
      <c r="A90" s="11"/>
      <c r="B90" s="27" t="s">
        <v>296</v>
      </c>
      <c r="C90" s="27"/>
      <c r="D90" s="32">
        <f>SUM(D87:D89)</f>
        <v>-3325.51</v>
      </c>
      <c r="E90" s="15"/>
      <c r="F90" s="34">
        <f>IF(D$12=0,0,D90/D$12)</f>
        <v>-0.11682988137876764</v>
      </c>
      <c r="G90" s="15"/>
      <c r="H90" s="32">
        <f>SUM(H87:H89)</f>
        <v>3446.9200000000083</v>
      </c>
      <c r="I90" s="15"/>
      <c r="J90" s="34">
        <f>IF(H$12=0,0,H90/H$12)</f>
        <v>0.26625099547123415</v>
      </c>
      <c r="K90" s="16"/>
      <c r="L90" s="32">
        <f>+D90-H90</f>
        <v>-6772.4300000000085</v>
      </c>
      <c r="M90" s="16"/>
      <c r="N90" s="34">
        <f>IF(H90=0,0,L90/H90)</f>
        <v>-1.9647772504148608</v>
      </c>
      <c r="O90" s="28"/>
      <c r="P90" s="32">
        <f>SUM(P87:P89)</f>
        <v>-57497.83999999988</v>
      </c>
      <c r="Q90" s="15"/>
      <c r="R90" s="34">
        <f>IF(P$12=0,0,P90/P$12)</f>
        <v>-0.25729901954203477</v>
      </c>
      <c r="S90" s="15"/>
      <c r="T90" s="32">
        <f>SUM(T87:T89)</f>
        <v>-110590.55</v>
      </c>
      <c r="U90" s="15"/>
      <c r="V90" s="34">
        <f>IF(T$12=0,0,T90/T$12)</f>
        <v>-0.86640098944240151</v>
      </c>
      <c r="W90" s="16"/>
      <c r="X90" s="32">
        <f>+P90-T90</f>
        <v>53092.710000000123</v>
      </c>
      <c r="Y90" s="16"/>
      <c r="Z90" s="34">
        <f>IF(T90=0,0,X90/T90)</f>
        <v>-0.4800836056968712</v>
      </c>
    </row>
    <row r="91" spans="1:26" ht="15" customHeight="1" x14ac:dyDescent="0.25">
      <c r="A91" s="10"/>
      <c r="C91" s="10"/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  <row r="92" spans="1:26" ht="15" customHeight="1" x14ac:dyDescent="0.25">
      <c r="A92" s="10"/>
      <c r="B92" s="50">
        <v>44727.879654085649</v>
      </c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  <row r="93" spans="1:26" ht="15" customHeight="1" x14ac:dyDescent="0.25">
      <c r="A93" s="10"/>
      <c r="B93" s="53" t="s">
        <v>297</v>
      </c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  <row r="94" spans="1:26" ht="15" customHeight="1" x14ac:dyDescent="0.25">
      <c r="A94" s="10"/>
      <c r="B94" s="55"/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  <row r="95" spans="1:26" ht="15" customHeight="1" x14ac:dyDescent="0.25"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A0C39-ABC1-171F-D509-99D1D9E2F6DB}">
  <sheetPr>
    <tabColor rgb="FFFFC000"/>
    <outlinePr summaryBelow="0" summaryRight="0"/>
  </sheetPr>
  <dimension ref="A2:Z11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314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413886.58999999997</v>
      </c>
      <c r="E12" s="5"/>
      <c r="F12" s="13"/>
      <c r="G12" s="5"/>
      <c r="H12" s="5">
        <f>SUM(OSRRefH13x_0)</f>
        <v>149780.6</v>
      </c>
      <c r="I12" s="5"/>
      <c r="J12" s="13"/>
      <c r="K12" s="5"/>
      <c r="L12" s="5">
        <f t="shared" ref="L12:L34" si="0">+D12-H12</f>
        <v>264105.99</v>
      </c>
      <c r="M12" s="5"/>
      <c r="N12" s="13">
        <f t="shared" ref="N12:N34" si="1">IF(H12=0,0,L12/H12)</f>
        <v>1.7632856992160533</v>
      </c>
      <c r="O12" s="11"/>
      <c r="P12" s="5">
        <f>SUM(OSRRefP13x_0)</f>
        <v>2484404.0700000003</v>
      </c>
      <c r="Q12" s="5"/>
      <c r="R12" s="13"/>
      <c r="S12" s="5"/>
      <c r="T12" s="5">
        <f>SUM(OSRRefT13x_0)</f>
        <v>2572564.4999999995</v>
      </c>
      <c r="U12" s="5"/>
      <c r="V12" s="13"/>
      <c r="W12" s="5"/>
      <c r="X12" s="5">
        <f t="shared" ref="X12:X34" si="2">+P12-T12</f>
        <v>-88160.429999999236</v>
      </c>
      <c r="Y12" s="5"/>
      <c r="Z12" s="13">
        <f t="shared" ref="Z12:Z34" si="3">IF(T12=0,0,X12/T12)</f>
        <v>-3.4269473126912565E-2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--401850.18</f>
        <v>401850.18</v>
      </c>
      <c r="E13" s="3"/>
      <c r="F13" s="20"/>
      <c r="G13" s="3"/>
      <c r="H13" s="3">
        <f>-55.8</f>
        <v>-55.8</v>
      </c>
      <c r="I13" s="3"/>
      <c r="J13" s="20"/>
      <c r="K13" s="3"/>
      <c r="L13" s="3">
        <f t="shared" si="0"/>
        <v>401905.98</v>
      </c>
      <c r="M13" s="3"/>
      <c r="N13" s="20">
        <f t="shared" si="1"/>
        <v>-7202.616129032258</v>
      </c>
      <c r="O13" s="12"/>
      <c r="P13" s="3">
        <f>--2350458.37</f>
        <v>2350458.37</v>
      </c>
      <c r="Q13" s="3"/>
      <c r="R13" s="20"/>
      <c r="S13" s="3"/>
      <c r="T13" s="3">
        <f>-2963.91</f>
        <v>-2963.91</v>
      </c>
      <c r="U13" s="3"/>
      <c r="V13" s="20"/>
      <c r="W13" s="3"/>
      <c r="X13" s="3">
        <f t="shared" si="2"/>
        <v>2353422.2800000003</v>
      </c>
      <c r="Y13" s="3"/>
      <c r="Z13" s="20">
        <f t="shared" si="3"/>
        <v>-794.02622886659867</v>
      </c>
    </row>
    <row r="14" spans="1:26" s="69" customFormat="1" ht="15" hidden="1" customHeight="1" outlineLevel="1" x14ac:dyDescent="0.25">
      <c r="A14" s="42"/>
      <c r="B14" s="12" t="str">
        <f>CONCATENATE("          ","4081"," - ","TAXABLE SALES-ELECTRONICS")</f>
        <v xml:space="preserve">          4081 - TAXABLE SALES-ELECTRONICS</v>
      </c>
      <c r="C14" s="12"/>
      <c r="D14" s="3">
        <f>0</f>
        <v>0</v>
      </c>
      <c r="E14" s="3"/>
      <c r="F14" s="20"/>
      <c r="G14" s="3"/>
      <c r="H14" s="3">
        <f>--1857.91</f>
        <v>1857.91</v>
      </c>
      <c r="I14" s="3"/>
      <c r="J14" s="20"/>
      <c r="K14" s="3"/>
      <c r="L14" s="3">
        <f t="shared" si="0"/>
        <v>-1857.91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--63953.98</f>
        <v>63953.98</v>
      </c>
      <c r="U14" s="3"/>
      <c r="V14" s="20"/>
      <c r="W14" s="3"/>
      <c r="X14" s="3">
        <f t="shared" si="2"/>
        <v>-63953.98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","4082"," - ","TAXABLE SALES-COMPUTER HARDWAR")</f>
        <v xml:space="preserve">          4082 - TAXABLE SALES-COMPUTER HARDWAR</v>
      </c>
      <c r="C15" s="12"/>
      <c r="D15" s="3">
        <f>0</f>
        <v>0</v>
      </c>
      <c r="E15" s="3"/>
      <c r="F15" s="20"/>
      <c r="G15" s="3"/>
      <c r="H15" s="3">
        <f>--117610.99</f>
        <v>117610.99</v>
      </c>
      <c r="I15" s="3"/>
      <c r="J15" s="20"/>
      <c r="K15" s="3"/>
      <c r="L15" s="3">
        <f t="shared" si="0"/>
        <v>-117610.99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--2129658.62</f>
        <v>2129658.62</v>
      </c>
      <c r="U15" s="3"/>
      <c r="V15" s="20"/>
      <c r="W15" s="3"/>
      <c r="X15" s="3">
        <f t="shared" si="2"/>
        <v>-2129658.62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","4083"," - ","TAXABLE SALES-COMPUTER EQUIPME")</f>
        <v xml:space="preserve">          4083 - TAXABLE SALES-COMPUTER EQUIPME</v>
      </c>
      <c r="C16" s="12"/>
      <c r="D16" s="3">
        <f>0</f>
        <v>0</v>
      </c>
      <c r="E16" s="3"/>
      <c r="F16" s="20"/>
      <c r="G16" s="3"/>
      <c r="H16" s="3">
        <f>--10204.05</f>
        <v>10204.049999999999</v>
      </c>
      <c r="I16" s="3"/>
      <c r="J16" s="20"/>
      <c r="K16" s="3"/>
      <c r="L16" s="3">
        <f t="shared" si="0"/>
        <v>-10204.049999999999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--137136.99</f>
        <v>137136.99</v>
      </c>
      <c r="U16" s="3"/>
      <c r="V16" s="20"/>
      <c r="W16" s="3"/>
      <c r="X16" s="3">
        <f t="shared" si="2"/>
        <v>-137136.99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","4085"," - ","TAXABLE SALES-SOFTWARE")</f>
        <v xml:space="preserve">          4085 - TAXABLE SALES-SOFTWARE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--4870.79</f>
        <v>4870.79</v>
      </c>
      <c r="U17" s="3"/>
      <c r="V17" s="20"/>
      <c r="W17" s="3"/>
      <c r="X17" s="3">
        <f t="shared" si="2"/>
        <v>-4870.79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","4086"," - ","TAXABLE SALES-COMPUTER SUPPLIE")</f>
        <v xml:space="preserve">          4086 - TAXABLE SALES-COMPUTER SUPPLIE</v>
      </c>
      <c r="C18" s="12"/>
      <c r="D18" s="3">
        <f>0</f>
        <v>0</v>
      </c>
      <c r="E18" s="3"/>
      <c r="F18" s="20"/>
      <c r="G18" s="3"/>
      <c r="H18" s="3">
        <f>--1662.79</f>
        <v>1662.79</v>
      </c>
      <c r="I18" s="3"/>
      <c r="J18" s="20"/>
      <c r="K18" s="3"/>
      <c r="L18" s="3">
        <f t="shared" si="0"/>
        <v>-1662.79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--66932.42</f>
        <v>66932.42</v>
      </c>
      <c r="U18" s="3"/>
      <c r="V18" s="20"/>
      <c r="W18" s="3"/>
      <c r="X18" s="3">
        <f t="shared" si="2"/>
        <v>-66932.42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","4100"," - ","NON-TAXABLE SALES")</f>
        <v xml:space="preserve">          4100 - NON-TAXABLE SALES</v>
      </c>
      <c r="C19" s="12"/>
      <c r="D19" s="3">
        <f>--42952.79</f>
        <v>42952.79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42952.79</v>
      </c>
      <c r="M19" s="3"/>
      <c r="N19" s="20">
        <f t="shared" si="1"/>
        <v>0</v>
      </c>
      <c r="O19" s="12"/>
      <c r="P19" s="3">
        <f>--668586.79</f>
        <v>668586.79</v>
      </c>
      <c r="Q19" s="3"/>
      <c r="R19" s="20"/>
      <c r="S19" s="3"/>
      <c r="T19" s="3">
        <f>0</f>
        <v>0</v>
      </c>
      <c r="U19" s="3"/>
      <c r="V19" s="20"/>
      <c r="W19" s="3"/>
      <c r="X19" s="3">
        <f t="shared" si="2"/>
        <v>668586.79</v>
      </c>
      <c r="Y19" s="3"/>
      <c r="Z19" s="20">
        <f t="shared" si="3"/>
        <v>0</v>
      </c>
    </row>
    <row r="20" spans="1:26" s="69" customFormat="1" ht="15" hidden="1" customHeight="1" outlineLevel="1" x14ac:dyDescent="0.25">
      <c r="A20" s="42"/>
      <c r="B20" s="12" t="str">
        <f>CONCATENATE("          ","4181"," - ","NON-TAXABLE SALES-ELECTRONICS")</f>
        <v xml:space="preserve">          4181 - NON-TAXABLE SALES-ELECTRONICS</v>
      </c>
      <c r="C20" s="12"/>
      <c r="D20" s="3">
        <f>0</f>
        <v>0</v>
      </c>
      <c r="E20" s="3"/>
      <c r="F20" s="20"/>
      <c r="G20" s="3"/>
      <c r="H20" s="3">
        <f>--1779.96</f>
        <v>1779.96</v>
      </c>
      <c r="I20" s="3"/>
      <c r="J20" s="20"/>
      <c r="K20" s="3"/>
      <c r="L20" s="3">
        <f t="shared" si="0"/>
        <v>-1779.96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--14288.58</f>
        <v>14288.58</v>
      </c>
      <c r="U20" s="3"/>
      <c r="V20" s="20"/>
      <c r="W20" s="3"/>
      <c r="X20" s="3">
        <f t="shared" si="2"/>
        <v>-14288.58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","4182"," - ","NON-TAXABLE SALES-COMPUTER HAR")</f>
        <v xml:space="preserve">          4182 - NON-TAXABLE SALES-COMPUTER HAR</v>
      </c>
      <c r="C21" s="12"/>
      <c r="D21" s="3">
        <f>0</f>
        <v>0</v>
      </c>
      <c r="E21" s="3"/>
      <c r="F21" s="20"/>
      <c r="G21" s="3"/>
      <c r="H21" s="3">
        <f>--33038.75</f>
        <v>33038.75</v>
      </c>
      <c r="I21" s="3"/>
      <c r="J21" s="20"/>
      <c r="K21" s="3"/>
      <c r="L21" s="3">
        <f t="shared" si="0"/>
        <v>-33038.75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--347529.22</f>
        <v>347529.22</v>
      </c>
      <c r="U21" s="3"/>
      <c r="V21" s="20"/>
      <c r="W21" s="3"/>
      <c r="X21" s="3">
        <f t="shared" si="2"/>
        <v>-347529.22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","4183"," - ","NON-TAXABLE SALES-COMPUTER EQU")</f>
        <v xml:space="preserve">          4183 - NON-TAXABLE SALES-COMPUTER EQU</v>
      </c>
      <c r="C22" s="12"/>
      <c r="D22" s="3">
        <f>0</f>
        <v>0</v>
      </c>
      <c r="E22" s="3"/>
      <c r="F22" s="20"/>
      <c r="G22" s="3"/>
      <c r="H22" s="3">
        <f>--2959.73</f>
        <v>2959.73</v>
      </c>
      <c r="I22" s="3"/>
      <c r="J22" s="20"/>
      <c r="K22" s="3"/>
      <c r="L22" s="3">
        <f t="shared" si="0"/>
        <v>-2959.73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--22445.75</f>
        <v>22445.75</v>
      </c>
      <c r="U22" s="3"/>
      <c r="V22" s="20"/>
      <c r="W22" s="3"/>
      <c r="X22" s="3">
        <f t="shared" si="2"/>
        <v>-22445.75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","4185"," - ","NON-TAXABLE SALES-SOFTWARE")</f>
        <v xml:space="preserve">          4185 - NON-TAXABLE SALES-SOFTWARE</v>
      </c>
      <c r="C23" s="12"/>
      <c r="D23" s="3">
        <f>0</f>
        <v>0</v>
      </c>
      <c r="E23" s="3"/>
      <c r="F23" s="20"/>
      <c r="G23" s="3"/>
      <c r="H23" s="3">
        <f>--5925.22</f>
        <v>5925.22</v>
      </c>
      <c r="I23" s="3"/>
      <c r="J23" s="20"/>
      <c r="K23" s="3"/>
      <c r="L23" s="3">
        <f t="shared" si="0"/>
        <v>-5925.22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--55957.61</f>
        <v>55957.61</v>
      </c>
      <c r="U23" s="3"/>
      <c r="V23" s="20"/>
      <c r="W23" s="3"/>
      <c r="X23" s="3">
        <f t="shared" si="2"/>
        <v>-55957.61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","4186"," - ","NON-TAXABLE SALES-COMPUTER SUP")</f>
        <v xml:space="preserve">          4186 - NON-TAXABLE SALES-COMPUTER SUP</v>
      </c>
      <c r="C24" s="12"/>
      <c r="D24" s="3">
        <f>0</f>
        <v>0</v>
      </c>
      <c r="E24" s="3"/>
      <c r="F24" s="20"/>
      <c r="G24" s="3"/>
      <c r="H24" s="3">
        <f>--133.97</f>
        <v>133.97</v>
      </c>
      <c r="I24" s="3"/>
      <c r="J24" s="20"/>
      <c r="K24" s="3"/>
      <c r="L24" s="3">
        <f t="shared" si="0"/>
        <v>-133.97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--3479.14</f>
        <v>3479.14</v>
      </c>
      <c r="U24" s="3"/>
      <c r="V24" s="20"/>
      <c r="W24" s="3"/>
      <c r="X24" s="3">
        <f t="shared" si="2"/>
        <v>-3479.14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","4200"," - ","TAXABLE RETURNS")</f>
        <v xml:space="preserve">          4200 - TAXABLE RETURNS</v>
      </c>
      <c r="C25" s="12"/>
      <c r="D25" s="3">
        <f>-30771.81</f>
        <v>-30771.81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-30771.81</v>
      </c>
      <c r="M25" s="3"/>
      <c r="N25" s="20">
        <f t="shared" si="1"/>
        <v>0</v>
      </c>
      <c r="O25" s="12"/>
      <c r="P25" s="3">
        <f>-532091.76</f>
        <v>-532091.76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-532091.76</v>
      </c>
      <c r="Y25" s="3"/>
      <c r="Z25" s="20">
        <f t="shared" si="3"/>
        <v>0</v>
      </c>
    </row>
    <row r="26" spans="1:26" s="69" customFormat="1" ht="15" hidden="1" customHeight="1" outlineLevel="1" x14ac:dyDescent="0.25">
      <c r="A26" s="42"/>
      <c r="B26" s="12" t="str">
        <f>CONCATENATE("          ","4281"," - ","SALES RETURN TAXABLE-ELECTRONI")</f>
        <v xml:space="preserve">          4281 - SALES RETURN TAXABLE-ELECTRONI</v>
      </c>
      <c r="C26" s="12"/>
      <c r="D26" s="3">
        <f>0</f>
        <v>0</v>
      </c>
      <c r="E26" s="3"/>
      <c r="F26" s="20"/>
      <c r="G26" s="3"/>
      <c r="H26" s="3">
        <f>-79.99</f>
        <v>-79.989999999999995</v>
      </c>
      <c r="I26" s="3"/>
      <c r="J26" s="20"/>
      <c r="K26" s="3"/>
      <c r="L26" s="3">
        <f t="shared" si="0"/>
        <v>79.989999999999995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-14842.13</f>
        <v>-14842.13</v>
      </c>
      <c r="U26" s="3"/>
      <c r="V26" s="20"/>
      <c r="W26" s="3"/>
      <c r="X26" s="3">
        <f t="shared" si="2"/>
        <v>14842.13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","4282"," - ","SALES RETURN TAXABLE-COMPUTER")</f>
        <v xml:space="preserve">          4282 - SALES RETURN TAXABLE-COMPUTER</v>
      </c>
      <c r="C27" s="12"/>
      <c r="D27" s="3">
        <f>0</f>
        <v>0</v>
      </c>
      <c r="E27" s="3"/>
      <c r="F27" s="20"/>
      <c r="G27" s="3"/>
      <c r="H27" s="3">
        <f>-25075.01</f>
        <v>-25075.01</v>
      </c>
      <c r="I27" s="3"/>
      <c r="J27" s="20"/>
      <c r="K27" s="3"/>
      <c r="L27" s="3">
        <f t="shared" si="0"/>
        <v>25075.01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-240220.17</f>
        <v>-240220.17</v>
      </c>
      <c r="U27" s="3"/>
      <c r="V27" s="20"/>
      <c r="W27" s="3"/>
      <c r="X27" s="3">
        <f t="shared" si="2"/>
        <v>240220.17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","4283"," - ","SALES RETURN TAXABLE-COMPUTER")</f>
        <v xml:space="preserve">          4283 - SALES RETURN TAXABLE-COMPUTER</v>
      </c>
      <c r="C28" s="12"/>
      <c r="D28" s="3">
        <f>0</f>
        <v>0</v>
      </c>
      <c r="E28" s="3"/>
      <c r="F28" s="20"/>
      <c r="G28" s="3"/>
      <c r="H28" s="3">
        <f>-181.97</f>
        <v>-181.97</v>
      </c>
      <c r="I28" s="3"/>
      <c r="J28" s="20"/>
      <c r="K28" s="3"/>
      <c r="L28" s="3">
        <f t="shared" si="0"/>
        <v>181.97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-4129.17</f>
        <v>-4129.17</v>
      </c>
      <c r="U28" s="3"/>
      <c r="V28" s="20"/>
      <c r="W28" s="3"/>
      <c r="X28" s="3">
        <f t="shared" si="2"/>
        <v>4129.17</v>
      </c>
      <c r="Y28" s="3"/>
      <c r="Z28" s="20">
        <f t="shared" si="3"/>
        <v>-1</v>
      </c>
    </row>
    <row r="29" spans="1:26" s="69" customFormat="1" ht="15" hidden="1" customHeight="1" outlineLevel="1" x14ac:dyDescent="0.25">
      <c r="A29" s="42"/>
      <c r="B29" s="12" t="str">
        <f>CONCATENATE("          ","4285"," - ","SALES RETURN TAXABLE-SOFTWARE")</f>
        <v xml:space="preserve">          4285 - SALES RETURN TAXABLE-SOFTWARE</v>
      </c>
      <c r="C29" s="12"/>
      <c r="D29" s="3">
        <f>0</f>
        <v>0</v>
      </c>
      <c r="E29" s="3"/>
      <c r="F29" s="20"/>
      <c r="G29" s="3"/>
      <c r="H29" s="3">
        <f>0</f>
        <v>0</v>
      </c>
      <c r="I29" s="3"/>
      <c r="J29" s="20"/>
      <c r="K29" s="3"/>
      <c r="L29" s="3">
        <f t="shared" si="0"/>
        <v>0</v>
      </c>
      <c r="M29" s="3"/>
      <c r="N29" s="20">
        <f t="shared" si="1"/>
        <v>0</v>
      </c>
      <c r="O29" s="12"/>
      <c r="P29" s="3">
        <f>0</f>
        <v>0</v>
      </c>
      <c r="Q29" s="3"/>
      <c r="R29" s="20"/>
      <c r="S29" s="3"/>
      <c r="T29" s="3">
        <f>-1091.79</f>
        <v>-1091.79</v>
      </c>
      <c r="U29" s="3"/>
      <c r="V29" s="20"/>
      <c r="W29" s="3"/>
      <c r="X29" s="3">
        <f t="shared" si="2"/>
        <v>1091.79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","4286"," - ","SALES RETURN TAXABLE-COMPUTER")</f>
        <v xml:space="preserve">          4286 - SALES RETURN TAXABLE-COMPUTER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-4802.29</f>
        <v>-4802.29</v>
      </c>
      <c r="U30" s="3"/>
      <c r="V30" s="20"/>
      <c r="W30" s="3"/>
      <c r="X30" s="3">
        <f t="shared" si="2"/>
        <v>4802.29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","4300"," - ","NON-TAX RETURNS")</f>
        <v xml:space="preserve">          4300 - NON-TAX RETURNS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-1114.52</f>
        <v>-1114.52</v>
      </c>
      <c r="Q31" s="3"/>
      <c r="R31" s="20"/>
      <c r="S31" s="3"/>
      <c r="T31" s="3">
        <f>0</f>
        <v>0</v>
      </c>
      <c r="U31" s="3"/>
      <c r="V31" s="20"/>
      <c r="W31" s="3"/>
      <c r="X31" s="3">
        <f t="shared" si="2"/>
        <v>-1114.52</v>
      </c>
      <c r="Y31" s="3"/>
      <c r="Z31" s="20">
        <f t="shared" si="3"/>
        <v>0</v>
      </c>
    </row>
    <row r="32" spans="1:26" s="69" customFormat="1" ht="15" hidden="1" customHeight="1" outlineLevel="1" x14ac:dyDescent="0.25">
      <c r="A32" s="42"/>
      <c r="B32" s="12" t="str">
        <f>CONCATENATE("          ","4381"," - ","SALES RETURN NON TAXABLE-ELECT")</f>
        <v xml:space="preserve">          4381 - SALES RETURN NON TAXABLE-ELECT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-5624.15</f>
        <v>-5624.15</v>
      </c>
      <c r="U32" s="3"/>
      <c r="V32" s="20"/>
      <c r="W32" s="3"/>
      <c r="X32" s="3">
        <f t="shared" si="2"/>
        <v>5624.15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","4383"," - ","SALES RETURN NON TAXABLE-COMPU")</f>
        <v xml:space="preserve">          4383 - SALES RETURN NON TAXABLE-COMPU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-14.99</f>
        <v>-14.99</v>
      </c>
      <c r="U33" s="3"/>
      <c r="V33" s="20"/>
      <c r="W33" s="3"/>
      <c r="X33" s="3">
        <f t="shared" si="2"/>
        <v>14.99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","4500"," - ","SALES DISCOUNT")</f>
        <v xml:space="preserve">          4500 - SALES DISCOUNT</v>
      </c>
      <c r="C34" s="12"/>
      <c r="D34" s="3">
        <f>-144.57</f>
        <v>-144.57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-144.57</v>
      </c>
      <c r="M34" s="3"/>
      <c r="N34" s="20">
        <f t="shared" si="1"/>
        <v>0</v>
      </c>
      <c r="O34" s="12"/>
      <c r="P34" s="3">
        <f>-1434.81</f>
        <v>-1434.81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-1434.81</v>
      </c>
      <c r="Y34" s="3"/>
      <c r="Z34" s="20">
        <f t="shared" si="3"/>
        <v>0</v>
      </c>
    </row>
    <row r="35" spans="1:26" ht="15" customHeight="1" x14ac:dyDescent="0.25">
      <c r="A35" s="10"/>
      <c r="B35" s="11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collapsed="1" x14ac:dyDescent="0.25">
      <c r="A36" s="11"/>
      <c r="B36" s="28" t="s">
        <v>287</v>
      </c>
      <c r="C36" s="11"/>
      <c r="D36" s="5">
        <f>SUM(OSRRefD16x_0)</f>
        <v>340796.54</v>
      </c>
      <c r="E36" s="5"/>
      <c r="F36" s="13">
        <f t="shared" ref="F36:F50" si="4">IF(D$12=0,0,D36/D$12)</f>
        <v>0.82340560973478272</v>
      </c>
      <c r="G36" s="5"/>
      <c r="H36" s="5">
        <f>SUM(OSRRefH16x_0)</f>
        <v>56555</v>
      </c>
      <c r="I36" s="5"/>
      <c r="J36" s="13">
        <f t="shared" ref="J36:J50" si="5">IF(H$12=0,0,H36/H$12)</f>
        <v>0.377585615226538</v>
      </c>
      <c r="K36" s="5"/>
      <c r="L36" s="5">
        <f t="shared" ref="L36:L50" si="6">+D36-H36</f>
        <v>284241.53999999998</v>
      </c>
      <c r="M36" s="5"/>
      <c r="N36" s="13">
        <f t="shared" ref="N36:N50" si="7">IF(H36=0,0,L36/H36)</f>
        <v>5.0259312173989921</v>
      </c>
      <c r="O36" s="11"/>
      <c r="P36" s="5">
        <f>SUM(OSRRefP16x_0)</f>
        <v>2109390.0799999996</v>
      </c>
      <c r="Q36" s="5"/>
      <c r="R36" s="13">
        <f t="shared" ref="R36:R50" si="8">IF(P$12=0,0,P36/P$12)</f>
        <v>0.84905273883245547</v>
      </c>
      <c r="S36" s="5"/>
      <c r="T36" s="5">
        <f>SUM(OSRRefT16x_0)</f>
        <v>2290489.8400000003</v>
      </c>
      <c r="U36" s="5"/>
      <c r="V36" s="13">
        <f t="shared" ref="V36:V50" si="9">IF(T$12=0,0,T36/T$12)</f>
        <v>0.89035273556795202</v>
      </c>
      <c r="W36" s="5"/>
      <c r="X36" s="5">
        <f t="shared" ref="X36:X50" si="10">+P36-T36</f>
        <v>-181099.76000000071</v>
      </c>
      <c r="Y36" s="5"/>
      <c r="Z36" s="13">
        <f t="shared" ref="Z36:Z50" si="11">IF(T36=0,0,X36/T36)</f>
        <v>-7.9065952110925181E-2</v>
      </c>
    </row>
    <row r="37" spans="1:26" s="69" customFormat="1" ht="15" hidden="1" customHeight="1" outlineLevel="1" x14ac:dyDescent="0.25">
      <c r="A37" s="42"/>
      <c r="B37" s="12" t="str">
        <f>CONCATENATE("          ","5000"," - ","PURCHASES @ COST")</f>
        <v xml:space="preserve">          5000 - PURCHASES @ COST</v>
      </c>
      <c r="C37" s="12"/>
      <c r="D37" s="3">
        <v>465659.54</v>
      </c>
      <c r="E37" s="3"/>
      <c r="F37" s="20">
        <f t="shared" si="4"/>
        <v>1.1250897015049461</v>
      </c>
      <c r="G37" s="3"/>
      <c r="H37" s="3"/>
      <c r="I37" s="3"/>
      <c r="J37" s="20">
        <f t="shared" si="5"/>
        <v>0</v>
      </c>
      <c r="K37" s="3"/>
      <c r="L37" s="3">
        <f t="shared" si="6"/>
        <v>465659.54</v>
      </c>
      <c r="M37" s="3"/>
      <c r="N37" s="20">
        <f t="shared" si="7"/>
        <v>0</v>
      </c>
      <c r="O37" s="12"/>
      <c r="P37" s="3">
        <v>2223758.7599999998</v>
      </c>
      <c r="Q37" s="3"/>
      <c r="R37" s="20">
        <f t="shared" si="8"/>
        <v>0.89508739212458277</v>
      </c>
      <c r="S37" s="3"/>
      <c r="T37" s="3">
        <v>0</v>
      </c>
      <c r="U37" s="3"/>
      <c r="V37" s="20">
        <f t="shared" si="9"/>
        <v>0</v>
      </c>
      <c r="W37" s="3"/>
      <c r="X37" s="3">
        <f t="shared" si="10"/>
        <v>2223758.7599999998</v>
      </c>
      <c r="Y37" s="3"/>
      <c r="Z37" s="20">
        <f t="shared" si="11"/>
        <v>0</v>
      </c>
    </row>
    <row r="38" spans="1:26" s="69" customFormat="1" ht="15" hidden="1" customHeight="1" outlineLevel="1" x14ac:dyDescent="0.25">
      <c r="A38" s="42"/>
      <c r="B38" s="12" t="str">
        <f>CONCATENATE("          ","5081"," - ","PURCHASES @ COST-ELECTRONICS")</f>
        <v xml:space="preserve">          5081 - PURCHASES @ COST-ELECTRONICS</v>
      </c>
      <c r="C38" s="12"/>
      <c r="D38" s="3"/>
      <c r="E38" s="3"/>
      <c r="F38" s="20">
        <f t="shared" si="4"/>
        <v>0</v>
      </c>
      <c r="G38" s="3"/>
      <c r="H38" s="3">
        <v>-28.91</v>
      </c>
      <c r="I38" s="3"/>
      <c r="J38" s="20">
        <f t="shared" si="5"/>
        <v>-1.9301565089203807E-4</v>
      </c>
      <c r="K38" s="3"/>
      <c r="L38" s="3">
        <f t="shared" si="6"/>
        <v>28.91</v>
      </c>
      <c r="M38" s="3"/>
      <c r="N38" s="20">
        <f t="shared" si="7"/>
        <v>-1</v>
      </c>
      <c r="O38" s="12"/>
      <c r="P38" s="3">
        <v>0</v>
      </c>
      <c r="Q38" s="3"/>
      <c r="R38" s="20">
        <f t="shared" si="8"/>
        <v>0</v>
      </c>
      <c r="S38" s="3"/>
      <c r="T38" s="3">
        <v>32419.46</v>
      </c>
      <c r="U38" s="3"/>
      <c r="V38" s="20">
        <f t="shared" si="9"/>
        <v>1.2602000843904984E-2</v>
      </c>
      <c r="W38" s="3"/>
      <c r="X38" s="3">
        <f t="shared" si="10"/>
        <v>-32419.46</v>
      </c>
      <c r="Y38" s="3"/>
      <c r="Z38" s="20">
        <f t="shared" si="11"/>
        <v>-1</v>
      </c>
    </row>
    <row r="39" spans="1:26" s="69" customFormat="1" ht="15" hidden="1" customHeight="1" outlineLevel="1" x14ac:dyDescent="0.25">
      <c r="A39" s="42"/>
      <c r="B39" s="12" t="str">
        <f>CONCATENATE("          ","5082"," - ","PURCHASES @ COST-COMPUTER HARD")</f>
        <v xml:space="preserve">          5082 - PURCHASES @ COST-COMPUTER HARD</v>
      </c>
      <c r="C39" s="12"/>
      <c r="D39" s="3">
        <v>-10189.709999999999</v>
      </c>
      <c r="E39" s="3"/>
      <c r="F39" s="20">
        <f t="shared" si="4"/>
        <v>-2.4619570303062971E-2</v>
      </c>
      <c r="G39" s="3"/>
      <c r="H39" s="3">
        <v>129194.07</v>
      </c>
      <c r="I39" s="3"/>
      <c r="J39" s="20">
        <f t="shared" si="5"/>
        <v>0.86255543107718891</v>
      </c>
      <c r="K39" s="3"/>
      <c r="L39" s="3">
        <f t="shared" si="6"/>
        <v>-139383.78</v>
      </c>
      <c r="M39" s="3"/>
      <c r="N39" s="20">
        <f t="shared" si="7"/>
        <v>-1.0788713444819873</v>
      </c>
      <c r="O39" s="12"/>
      <c r="P39" s="3">
        <v>-120382.97</v>
      </c>
      <c r="Q39" s="3"/>
      <c r="R39" s="20">
        <f t="shared" si="8"/>
        <v>-4.8455471255124768E-2</v>
      </c>
      <c r="S39" s="3"/>
      <c r="T39" s="3">
        <v>1802534.87</v>
      </c>
      <c r="U39" s="3"/>
      <c r="V39" s="20">
        <f t="shared" si="9"/>
        <v>0.70067625904034692</v>
      </c>
      <c r="W39" s="3"/>
      <c r="X39" s="3">
        <f t="shared" si="10"/>
        <v>-1922917.84</v>
      </c>
      <c r="Y39" s="3"/>
      <c r="Z39" s="20">
        <f t="shared" si="11"/>
        <v>-1.0667853765292208</v>
      </c>
    </row>
    <row r="40" spans="1:26" s="69" customFormat="1" ht="15" hidden="1" customHeight="1" outlineLevel="1" x14ac:dyDescent="0.25">
      <c r="A40" s="42"/>
      <c r="B40" s="12" t="str">
        <f>CONCATENATE("          ","5083"," - ","PURCHASES @ COST-COMPUTER EQUI")</f>
        <v xml:space="preserve">          5083 - PURCHASES @ COST-COMPUTER EQUI</v>
      </c>
      <c r="C40" s="12"/>
      <c r="D40" s="3"/>
      <c r="E40" s="3"/>
      <c r="F40" s="20">
        <f t="shared" si="4"/>
        <v>0</v>
      </c>
      <c r="G40" s="3"/>
      <c r="H40" s="3">
        <v>7514.45</v>
      </c>
      <c r="I40" s="3"/>
      <c r="J40" s="20">
        <f t="shared" si="5"/>
        <v>5.0169714902998118E-2</v>
      </c>
      <c r="K40" s="3"/>
      <c r="L40" s="3">
        <f t="shared" si="6"/>
        <v>-7514.45</v>
      </c>
      <c r="M40" s="3"/>
      <c r="N40" s="20">
        <f t="shared" si="7"/>
        <v>-1</v>
      </c>
      <c r="O40" s="12"/>
      <c r="P40" s="3">
        <v>0</v>
      </c>
      <c r="Q40" s="3"/>
      <c r="R40" s="20">
        <f t="shared" si="8"/>
        <v>0</v>
      </c>
      <c r="S40" s="3"/>
      <c r="T40" s="3">
        <v>127029.94</v>
      </c>
      <c r="U40" s="3"/>
      <c r="V40" s="20">
        <f t="shared" si="9"/>
        <v>4.9378719173027545E-2</v>
      </c>
      <c r="W40" s="3"/>
      <c r="X40" s="3">
        <f t="shared" si="10"/>
        <v>-127029.94</v>
      </c>
      <c r="Y40" s="3"/>
      <c r="Z40" s="20">
        <f t="shared" si="11"/>
        <v>-1</v>
      </c>
    </row>
    <row r="41" spans="1:26" s="69" customFormat="1" ht="15" hidden="1" customHeight="1" outlineLevel="1" x14ac:dyDescent="0.25">
      <c r="A41" s="42"/>
      <c r="B41" s="12" t="str">
        <f>CONCATENATE("          ","5085"," - ","PURCHASES @ COST-SOFTWARE")</f>
        <v xml:space="preserve">          5085 - PURCHASES @ COST-SOFTWARE</v>
      </c>
      <c r="C41" s="12"/>
      <c r="D41" s="3"/>
      <c r="E41" s="3"/>
      <c r="F41" s="20">
        <f t="shared" si="4"/>
        <v>0</v>
      </c>
      <c r="G41" s="3"/>
      <c r="H41" s="3">
        <v>8375.49</v>
      </c>
      <c r="I41" s="3"/>
      <c r="J41" s="20">
        <f t="shared" si="5"/>
        <v>5.5918389965055548E-2</v>
      </c>
      <c r="K41" s="3"/>
      <c r="L41" s="3">
        <f t="shared" si="6"/>
        <v>-8375.49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46286.37</v>
      </c>
      <c r="U41" s="3"/>
      <c r="V41" s="20">
        <f t="shared" si="9"/>
        <v>1.7992306898427624E-2</v>
      </c>
      <c r="W41" s="3"/>
      <c r="X41" s="3">
        <f t="shared" si="10"/>
        <v>-46286.37</v>
      </c>
      <c r="Y41" s="3"/>
      <c r="Z41" s="20">
        <f t="shared" si="11"/>
        <v>-1</v>
      </c>
    </row>
    <row r="42" spans="1:26" s="69" customFormat="1" ht="15" hidden="1" customHeight="1" outlineLevel="1" x14ac:dyDescent="0.25">
      <c r="A42" s="42"/>
      <c r="B42" s="12" t="str">
        <f>CONCATENATE("          ","5086"," - ","PURCHASES @ COST-COMPUTER SUPP")</f>
        <v xml:space="preserve">          5086 - PURCHASES @ COST-COMPUTER SUPP</v>
      </c>
      <c r="C42" s="12"/>
      <c r="D42" s="3"/>
      <c r="E42" s="3"/>
      <c r="F42" s="20">
        <f t="shared" si="4"/>
        <v>0</v>
      </c>
      <c r="G42" s="3"/>
      <c r="H42" s="3">
        <v>83.62</v>
      </c>
      <c r="I42" s="3"/>
      <c r="J42" s="20">
        <f t="shared" si="5"/>
        <v>5.5828324896548681E-4</v>
      </c>
      <c r="K42" s="3"/>
      <c r="L42" s="3">
        <f t="shared" si="6"/>
        <v>-83.62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23763.01</v>
      </c>
      <c r="U42" s="3"/>
      <c r="V42" s="20">
        <f t="shared" si="9"/>
        <v>9.2370900710166855E-3</v>
      </c>
      <c r="W42" s="3"/>
      <c r="X42" s="3">
        <f t="shared" si="10"/>
        <v>-23763.01</v>
      </c>
      <c r="Y42" s="3"/>
      <c r="Z42" s="20">
        <f t="shared" si="11"/>
        <v>-1</v>
      </c>
    </row>
    <row r="43" spans="1:26" s="69" customFormat="1" ht="15" hidden="1" customHeight="1" outlineLevel="1" x14ac:dyDescent="0.25">
      <c r="A43" s="42"/>
      <c r="B43" s="12" t="str">
        <f>CONCATENATE("          ","5200"," - ","PURCHASES OFFSET")</f>
        <v xml:space="preserve">          5200 - PURCHASES OFFSET</v>
      </c>
      <c r="C43" s="12"/>
      <c r="D43" s="3">
        <v>-465659.54</v>
      </c>
      <c r="E43" s="3"/>
      <c r="F43" s="20">
        <f t="shared" si="4"/>
        <v>-1.1250897015049461</v>
      </c>
      <c r="G43" s="3"/>
      <c r="H43" s="3">
        <v>-145158.72</v>
      </c>
      <c r="I43" s="3"/>
      <c r="J43" s="20">
        <f t="shared" si="5"/>
        <v>-0.96914233218454193</v>
      </c>
      <c r="K43" s="3"/>
      <c r="L43" s="3">
        <f t="shared" si="6"/>
        <v>-320500.81999999995</v>
      </c>
      <c r="M43" s="3"/>
      <c r="N43" s="20">
        <f t="shared" si="7"/>
        <v>2.2079336329226376</v>
      </c>
      <c r="O43" s="12"/>
      <c r="P43" s="3">
        <v>-2223961.88</v>
      </c>
      <c r="Q43" s="3"/>
      <c r="R43" s="20">
        <f t="shared" si="8"/>
        <v>-0.89516915016163201</v>
      </c>
      <c r="S43" s="3"/>
      <c r="T43" s="3">
        <v>-2028539.8</v>
      </c>
      <c r="U43" s="3"/>
      <c r="V43" s="20">
        <f t="shared" si="9"/>
        <v>-0.78852825653156622</v>
      </c>
      <c r="W43" s="3"/>
      <c r="X43" s="3">
        <f t="shared" si="10"/>
        <v>-195422.07999999984</v>
      </c>
      <c r="Y43" s="3"/>
      <c r="Z43" s="20">
        <f t="shared" si="11"/>
        <v>9.6336330201655315E-2</v>
      </c>
    </row>
    <row r="44" spans="1:26" s="69" customFormat="1" ht="15" hidden="1" customHeight="1" outlineLevel="1" x14ac:dyDescent="0.25">
      <c r="A44" s="42"/>
      <c r="B44" s="12" t="str">
        <f>CONCATENATE("          ","5300"," - ","COG$ OFFSET")</f>
        <v xml:space="preserve">          5300 - COG$ OFFSET</v>
      </c>
      <c r="C44" s="12"/>
      <c r="D44" s="3">
        <v>350986.25</v>
      </c>
      <c r="E44" s="3"/>
      <c r="F44" s="20">
        <f t="shared" si="4"/>
        <v>0.84802518003784566</v>
      </c>
      <c r="G44" s="3"/>
      <c r="H44" s="3">
        <v>56555</v>
      </c>
      <c r="I44" s="3"/>
      <c r="J44" s="20">
        <f t="shared" si="5"/>
        <v>0.377585615226538</v>
      </c>
      <c r="K44" s="3"/>
      <c r="L44" s="3">
        <f t="shared" si="6"/>
        <v>294431.25</v>
      </c>
      <c r="M44" s="3"/>
      <c r="N44" s="20">
        <f t="shared" si="7"/>
        <v>5.2061046768632302</v>
      </c>
      <c r="O44" s="12"/>
      <c r="P44" s="3">
        <v>2229773.0499999998</v>
      </c>
      <c r="Q44" s="3"/>
      <c r="R44" s="20">
        <f t="shared" si="8"/>
        <v>0.8975082100875803</v>
      </c>
      <c r="S44" s="3"/>
      <c r="T44" s="3">
        <v>2286544</v>
      </c>
      <c r="U44" s="3"/>
      <c r="V44" s="20">
        <f t="shared" si="9"/>
        <v>0.88881891979773509</v>
      </c>
      <c r="W44" s="3"/>
      <c r="X44" s="3">
        <f t="shared" si="10"/>
        <v>-56770.950000000186</v>
      </c>
      <c r="Y44" s="3"/>
      <c r="Z44" s="20">
        <f t="shared" si="11"/>
        <v>-2.4828277960100564E-2</v>
      </c>
    </row>
    <row r="45" spans="1:26" s="69" customFormat="1" ht="15" hidden="1" customHeight="1" outlineLevel="1" x14ac:dyDescent="0.25">
      <c r="A45" s="42"/>
      <c r="B45" s="12" t="str">
        <f>CONCATENATE("          ","5500"," - ","FREIGHT-IN")</f>
        <v xml:space="preserve">          5500 - FREIGHT-IN</v>
      </c>
      <c r="C45" s="12"/>
      <c r="D45" s="3"/>
      <c r="E45" s="3"/>
      <c r="F45" s="20">
        <f t="shared" si="4"/>
        <v>0</v>
      </c>
      <c r="G45" s="3"/>
      <c r="H45" s="3">
        <v>0</v>
      </c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203.12</v>
      </c>
      <c r="Q45" s="3"/>
      <c r="R45" s="20">
        <f t="shared" si="8"/>
        <v>8.1758037049102066E-5</v>
      </c>
      <c r="S45" s="3"/>
      <c r="T45" s="3">
        <v>0</v>
      </c>
      <c r="U45" s="3"/>
      <c r="V45" s="20">
        <f t="shared" si="9"/>
        <v>0</v>
      </c>
      <c r="W45" s="3"/>
      <c r="X45" s="3">
        <f t="shared" si="10"/>
        <v>203.12</v>
      </c>
      <c r="Y45" s="3"/>
      <c r="Z45" s="20">
        <f t="shared" si="11"/>
        <v>0</v>
      </c>
    </row>
    <row r="46" spans="1:26" s="69" customFormat="1" ht="15" hidden="1" customHeight="1" outlineLevel="1" x14ac:dyDescent="0.25">
      <c r="A46" s="42"/>
      <c r="B46" s="12" t="str">
        <f>CONCATENATE("          ","5581"," - ","FREIGHT-IN-ELECTRONICS")</f>
        <v xml:space="preserve">          5581 - FREIGHT-IN-ELECTRONICS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31</v>
      </c>
      <c r="U46" s="3"/>
      <c r="V46" s="20">
        <f t="shared" si="9"/>
        <v>1.2050232365408139E-5</v>
      </c>
      <c r="W46" s="3"/>
      <c r="X46" s="3">
        <f t="shared" si="10"/>
        <v>-31</v>
      </c>
      <c r="Y46" s="3"/>
      <c r="Z46" s="20">
        <f t="shared" si="11"/>
        <v>-1</v>
      </c>
    </row>
    <row r="47" spans="1:26" s="69" customFormat="1" ht="15" hidden="1" customHeight="1" outlineLevel="1" x14ac:dyDescent="0.25">
      <c r="A47" s="42"/>
      <c r="B47" s="12" t="str">
        <f>CONCATENATE("          ","5582"," - ","FREIGHT-IN-COMPUTER HARDWARE")</f>
        <v xml:space="preserve">          5582 - FREIGHT-IN-COMPUTER HARDWARE</v>
      </c>
      <c r="C47" s="12"/>
      <c r="D47" s="3"/>
      <c r="E47" s="3"/>
      <c r="F47" s="20">
        <f t="shared" si="4"/>
        <v>0</v>
      </c>
      <c r="G47" s="3"/>
      <c r="H47" s="3">
        <v>20</v>
      </c>
      <c r="I47" s="3"/>
      <c r="J47" s="20">
        <f t="shared" si="5"/>
        <v>1.3352864122589974E-4</v>
      </c>
      <c r="K47" s="3"/>
      <c r="L47" s="3">
        <f t="shared" si="6"/>
        <v>-20</v>
      </c>
      <c r="M47" s="3"/>
      <c r="N47" s="20">
        <f t="shared" si="7"/>
        <v>-1</v>
      </c>
      <c r="O47" s="12"/>
      <c r="P47" s="3"/>
      <c r="Q47" s="3"/>
      <c r="R47" s="20">
        <f t="shared" si="8"/>
        <v>0</v>
      </c>
      <c r="S47" s="3"/>
      <c r="T47" s="3">
        <v>145</v>
      </c>
      <c r="U47" s="3"/>
      <c r="V47" s="20">
        <f t="shared" si="9"/>
        <v>5.6363990096263875E-5</v>
      </c>
      <c r="W47" s="3"/>
      <c r="X47" s="3">
        <f t="shared" si="10"/>
        <v>-145</v>
      </c>
      <c r="Y47" s="3"/>
      <c r="Z47" s="20">
        <f t="shared" si="11"/>
        <v>-1</v>
      </c>
    </row>
    <row r="48" spans="1:26" s="69" customFormat="1" ht="15" hidden="1" customHeight="1" outlineLevel="1" x14ac:dyDescent="0.25">
      <c r="A48" s="42"/>
      <c r="B48" s="12" t="str">
        <f>CONCATENATE("          ","5583"," - ","FREIGHT-IN-COMPUTER EQUIPMENT")</f>
        <v xml:space="preserve">          5583 - FREIGHT-IN-COMPUTER EQUIPMENT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>
        <v>242.46</v>
      </c>
      <c r="U48" s="3"/>
      <c r="V48" s="20">
        <f t="shared" si="9"/>
        <v>9.4248365784414757E-5</v>
      </c>
      <c r="W48" s="3"/>
      <c r="X48" s="3">
        <f t="shared" si="10"/>
        <v>-242.46</v>
      </c>
      <c r="Y48" s="3"/>
      <c r="Z48" s="20">
        <f t="shared" si="11"/>
        <v>-1</v>
      </c>
    </row>
    <row r="49" spans="1:26" s="69" customFormat="1" ht="15" hidden="1" customHeight="1" outlineLevel="1" x14ac:dyDescent="0.25">
      <c r="A49" s="42"/>
      <c r="B49" s="12" t="str">
        <f>CONCATENATE("          ","5585"," - ","FREIGHT-IN-SOFTWARE")</f>
        <v xml:space="preserve">          5585 - FREIGHT-IN-SOFTWARE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9.41</v>
      </c>
      <c r="U49" s="3"/>
      <c r="V49" s="20">
        <f t="shared" si="9"/>
        <v>3.6578285986609865E-6</v>
      </c>
      <c r="W49" s="3"/>
      <c r="X49" s="3">
        <f t="shared" si="10"/>
        <v>-9.41</v>
      </c>
      <c r="Y49" s="3"/>
      <c r="Z49" s="20">
        <f t="shared" si="11"/>
        <v>-1</v>
      </c>
    </row>
    <row r="50" spans="1:26" s="69" customFormat="1" ht="15" hidden="1" customHeight="1" outlineLevel="1" x14ac:dyDescent="0.25">
      <c r="A50" s="42"/>
      <c r="B50" s="12" t="str">
        <f>CONCATENATE("          ","5586"," - ","FREIGHT-IN-COMPUTER SUPPLIES")</f>
        <v xml:space="preserve">          5586 - FREIGHT-IN-COMPUTER SUPPLIES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/>
      <c r="Q50" s="3"/>
      <c r="R50" s="20">
        <f t="shared" si="8"/>
        <v>0</v>
      </c>
      <c r="S50" s="3"/>
      <c r="T50" s="3">
        <v>24.12</v>
      </c>
      <c r="U50" s="3"/>
      <c r="V50" s="20">
        <f t="shared" si="9"/>
        <v>9.3758582146336879E-6</v>
      </c>
      <c r="W50" s="3"/>
      <c r="X50" s="3">
        <f t="shared" si="10"/>
        <v>-24.12</v>
      </c>
      <c r="Y50" s="3"/>
      <c r="Z50" s="20">
        <f t="shared" si="11"/>
        <v>-1</v>
      </c>
    </row>
    <row r="51" spans="1:26" ht="15" customHeight="1" x14ac:dyDescent="0.25">
      <c r="A51" s="10"/>
      <c r="B51" s="11"/>
      <c r="C51" s="11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O51" s="11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25">
      <c r="A52" s="11"/>
      <c r="B52" s="27" t="s">
        <v>288</v>
      </c>
      <c r="C52" s="27"/>
      <c r="D52" s="22">
        <f>D12-D36</f>
        <v>73090.049999999988</v>
      </c>
      <c r="E52" s="15"/>
      <c r="F52" s="23">
        <f>IF(D$12=0,0,D52/D$12)</f>
        <v>0.17659439026521734</v>
      </c>
      <c r="G52" s="15"/>
      <c r="H52" s="22">
        <f>H12-H36</f>
        <v>93225.600000000006</v>
      </c>
      <c r="I52" s="15"/>
      <c r="J52" s="23">
        <f>IF(H$12=0,0,H52/H$12)</f>
        <v>0.622414384773462</v>
      </c>
      <c r="K52" s="16"/>
      <c r="L52" s="22">
        <f>+D52-H52</f>
        <v>-20135.550000000017</v>
      </c>
      <c r="M52" s="16"/>
      <c r="N52" s="23">
        <f>IF(H52=0,0,L52/H52)</f>
        <v>-0.21598734682319037</v>
      </c>
      <c r="O52" s="28"/>
      <c r="P52" s="22">
        <f>P12-P36</f>
        <v>375013.99000000069</v>
      </c>
      <c r="Q52" s="15"/>
      <c r="R52" s="23">
        <f>IF(P$12=0,0,P52/P$12)</f>
        <v>0.15094726116754456</v>
      </c>
      <c r="S52" s="15"/>
      <c r="T52" s="22">
        <f>T12-T36</f>
        <v>282074.65999999922</v>
      </c>
      <c r="U52" s="15"/>
      <c r="V52" s="23">
        <f>IF(T$12=0,0,T52/T$12)</f>
        <v>0.10964726443204798</v>
      </c>
      <c r="W52" s="16"/>
      <c r="X52" s="22">
        <f>+P52-T52</f>
        <v>92939.330000001471</v>
      </c>
      <c r="Y52" s="16"/>
      <c r="Z52" s="23">
        <f>IF(T52=0,0,X52/T52)</f>
        <v>0.32948486049757797</v>
      </c>
    </row>
    <row r="53" spans="1:26" ht="15" customHeight="1" x14ac:dyDescent="0.25">
      <c r="A53" s="10"/>
      <c r="B53" s="11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3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62" customFormat="1" ht="15" customHeight="1" x14ac:dyDescent="0.25">
      <c r="A54" s="11"/>
      <c r="B54" s="28" t="s">
        <v>289</v>
      </c>
      <c r="C54" s="11"/>
      <c r="D54" s="21" cm="1">
        <f t="array" ref="D54">SUM(OSRRefD22x_0)</f>
        <v>17874.759999999998</v>
      </c>
      <c r="E54" s="21"/>
      <c r="F54" s="31">
        <f t="shared" ref="F54:F96" si="12">IF(D$12=0,0,D54/D$12)</f>
        <v>4.3187579476783727E-2</v>
      </c>
      <c r="G54" s="21"/>
      <c r="H54" s="21" cm="1">
        <f t="array" ref="H54">SUM(OSRRefH22x_0)</f>
        <v>13748.640000000001</v>
      </c>
      <c r="I54" s="21"/>
      <c r="J54" s="31">
        <f t="shared" ref="J54:J96" si="13">IF(H$12=0,0,H54/H$12)</f>
        <v>9.179186089520272E-2</v>
      </c>
      <c r="K54" s="5"/>
      <c r="L54" s="21">
        <f t="shared" ref="L54:L96" si="14">+D54-H54</f>
        <v>4126.1199999999972</v>
      </c>
      <c r="M54" s="5"/>
      <c r="N54" s="31">
        <f t="shared" ref="N54:N96" si="15">IF(H54=0,0,L54/H54)</f>
        <v>0.30011113826531183</v>
      </c>
      <c r="O54" s="11"/>
      <c r="P54" s="21" cm="1">
        <f t="array" ref="P54">SUM(OSRRefP22x_0)</f>
        <v>171303.28</v>
      </c>
      <c r="Q54" s="21"/>
      <c r="R54" s="31">
        <f t="shared" ref="R54:R96" si="16">IF(P$12=0,0,P54/P$12)</f>
        <v>6.8951456837695477E-2</v>
      </c>
      <c r="S54" s="21"/>
      <c r="T54" s="21" cm="1">
        <f t="array" ref="T54">SUM(OSRRefT22x_0)</f>
        <v>151444.41999999998</v>
      </c>
      <c r="U54" s="21"/>
      <c r="V54" s="31">
        <f t="shared" ref="V54:V96" si="17">IF(T$12=0,0,T54/T$12)</f>
        <v>5.8869046820789146E-2</v>
      </c>
      <c r="W54" s="5"/>
      <c r="X54" s="21">
        <f t="shared" ref="X54:X96" si="18">+P54-T54</f>
        <v>19858.860000000015</v>
      </c>
      <c r="Y54" s="5"/>
      <c r="Z54" s="31">
        <f t="shared" ref="Z54:Z96" si="19">IF(T54=0,0,X54/T54)</f>
        <v>0.13112969101139557</v>
      </c>
    </row>
    <row r="55" spans="1:26" s="68" customFormat="1" ht="15" customHeight="1" outlineLevel="1" collapsed="1" x14ac:dyDescent="0.25">
      <c r="A55" s="26"/>
      <c r="B55" s="14" t="str">
        <f>CONCATENATE("     ","*Benefits                                         ")</f>
        <v xml:space="preserve">     *Benefits                                         </v>
      </c>
      <c r="C55" s="14"/>
      <c r="D55" s="2">
        <f>SUM(OSRRefD22_0x_0)</f>
        <v>3621.6</v>
      </c>
      <c r="E55" s="2"/>
      <c r="F55" s="6">
        <f t="shared" si="12"/>
        <v>8.7502230985546069E-3</v>
      </c>
      <c r="G55" s="2"/>
      <c r="H55" s="2">
        <f>SUM(OSRRefH22_0x_0)</f>
        <v>2910.57</v>
      </c>
      <c r="I55" s="2"/>
      <c r="J55" s="6">
        <f t="shared" si="13"/>
        <v>1.9432222864643352E-2</v>
      </c>
      <c r="K55" s="2"/>
      <c r="L55" s="2">
        <f t="shared" si="14"/>
        <v>711.02999999999975</v>
      </c>
      <c r="M55" s="2"/>
      <c r="N55" s="6">
        <f t="shared" si="15"/>
        <v>0.24429235510570085</v>
      </c>
      <c r="O55" s="14"/>
      <c r="P55" s="2">
        <f>SUM(OSRRefP22_0x_0)</f>
        <v>30787.950000000004</v>
      </c>
      <c r="Q55" s="2"/>
      <c r="R55" s="6">
        <f t="shared" si="16"/>
        <v>1.2392488956114132E-2</v>
      </c>
      <c r="S55" s="2"/>
      <c r="T55" s="2">
        <f>SUM(OSRRefT22_0x_0)</f>
        <v>32489.070000000003</v>
      </c>
      <c r="U55" s="2"/>
      <c r="V55" s="6">
        <f t="shared" si="17"/>
        <v>1.2629059446322925E-2</v>
      </c>
      <c r="W55" s="2"/>
      <c r="X55" s="2">
        <f t="shared" si="18"/>
        <v>-1701.119999999999</v>
      </c>
      <c r="Y55" s="2"/>
      <c r="Z55" s="6">
        <f t="shared" si="19"/>
        <v>-5.2359762837163357E-2</v>
      </c>
    </row>
    <row r="56" spans="1:26" s="69" customFormat="1" ht="15" hidden="1" customHeight="1" outlineLevel="2" x14ac:dyDescent="0.25">
      <c r="A56" s="25"/>
      <c r="B56" s="12" t="str">
        <f>CONCATENATE("          ","6111"," - ","F.I.C.A.")</f>
        <v xml:space="preserve">          6111 - F.I.C.A.</v>
      </c>
      <c r="C56" s="12"/>
      <c r="D56" s="7">
        <v>740.15</v>
      </c>
      <c r="E56" s="3"/>
      <c r="F56" s="8">
        <f t="shared" si="12"/>
        <v>1.7882918120154607E-3</v>
      </c>
      <c r="G56" s="3"/>
      <c r="H56" s="7">
        <v>523.37</v>
      </c>
      <c r="I56" s="3"/>
      <c r="J56" s="8">
        <f t="shared" si="13"/>
        <v>3.4942442479199576E-3</v>
      </c>
      <c r="K56" s="3"/>
      <c r="L56" s="7">
        <f t="shared" si="14"/>
        <v>216.77999999999997</v>
      </c>
      <c r="M56" s="3"/>
      <c r="N56" s="8">
        <f t="shared" si="15"/>
        <v>0.41420027896134659</v>
      </c>
      <c r="O56" s="12"/>
      <c r="P56" s="7">
        <v>6494.3</v>
      </c>
      <c r="Q56" s="3"/>
      <c r="R56" s="8">
        <f t="shared" si="16"/>
        <v>2.6140272745568314E-3</v>
      </c>
      <c r="S56" s="3"/>
      <c r="T56" s="7">
        <v>5937.2</v>
      </c>
      <c r="U56" s="3"/>
      <c r="V56" s="8">
        <f t="shared" si="17"/>
        <v>2.3078915999968129E-3</v>
      </c>
      <c r="W56" s="3"/>
      <c r="X56" s="7">
        <f t="shared" si="18"/>
        <v>557.10000000000036</v>
      </c>
      <c r="Y56" s="3"/>
      <c r="Z56" s="8">
        <f t="shared" si="19"/>
        <v>9.3832109411844028E-2</v>
      </c>
    </row>
    <row r="57" spans="1:26" s="69" customFormat="1" ht="15" hidden="1" customHeight="1" outlineLevel="2" x14ac:dyDescent="0.25">
      <c r="A57" s="25"/>
      <c r="B57" s="12" t="str">
        <f>CONCATENATE("          ","6112"," - ","COMPENSATION INSURANCE")</f>
        <v xml:space="preserve">          6112 - COMPENSATION INSURANCE</v>
      </c>
      <c r="C57" s="12"/>
      <c r="D57" s="7">
        <v>265.42</v>
      </c>
      <c r="E57" s="3"/>
      <c r="F57" s="8">
        <f t="shared" si="12"/>
        <v>6.4128678341571796E-4</v>
      </c>
      <c r="G57" s="3"/>
      <c r="H57" s="7">
        <v>200.85</v>
      </c>
      <c r="I57" s="3"/>
      <c r="J57" s="8">
        <f t="shared" si="13"/>
        <v>1.3409613795110982E-3</v>
      </c>
      <c r="K57" s="3"/>
      <c r="L57" s="7">
        <f t="shared" si="14"/>
        <v>64.570000000000022</v>
      </c>
      <c r="M57" s="3"/>
      <c r="N57" s="8">
        <f t="shared" si="15"/>
        <v>0.32148369429922841</v>
      </c>
      <c r="O57" s="12"/>
      <c r="P57" s="7">
        <v>1712.32</v>
      </c>
      <c r="Q57" s="3"/>
      <c r="R57" s="8">
        <f t="shared" si="16"/>
        <v>6.8922765852657761E-4</v>
      </c>
      <c r="S57" s="3"/>
      <c r="T57" s="7">
        <v>1735.28</v>
      </c>
      <c r="U57" s="3"/>
      <c r="V57" s="8">
        <f t="shared" si="17"/>
        <v>6.7453313609823983E-4</v>
      </c>
      <c r="W57" s="3"/>
      <c r="X57" s="7">
        <f t="shared" si="18"/>
        <v>-22.960000000000036</v>
      </c>
      <c r="Y57" s="3"/>
      <c r="Z57" s="8">
        <f t="shared" si="19"/>
        <v>-1.3231294085104442E-2</v>
      </c>
    </row>
    <row r="58" spans="1:26" s="69" customFormat="1" ht="15" hidden="1" customHeight="1" outlineLevel="2" x14ac:dyDescent="0.25">
      <c r="A58" s="25"/>
      <c r="B58" s="12" t="str">
        <f>CONCATENATE("          ","6113"," - ","GROUP INSURANCE")</f>
        <v xml:space="preserve">          6113 - GROUP INSURANCE</v>
      </c>
      <c r="C58" s="12"/>
      <c r="D58" s="7">
        <v>1540.43</v>
      </c>
      <c r="E58" s="3"/>
      <c r="F58" s="8">
        <f t="shared" si="12"/>
        <v>3.7218649678889093E-3</v>
      </c>
      <c r="G58" s="3"/>
      <c r="H58" s="7">
        <v>1053.8499999999999</v>
      </c>
      <c r="I58" s="3"/>
      <c r="J58" s="8">
        <f t="shared" si="13"/>
        <v>7.035957927795722E-3</v>
      </c>
      <c r="K58" s="3"/>
      <c r="L58" s="7">
        <f t="shared" si="14"/>
        <v>486.58000000000015</v>
      </c>
      <c r="M58" s="3"/>
      <c r="N58" s="8">
        <f t="shared" si="15"/>
        <v>0.46171656307823711</v>
      </c>
      <c r="O58" s="12"/>
      <c r="P58" s="7">
        <v>11447.32</v>
      </c>
      <c r="Q58" s="3"/>
      <c r="R58" s="8">
        <f t="shared" si="16"/>
        <v>4.607672374325163E-3</v>
      </c>
      <c r="S58" s="3"/>
      <c r="T58" s="7">
        <v>11484.03</v>
      </c>
      <c r="U58" s="3"/>
      <c r="V58" s="8">
        <f t="shared" si="17"/>
        <v>4.4640396771392912E-3</v>
      </c>
      <c r="W58" s="3"/>
      <c r="X58" s="7">
        <f t="shared" si="18"/>
        <v>-36.710000000000946</v>
      </c>
      <c r="Y58" s="3"/>
      <c r="Z58" s="8">
        <f t="shared" si="19"/>
        <v>-3.196613035667875E-3</v>
      </c>
    </row>
    <row r="59" spans="1:26" s="69" customFormat="1" ht="15" hidden="1" customHeight="1" outlineLevel="2" x14ac:dyDescent="0.25">
      <c r="A59" s="25"/>
      <c r="B59" s="12" t="str">
        <f>CONCATENATE("          ","6114"," - ","STATE UNEMPLOYMENT INSURANCE")</f>
        <v xml:space="preserve">          6114 - STATE UNEMPLOYMENT INSURANCE</v>
      </c>
      <c r="C59" s="12"/>
      <c r="D59" s="7">
        <v>46.63</v>
      </c>
      <c r="E59" s="3"/>
      <c r="F59" s="8">
        <f t="shared" si="12"/>
        <v>1.1266371302341545E-4</v>
      </c>
      <c r="G59" s="3"/>
      <c r="H59" s="7">
        <v>28.23</v>
      </c>
      <c r="I59" s="3"/>
      <c r="J59" s="8">
        <f t="shared" si="13"/>
        <v>1.8847567709035748E-4</v>
      </c>
      <c r="K59" s="3"/>
      <c r="L59" s="7">
        <f t="shared" si="14"/>
        <v>18.400000000000002</v>
      </c>
      <c r="M59" s="3"/>
      <c r="N59" s="8">
        <f t="shared" si="15"/>
        <v>0.65178887708111943</v>
      </c>
      <c r="O59" s="12"/>
      <c r="P59" s="7">
        <v>301.5</v>
      </c>
      <c r="Q59" s="3"/>
      <c r="R59" s="8">
        <f t="shared" si="16"/>
        <v>1.2135707055092691E-4</v>
      </c>
      <c r="S59" s="3"/>
      <c r="T59" s="7">
        <v>258.58</v>
      </c>
      <c r="U59" s="3"/>
      <c r="V59" s="8">
        <f t="shared" si="17"/>
        <v>1.0051448661442698E-4</v>
      </c>
      <c r="W59" s="3"/>
      <c r="X59" s="7">
        <f t="shared" si="18"/>
        <v>42.920000000000016</v>
      </c>
      <c r="Y59" s="3"/>
      <c r="Z59" s="8">
        <f t="shared" si="19"/>
        <v>0.16598344806249524</v>
      </c>
    </row>
    <row r="60" spans="1:26" s="69" customFormat="1" ht="15" hidden="1" customHeight="1" outlineLevel="2" x14ac:dyDescent="0.25">
      <c r="A60" s="25"/>
      <c r="B60" s="12" t="str">
        <f>CONCATENATE("          ","6115"," - ","P.E.R.S.")</f>
        <v xml:space="preserve">          6115 - P.E.R.S.</v>
      </c>
      <c r="C60" s="12"/>
      <c r="D60" s="7">
        <v>123.87</v>
      </c>
      <c r="E60" s="3"/>
      <c r="F60" s="8">
        <f t="shared" si="12"/>
        <v>2.9928488381322045E-4</v>
      </c>
      <c r="G60" s="3"/>
      <c r="H60" s="7">
        <v>176.42</v>
      </c>
      <c r="I60" s="3"/>
      <c r="J60" s="8">
        <f t="shared" si="13"/>
        <v>1.1778561442536617E-3</v>
      </c>
      <c r="K60" s="3"/>
      <c r="L60" s="7">
        <f t="shared" si="14"/>
        <v>-52.549999999999983</v>
      </c>
      <c r="M60" s="3"/>
      <c r="N60" s="8">
        <f t="shared" si="15"/>
        <v>-0.29786872236707851</v>
      </c>
      <c r="O60" s="12"/>
      <c r="P60" s="7">
        <v>1342.16</v>
      </c>
      <c r="Q60" s="3"/>
      <c r="R60" s="8">
        <f t="shared" si="16"/>
        <v>5.402341817931412E-4</v>
      </c>
      <c r="S60" s="3"/>
      <c r="T60" s="7">
        <v>2117.04</v>
      </c>
      <c r="U60" s="3"/>
      <c r="V60" s="8">
        <f t="shared" si="17"/>
        <v>8.2292980409237571E-4</v>
      </c>
      <c r="W60" s="3"/>
      <c r="X60" s="7">
        <f t="shared" si="18"/>
        <v>-774.87999999999988</v>
      </c>
      <c r="Y60" s="3"/>
      <c r="Z60" s="8">
        <f t="shared" si="19"/>
        <v>-0.36602048142689786</v>
      </c>
    </row>
    <row r="61" spans="1:26" s="69" customFormat="1" ht="15" hidden="1" customHeight="1" outlineLevel="2" x14ac:dyDescent="0.25">
      <c r="A61" s="25"/>
      <c r="B61" s="12" t="str">
        <f>CONCATENATE("          ","6117"," - ","RETIREMENT STAFF HOURLY")</f>
        <v xml:space="preserve">          6117 - RETIREMENT STAFF HOURLY</v>
      </c>
      <c r="C61" s="12"/>
      <c r="D61" s="7">
        <v>206.33</v>
      </c>
      <c r="E61" s="3"/>
      <c r="F61" s="8">
        <f t="shared" si="12"/>
        <v>4.9851820519239344E-4</v>
      </c>
      <c r="G61" s="3"/>
      <c r="H61" s="7">
        <v>176.79</v>
      </c>
      <c r="I61" s="3"/>
      <c r="J61" s="8">
        <f t="shared" si="13"/>
        <v>1.1803264241163408E-3</v>
      </c>
      <c r="K61" s="3"/>
      <c r="L61" s="7">
        <f t="shared" si="14"/>
        <v>29.54000000000002</v>
      </c>
      <c r="M61" s="3"/>
      <c r="N61" s="8">
        <f t="shared" si="15"/>
        <v>0.16709089880649369</v>
      </c>
      <c r="O61" s="12"/>
      <c r="P61" s="7">
        <v>366.45</v>
      </c>
      <c r="Q61" s="3"/>
      <c r="R61" s="8">
        <f t="shared" si="16"/>
        <v>1.4750016087358928E-4</v>
      </c>
      <c r="S61" s="3"/>
      <c r="T61" s="7">
        <v>2072.73</v>
      </c>
      <c r="U61" s="3"/>
      <c r="V61" s="8">
        <f t="shared" si="17"/>
        <v>8.0570574615330362E-4</v>
      </c>
      <c r="W61" s="3"/>
      <c r="X61" s="7">
        <f t="shared" si="18"/>
        <v>-1706.28</v>
      </c>
      <c r="Y61" s="3"/>
      <c r="Z61" s="8">
        <f t="shared" si="19"/>
        <v>-0.82320417999450002</v>
      </c>
    </row>
    <row r="62" spans="1:26" s="69" customFormat="1" ht="15" hidden="1" customHeight="1" outlineLevel="2" x14ac:dyDescent="0.25">
      <c r="A62" s="25"/>
      <c r="B62" s="12" t="str">
        <f>CONCATENATE("          ","6118"," - ","VACATION")</f>
        <v xml:space="preserve">          6118 - VACATION</v>
      </c>
      <c r="C62" s="12"/>
      <c r="D62" s="7">
        <v>197.61</v>
      </c>
      <c r="E62" s="3"/>
      <c r="F62" s="8">
        <f t="shared" si="12"/>
        <v>4.7744963179406229E-4</v>
      </c>
      <c r="G62" s="3"/>
      <c r="H62" s="7">
        <v>267.04000000000002</v>
      </c>
      <c r="I62" s="3"/>
      <c r="J62" s="8">
        <f t="shared" si="13"/>
        <v>1.7828744176482136E-3</v>
      </c>
      <c r="K62" s="3"/>
      <c r="L62" s="7">
        <f t="shared" si="14"/>
        <v>-69.430000000000007</v>
      </c>
      <c r="M62" s="3"/>
      <c r="N62" s="8">
        <f t="shared" si="15"/>
        <v>-0.2599985020970641</v>
      </c>
      <c r="O62" s="12"/>
      <c r="P62" s="7">
        <v>3128.95</v>
      </c>
      <c r="Q62" s="3"/>
      <c r="R62" s="8">
        <f t="shared" si="16"/>
        <v>1.2594368354902909E-3</v>
      </c>
      <c r="S62" s="3"/>
      <c r="T62" s="7">
        <v>3158.26</v>
      </c>
      <c r="U62" s="3"/>
      <c r="V62" s="8">
        <f t="shared" si="17"/>
        <v>1.2276698990443197E-3</v>
      </c>
      <c r="W62" s="3"/>
      <c r="X62" s="7">
        <f t="shared" si="18"/>
        <v>-29.3100000000004</v>
      </c>
      <c r="Y62" s="3"/>
      <c r="Z62" s="8">
        <f t="shared" si="19"/>
        <v>-9.2804265639942242E-3</v>
      </c>
    </row>
    <row r="63" spans="1:26" s="69" customFormat="1" ht="15" hidden="1" customHeight="1" outlineLevel="2" x14ac:dyDescent="0.25">
      <c r="A63" s="25"/>
      <c r="B63" s="12" t="str">
        <f>CONCATENATE("          ","6119"," - ","SICK LEAVE")</f>
        <v xml:space="preserve">          6119 - SICK LEAVE</v>
      </c>
      <c r="C63" s="12"/>
      <c r="D63" s="7">
        <v>252.39</v>
      </c>
      <c r="E63" s="3"/>
      <c r="F63" s="8">
        <f t="shared" si="12"/>
        <v>6.0980472935834914E-4</v>
      </c>
      <c r="G63" s="3"/>
      <c r="H63" s="7">
        <v>267.63</v>
      </c>
      <c r="I63" s="3"/>
      <c r="J63" s="8">
        <f t="shared" si="13"/>
        <v>1.7868135125643774E-3</v>
      </c>
      <c r="K63" s="3"/>
      <c r="L63" s="7">
        <f t="shared" si="14"/>
        <v>-15.240000000000009</v>
      </c>
      <c r="M63" s="3"/>
      <c r="N63" s="8">
        <f t="shared" si="15"/>
        <v>-5.6944288756865857E-2</v>
      </c>
      <c r="O63" s="12"/>
      <c r="P63" s="7">
        <v>3922.38</v>
      </c>
      <c r="Q63" s="3"/>
      <c r="R63" s="8">
        <f t="shared" si="16"/>
        <v>1.5788011488807453E-3</v>
      </c>
      <c r="S63" s="3"/>
      <c r="T63" s="7">
        <v>3156.26</v>
      </c>
      <c r="U63" s="3"/>
      <c r="V63" s="8">
        <f t="shared" si="17"/>
        <v>1.2268924646981643E-3</v>
      </c>
      <c r="W63" s="3"/>
      <c r="X63" s="7">
        <f t="shared" si="18"/>
        <v>766.11999999999989</v>
      </c>
      <c r="Y63" s="3"/>
      <c r="Z63" s="8">
        <f t="shared" si="19"/>
        <v>0.24273032006235223</v>
      </c>
    </row>
    <row r="64" spans="1:26" s="69" customFormat="1" ht="15" hidden="1" customHeight="1" outlineLevel="2" x14ac:dyDescent="0.25">
      <c r="A64" s="25"/>
      <c r="B64" s="12" t="str">
        <f>CONCATENATE("          ","6156"," - ","EMPLOYEE MEALS")</f>
        <v xml:space="preserve">          6156 - EMPLOYEE MEALS</v>
      </c>
      <c r="C64" s="12"/>
      <c r="D64" s="7">
        <v>248.77</v>
      </c>
      <c r="E64" s="3"/>
      <c r="F64" s="8">
        <f t="shared" si="12"/>
        <v>6.0105837205307868E-4</v>
      </c>
      <c r="G64" s="3"/>
      <c r="H64" s="7">
        <v>216.39</v>
      </c>
      <c r="I64" s="3"/>
      <c r="J64" s="8">
        <f t="shared" si="13"/>
        <v>1.4447131337436221E-3</v>
      </c>
      <c r="K64" s="3"/>
      <c r="L64" s="7">
        <f t="shared" si="14"/>
        <v>32.380000000000024</v>
      </c>
      <c r="M64" s="3"/>
      <c r="N64" s="8">
        <f t="shared" si="15"/>
        <v>0.14963722907712937</v>
      </c>
      <c r="O64" s="12"/>
      <c r="P64" s="7">
        <v>2072.5700000000002</v>
      </c>
      <c r="Q64" s="3"/>
      <c r="R64" s="8">
        <f t="shared" si="16"/>
        <v>8.3423225111686435E-4</v>
      </c>
      <c r="S64" s="3"/>
      <c r="T64" s="7">
        <v>2569.69</v>
      </c>
      <c r="U64" s="3"/>
      <c r="V64" s="8">
        <f t="shared" si="17"/>
        <v>9.9888263248598848E-4</v>
      </c>
      <c r="W64" s="3"/>
      <c r="X64" s="7">
        <f t="shared" si="18"/>
        <v>-497.11999999999989</v>
      </c>
      <c r="Y64" s="3"/>
      <c r="Z64" s="8">
        <f t="shared" si="19"/>
        <v>-0.19345524168284886</v>
      </c>
    </row>
    <row r="65" spans="1:26" s="68" customFormat="1" ht="15" customHeight="1" outlineLevel="1" collapsed="1" x14ac:dyDescent="0.25">
      <c r="A65" s="26"/>
      <c r="B65" s="14" t="str">
        <f>CONCATENATE("     ","*Payroll                                          ")</f>
        <v xml:space="preserve">     *Payroll                                          </v>
      </c>
      <c r="C65" s="14"/>
      <c r="D65" s="2">
        <f>SUM(OSRRefD22_1x_0)</f>
        <v>11558.89</v>
      </c>
      <c r="E65" s="2"/>
      <c r="F65" s="6">
        <f t="shared" si="12"/>
        <v>2.7927674583513324E-2</v>
      </c>
      <c r="G65" s="2"/>
      <c r="H65" s="2">
        <f>SUM(OSRRefH22_1x_0)</f>
        <v>7314.24</v>
      </c>
      <c r="I65" s="2"/>
      <c r="J65" s="6">
        <f t="shared" si="13"/>
        <v>4.8833026440006248E-2</v>
      </c>
      <c r="K65" s="2"/>
      <c r="L65" s="2">
        <f t="shared" si="14"/>
        <v>4244.6499999999996</v>
      </c>
      <c r="M65" s="2"/>
      <c r="N65" s="6">
        <f t="shared" si="15"/>
        <v>0.58032686923043264</v>
      </c>
      <c r="O65" s="14"/>
      <c r="P65" s="2">
        <f>SUM(OSRRefP22_1x_0)</f>
        <v>117394.45</v>
      </c>
      <c r="Q65" s="2"/>
      <c r="R65" s="6">
        <f t="shared" si="16"/>
        <v>4.725255904125128E-2</v>
      </c>
      <c r="S65" s="2"/>
      <c r="T65" s="2">
        <f>SUM(OSRRefT22_1x_0)</f>
        <v>89389.18</v>
      </c>
      <c r="U65" s="2"/>
      <c r="V65" s="6">
        <f t="shared" si="17"/>
        <v>3.4747109353332056E-2</v>
      </c>
      <c r="W65" s="2"/>
      <c r="X65" s="2">
        <f t="shared" si="18"/>
        <v>28005.270000000004</v>
      </c>
      <c r="Y65" s="2"/>
      <c r="Z65" s="6">
        <f t="shared" si="19"/>
        <v>0.31329597161535666</v>
      </c>
    </row>
    <row r="66" spans="1:26" s="69" customFormat="1" ht="15" hidden="1" customHeight="1" outlineLevel="2" x14ac:dyDescent="0.25">
      <c r="A66" s="25"/>
      <c r="B66" s="12" t="str">
        <f>CONCATENATE("          ","6002"," - ","STAFF SALARIES")</f>
        <v xml:space="preserve">          6002 - STAFF SALARIES</v>
      </c>
      <c r="C66" s="12"/>
      <c r="D66" s="7">
        <v>1632</v>
      </c>
      <c r="E66" s="3"/>
      <c r="F66" s="8">
        <f t="shared" si="12"/>
        <v>3.9431091497794122E-3</v>
      </c>
      <c r="G66" s="3"/>
      <c r="H66" s="7">
        <v>2282.3000000000002</v>
      </c>
      <c r="I66" s="3"/>
      <c r="J66" s="8">
        <f t="shared" si="13"/>
        <v>1.523762089349355E-2</v>
      </c>
      <c r="K66" s="3"/>
      <c r="L66" s="7">
        <f t="shared" si="14"/>
        <v>-650.30000000000018</v>
      </c>
      <c r="M66" s="3"/>
      <c r="N66" s="8">
        <f t="shared" si="15"/>
        <v>-0.28493186697629591</v>
      </c>
      <c r="O66" s="12"/>
      <c r="P66" s="7">
        <v>20256.939999999999</v>
      </c>
      <c r="Q66" s="3"/>
      <c r="R66" s="8">
        <f t="shared" si="16"/>
        <v>8.1536414485104246E-3</v>
      </c>
      <c r="S66" s="3"/>
      <c r="T66" s="7">
        <v>25558.54</v>
      </c>
      <c r="U66" s="3"/>
      <c r="V66" s="8">
        <f t="shared" si="17"/>
        <v>9.9350434167928565E-3</v>
      </c>
      <c r="W66" s="3"/>
      <c r="X66" s="7">
        <f t="shared" si="18"/>
        <v>-5301.6000000000022</v>
      </c>
      <c r="Y66" s="3"/>
      <c r="Z66" s="8">
        <f t="shared" si="19"/>
        <v>-0.20742968886329197</v>
      </c>
    </row>
    <row r="67" spans="1:26" s="69" customFormat="1" ht="15" hidden="1" customHeight="1" outlineLevel="2" x14ac:dyDescent="0.25">
      <c r="A67" s="25"/>
      <c r="B67" s="12" t="str">
        <f>CONCATENATE("          ","6004"," - ","STAFF HOURLY")</f>
        <v xml:space="preserve">          6004 - STAFF HOURLY</v>
      </c>
      <c r="C67" s="12"/>
      <c r="D67" s="7">
        <v>3932.64</v>
      </c>
      <c r="E67" s="3"/>
      <c r="F67" s="8">
        <f t="shared" si="12"/>
        <v>9.5017333129831533E-3</v>
      </c>
      <c r="G67" s="3"/>
      <c r="H67" s="7">
        <v>3224.54</v>
      </c>
      <c r="I67" s="3"/>
      <c r="J67" s="8">
        <f t="shared" si="13"/>
        <v>2.1528422238928136E-2</v>
      </c>
      <c r="K67" s="3"/>
      <c r="L67" s="7">
        <f t="shared" si="14"/>
        <v>708.09999999999991</v>
      </c>
      <c r="M67" s="3"/>
      <c r="N67" s="8">
        <f t="shared" si="15"/>
        <v>0.21959721386616382</v>
      </c>
      <c r="O67" s="12"/>
      <c r="P67" s="7">
        <v>37828.730000000003</v>
      </c>
      <c r="Q67" s="3"/>
      <c r="R67" s="8">
        <f t="shared" si="16"/>
        <v>1.5226480449293419E-2</v>
      </c>
      <c r="S67" s="3"/>
      <c r="T67" s="7">
        <v>39735.199999999997</v>
      </c>
      <c r="U67" s="3"/>
      <c r="V67" s="8">
        <f t="shared" si="17"/>
        <v>1.5445754615676304E-2</v>
      </c>
      <c r="W67" s="3"/>
      <c r="X67" s="7">
        <f t="shared" si="18"/>
        <v>-1906.4699999999939</v>
      </c>
      <c r="Y67" s="3"/>
      <c r="Z67" s="8">
        <f t="shared" si="19"/>
        <v>-4.7979373452253768E-2</v>
      </c>
    </row>
    <row r="68" spans="1:26" s="69" customFormat="1" ht="15" hidden="1" customHeight="1" outlineLevel="2" x14ac:dyDescent="0.25">
      <c r="A68" s="25"/>
      <c r="B68" s="12" t="str">
        <f>CONCATENATE("          ","6005"," - ","TEMPORARY WAGES-HOURLY")</f>
        <v xml:space="preserve">          6005 - TEMPORARY WAGES-HOURLY</v>
      </c>
      <c r="C68" s="12"/>
      <c r="D68" s="7">
        <v>1883.48</v>
      </c>
      <c r="E68" s="3"/>
      <c r="F68" s="8">
        <f t="shared" si="12"/>
        <v>4.5507152092074312E-3</v>
      </c>
      <c r="G68" s="3"/>
      <c r="H68" s="7"/>
      <c r="I68" s="3"/>
      <c r="J68" s="8">
        <f t="shared" si="13"/>
        <v>0</v>
      </c>
      <c r="K68" s="3"/>
      <c r="L68" s="7">
        <f t="shared" si="14"/>
        <v>1883.48</v>
      </c>
      <c r="M68" s="3"/>
      <c r="N68" s="8">
        <f t="shared" si="15"/>
        <v>0</v>
      </c>
      <c r="O68" s="12"/>
      <c r="P68" s="7">
        <v>16596.509999999998</v>
      </c>
      <c r="Q68" s="3"/>
      <c r="R68" s="8">
        <f t="shared" si="16"/>
        <v>6.6802780595992166E-3</v>
      </c>
      <c r="S68" s="3"/>
      <c r="T68" s="7"/>
      <c r="U68" s="3"/>
      <c r="V68" s="8">
        <f t="shared" si="17"/>
        <v>0</v>
      </c>
      <c r="W68" s="3"/>
      <c r="X68" s="7">
        <f t="shared" si="18"/>
        <v>16596.509999999998</v>
      </c>
      <c r="Y68" s="3"/>
      <c r="Z68" s="8">
        <f t="shared" si="19"/>
        <v>0</v>
      </c>
    </row>
    <row r="69" spans="1:26" s="69" customFormat="1" ht="15" hidden="1" customHeight="1" outlineLevel="2" x14ac:dyDescent="0.25">
      <c r="A69" s="25"/>
      <c r="B69" s="12" t="str">
        <f>CONCATENATE("          ","6007"," - ","STUDENT HOURLY")</f>
        <v xml:space="preserve">          6007 - STUDENT HOURLY</v>
      </c>
      <c r="C69" s="12"/>
      <c r="D69" s="7">
        <v>4110.7700000000004</v>
      </c>
      <c r="E69" s="3"/>
      <c r="F69" s="8">
        <f t="shared" si="12"/>
        <v>9.9321169115433299E-3</v>
      </c>
      <c r="G69" s="3"/>
      <c r="H69" s="7">
        <v>1807.4</v>
      </c>
      <c r="I69" s="3"/>
      <c r="J69" s="8">
        <f t="shared" si="13"/>
        <v>1.206698330758456E-2</v>
      </c>
      <c r="K69" s="3"/>
      <c r="L69" s="7">
        <f t="shared" si="14"/>
        <v>2303.3700000000003</v>
      </c>
      <c r="M69" s="3"/>
      <c r="N69" s="8">
        <f t="shared" si="15"/>
        <v>1.2744107557817861</v>
      </c>
      <c r="O69" s="12"/>
      <c r="P69" s="7">
        <v>36566.639999999999</v>
      </c>
      <c r="Q69" s="3"/>
      <c r="R69" s="8">
        <f t="shared" si="16"/>
        <v>1.471847532434609E-2</v>
      </c>
      <c r="S69" s="3"/>
      <c r="T69" s="7">
        <v>24095.439999999999</v>
      </c>
      <c r="U69" s="3"/>
      <c r="V69" s="8">
        <f t="shared" si="17"/>
        <v>9.3663113208628992E-3</v>
      </c>
      <c r="W69" s="3"/>
      <c r="X69" s="7">
        <f t="shared" si="18"/>
        <v>12471.2</v>
      </c>
      <c r="Y69" s="3"/>
      <c r="Z69" s="8">
        <f t="shared" si="19"/>
        <v>0.51757510964730258</v>
      </c>
    </row>
    <row r="70" spans="1:26" s="69" customFormat="1" ht="15" hidden="1" customHeight="1" outlineLevel="2" x14ac:dyDescent="0.25">
      <c r="A70" s="25"/>
      <c r="B70" s="12" t="str">
        <f>CONCATENATE("          ","6008"," - ","STUDENT HOURLY-FICA EXEMPT")</f>
        <v xml:space="preserve">          6008 - STUDENT HOURLY-FICA EXEMPT</v>
      </c>
      <c r="C70" s="12"/>
      <c r="D70" s="7"/>
      <c r="E70" s="3"/>
      <c r="F70" s="8">
        <f t="shared" si="12"/>
        <v>0</v>
      </c>
      <c r="G70" s="3"/>
      <c r="H70" s="7"/>
      <c r="I70" s="3"/>
      <c r="J70" s="8">
        <f t="shared" si="13"/>
        <v>0</v>
      </c>
      <c r="K70" s="3"/>
      <c r="L70" s="7">
        <f t="shared" si="14"/>
        <v>0</v>
      </c>
      <c r="M70" s="3"/>
      <c r="N70" s="8">
        <f t="shared" si="15"/>
        <v>0</v>
      </c>
      <c r="O70" s="12"/>
      <c r="P70" s="7">
        <v>6145.63</v>
      </c>
      <c r="Q70" s="3"/>
      <c r="R70" s="8">
        <f t="shared" si="16"/>
        <v>2.4736837595021326E-3</v>
      </c>
      <c r="S70" s="3"/>
      <c r="T70" s="7"/>
      <c r="U70" s="3"/>
      <c r="V70" s="8">
        <f t="shared" si="17"/>
        <v>0</v>
      </c>
      <c r="W70" s="3"/>
      <c r="X70" s="7">
        <f t="shared" si="18"/>
        <v>6145.63</v>
      </c>
      <c r="Y70" s="3"/>
      <c r="Z70" s="8">
        <f t="shared" si="19"/>
        <v>0</v>
      </c>
    </row>
    <row r="71" spans="1:26" s="68" customFormat="1" ht="15" customHeight="1" outlineLevel="1" collapsed="1" x14ac:dyDescent="0.25">
      <c r="A71" s="26"/>
      <c r="B71" s="14" t="str">
        <f>CONCATENATE("     ","Advertising/Promo                                 ")</f>
        <v xml:space="preserve">     Advertising/Promo                                 </v>
      </c>
      <c r="C71" s="14"/>
      <c r="D71" s="2">
        <f>SUM(OSRRefD22_2x_0)</f>
        <v>36.81</v>
      </c>
      <c r="E71" s="2"/>
      <c r="F71" s="6">
        <f t="shared" si="12"/>
        <v>8.893740674226726E-5</v>
      </c>
      <c r="G71" s="2"/>
      <c r="H71" s="2">
        <f>SUM(OSRRefH22_2x_0)</f>
        <v>67.239999999999995</v>
      </c>
      <c r="I71" s="2"/>
      <c r="J71" s="6">
        <f t="shared" si="13"/>
        <v>4.4892329180147491E-4</v>
      </c>
      <c r="K71" s="2"/>
      <c r="L71" s="2">
        <f t="shared" si="14"/>
        <v>-30.429999999999993</v>
      </c>
      <c r="M71" s="2"/>
      <c r="N71" s="6">
        <f t="shared" si="15"/>
        <v>-0.45255800118976791</v>
      </c>
      <c r="O71" s="14"/>
      <c r="P71" s="2">
        <f>SUM(OSRRefP22_2x_0)</f>
        <v>215.78</v>
      </c>
      <c r="Q71" s="2"/>
      <c r="R71" s="6">
        <f t="shared" si="16"/>
        <v>8.68538264792007E-5</v>
      </c>
      <c r="S71" s="2"/>
      <c r="T71" s="2">
        <f>SUM(OSRRefT22_2x_0)</f>
        <v>692.63</v>
      </c>
      <c r="U71" s="2"/>
      <c r="V71" s="6">
        <f t="shared" si="17"/>
        <v>2.6923717558879483E-4</v>
      </c>
      <c r="W71" s="2"/>
      <c r="X71" s="2">
        <f t="shared" si="18"/>
        <v>-476.85</v>
      </c>
      <c r="Y71" s="2"/>
      <c r="Z71" s="6">
        <f t="shared" si="19"/>
        <v>-0.68846281564471656</v>
      </c>
    </row>
    <row r="72" spans="1:26" s="69" customFormat="1" ht="15" hidden="1" customHeight="1" outlineLevel="2" x14ac:dyDescent="0.25">
      <c r="A72" s="25"/>
      <c r="B72" s="12" t="str">
        <f>CONCATENATE("          ","6362"," - ","ADVERTISING EXPENSE")</f>
        <v xml:space="preserve">          6362 - ADVERTISING EXPENSE</v>
      </c>
      <c r="C72" s="12"/>
      <c r="D72" s="7">
        <v>36.81</v>
      </c>
      <c r="E72" s="3"/>
      <c r="F72" s="8">
        <f t="shared" si="12"/>
        <v>8.893740674226726E-5</v>
      </c>
      <c r="G72" s="3"/>
      <c r="H72" s="7">
        <v>67.239999999999995</v>
      </c>
      <c r="I72" s="3"/>
      <c r="J72" s="8">
        <f t="shared" si="13"/>
        <v>4.4892329180147491E-4</v>
      </c>
      <c r="K72" s="3"/>
      <c r="L72" s="7">
        <f t="shared" si="14"/>
        <v>-30.429999999999993</v>
      </c>
      <c r="M72" s="3"/>
      <c r="N72" s="8">
        <f t="shared" si="15"/>
        <v>-0.45255800118976791</v>
      </c>
      <c r="O72" s="12"/>
      <c r="P72" s="7">
        <v>215.78</v>
      </c>
      <c r="Q72" s="3"/>
      <c r="R72" s="8">
        <f t="shared" si="16"/>
        <v>8.68538264792007E-5</v>
      </c>
      <c r="S72" s="3"/>
      <c r="T72" s="7">
        <v>692.63</v>
      </c>
      <c r="U72" s="3"/>
      <c r="V72" s="8">
        <f t="shared" si="17"/>
        <v>2.6923717558879483E-4</v>
      </c>
      <c r="W72" s="3"/>
      <c r="X72" s="7">
        <f t="shared" si="18"/>
        <v>-476.85</v>
      </c>
      <c r="Y72" s="3"/>
      <c r="Z72" s="8">
        <f t="shared" si="19"/>
        <v>-0.68846281564471656</v>
      </c>
    </row>
    <row r="73" spans="1:26" s="68" customFormat="1" ht="15" customHeight="1" outlineLevel="1" collapsed="1" x14ac:dyDescent="0.25">
      <c r="A73" s="26"/>
      <c r="B73" s="14" t="str">
        <f>CONCATENATE("     ","Depreciation                                      ")</f>
        <v xml:space="preserve">     Depreciation                                      </v>
      </c>
      <c r="C73" s="14"/>
      <c r="D73" s="2">
        <f>SUM(OSRRefD22_3x_0)</f>
        <v>280.44</v>
      </c>
      <c r="E73" s="2"/>
      <c r="F73" s="6">
        <f t="shared" si="12"/>
        <v>6.7757691787018279E-4</v>
      </c>
      <c r="G73" s="2"/>
      <c r="H73" s="2">
        <f>SUM(OSRRefH22_3x_0)</f>
        <v>280.44</v>
      </c>
      <c r="I73" s="2"/>
      <c r="J73" s="6">
        <f t="shared" si="13"/>
        <v>1.8723386072695661E-3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SUM(OSRRefP22_3x_0)</f>
        <v>3084.84</v>
      </c>
      <c r="Q73" s="2"/>
      <c r="R73" s="6">
        <f t="shared" si="16"/>
        <v>1.2416820746876331E-3</v>
      </c>
      <c r="S73" s="2"/>
      <c r="T73" s="2">
        <f>SUM(OSRRefT22_3x_0)</f>
        <v>3084.84</v>
      </c>
      <c r="U73" s="2"/>
      <c r="V73" s="6">
        <f t="shared" si="17"/>
        <v>1.1991302841969562E-3</v>
      </c>
      <c r="W73" s="2"/>
      <c r="X73" s="2">
        <f t="shared" si="18"/>
        <v>0</v>
      </c>
      <c r="Y73" s="2"/>
      <c r="Z73" s="6">
        <f t="shared" si="19"/>
        <v>0</v>
      </c>
    </row>
    <row r="74" spans="1:26" s="69" customFormat="1" ht="15" hidden="1" customHeight="1" outlineLevel="2" x14ac:dyDescent="0.25">
      <c r="A74" s="25"/>
      <c r="B74" s="12" t="str">
        <f>CONCATENATE("          ","6322"," - ","EQUIPMENT DEPRECIATION EXPENSE")</f>
        <v xml:space="preserve">          6322 - EQUIPMENT DEPRECIATION EXPENSE</v>
      </c>
      <c r="C74" s="12"/>
      <c r="D74" s="7">
        <v>280.44</v>
      </c>
      <c r="E74" s="3"/>
      <c r="F74" s="8">
        <f t="shared" si="12"/>
        <v>6.7757691787018279E-4</v>
      </c>
      <c r="G74" s="3"/>
      <c r="H74" s="7">
        <v>280.44</v>
      </c>
      <c r="I74" s="3"/>
      <c r="J74" s="8">
        <f t="shared" si="13"/>
        <v>1.8723386072695661E-3</v>
      </c>
      <c r="K74" s="3"/>
      <c r="L74" s="7">
        <f t="shared" si="14"/>
        <v>0</v>
      </c>
      <c r="M74" s="3"/>
      <c r="N74" s="8">
        <f t="shared" si="15"/>
        <v>0</v>
      </c>
      <c r="O74" s="12"/>
      <c r="P74" s="7">
        <v>3084.84</v>
      </c>
      <c r="Q74" s="3"/>
      <c r="R74" s="8">
        <f t="shared" si="16"/>
        <v>1.2416820746876331E-3</v>
      </c>
      <c r="S74" s="3"/>
      <c r="T74" s="7">
        <v>3084.84</v>
      </c>
      <c r="U74" s="3"/>
      <c r="V74" s="8">
        <f t="shared" si="17"/>
        <v>1.1991302841969562E-3</v>
      </c>
      <c r="W74" s="3"/>
      <c r="X74" s="7">
        <f t="shared" si="18"/>
        <v>0</v>
      </c>
      <c r="Y74" s="3"/>
      <c r="Z74" s="8">
        <f t="shared" si="19"/>
        <v>0</v>
      </c>
    </row>
    <row r="75" spans="1:26" s="68" customFormat="1" ht="15" customHeight="1" outlineLevel="1" collapsed="1" x14ac:dyDescent="0.25">
      <c r="A75" s="26"/>
      <c r="B75" s="14" t="str">
        <f>CONCATENATE("     ","Discounts and Markdowns                           ")</f>
        <v xml:space="preserve">     Discounts and Markdowns                           </v>
      </c>
      <c r="C75" s="14"/>
      <c r="D75" s="2">
        <f>SUM(OSRRefD22_4x_0)</f>
        <v>0</v>
      </c>
      <c r="E75" s="2"/>
      <c r="F75" s="6">
        <f t="shared" si="12"/>
        <v>0</v>
      </c>
      <c r="G75" s="2"/>
      <c r="H75" s="2">
        <f>SUM(OSRRefH22_4x_0)</f>
        <v>0</v>
      </c>
      <c r="I75" s="2"/>
      <c r="J75" s="6">
        <f t="shared" si="13"/>
        <v>0</v>
      </c>
      <c r="K75" s="2"/>
      <c r="L75" s="2">
        <f t="shared" si="14"/>
        <v>0</v>
      </c>
      <c r="M75" s="2"/>
      <c r="N75" s="6">
        <f t="shared" si="15"/>
        <v>0</v>
      </c>
      <c r="O75" s="14"/>
      <c r="P75" s="2">
        <f>SUM(OSRRefP22_4x_0)</f>
        <v>0</v>
      </c>
      <c r="Q75" s="2"/>
      <c r="R75" s="6">
        <f t="shared" si="16"/>
        <v>0</v>
      </c>
      <c r="S75" s="2"/>
      <c r="T75" s="2">
        <f>SUM(OSRRefT22_4x_0)</f>
        <v>0</v>
      </c>
      <c r="U75" s="2"/>
      <c r="V75" s="6">
        <f t="shared" si="17"/>
        <v>0</v>
      </c>
      <c r="W75" s="2"/>
      <c r="X75" s="2">
        <f t="shared" si="18"/>
        <v>0</v>
      </c>
      <c r="Y75" s="2"/>
      <c r="Z75" s="6">
        <f t="shared" si="19"/>
        <v>0</v>
      </c>
    </row>
    <row r="76" spans="1:26" s="69" customFormat="1" ht="15" hidden="1" customHeight="1" outlineLevel="2" x14ac:dyDescent="0.25">
      <c r="A76" s="25"/>
      <c r="B76" s="12" t="str">
        <f>CONCATENATE("          ","6382"," - ","DISCOUNTS/MARK DOWNS")</f>
        <v xml:space="preserve">          6382 - DISCOUNTS/MARK DOWNS</v>
      </c>
      <c r="C76" s="12"/>
      <c r="D76" s="7"/>
      <c r="E76" s="3"/>
      <c r="F76" s="8">
        <f t="shared" si="12"/>
        <v>0</v>
      </c>
      <c r="G76" s="3"/>
      <c r="H76" s="7">
        <v>0</v>
      </c>
      <c r="I76" s="3"/>
      <c r="J76" s="8">
        <f t="shared" si="13"/>
        <v>0</v>
      </c>
      <c r="K76" s="3"/>
      <c r="L76" s="7">
        <f t="shared" si="14"/>
        <v>0</v>
      </c>
      <c r="M76" s="3"/>
      <c r="N76" s="8">
        <f t="shared" si="15"/>
        <v>0</v>
      </c>
      <c r="O76" s="12"/>
      <c r="P76" s="7"/>
      <c r="Q76" s="3"/>
      <c r="R76" s="8">
        <f t="shared" si="16"/>
        <v>0</v>
      </c>
      <c r="S76" s="3"/>
      <c r="T76" s="7">
        <v>0</v>
      </c>
      <c r="U76" s="3"/>
      <c r="V76" s="8">
        <f t="shared" si="17"/>
        <v>0</v>
      </c>
      <c r="W76" s="3"/>
      <c r="X76" s="7">
        <f t="shared" si="18"/>
        <v>0</v>
      </c>
      <c r="Y76" s="3"/>
      <c r="Z76" s="8">
        <f t="shared" si="19"/>
        <v>0</v>
      </c>
    </row>
    <row r="77" spans="1:26" s="68" customFormat="1" ht="15" customHeight="1" outlineLevel="1" collapsed="1" x14ac:dyDescent="0.25">
      <c r="A77" s="26"/>
      <c r="B77" s="14" t="str">
        <f>CONCATENATE("     ","Freight out/Postage                               ")</f>
        <v xml:space="preserve">     Freight out/Postage                               </v>
      </c>
      <c r="C77" s="14"/>
      <c r="D77" s="2">
        <f>SUM(OSRRefD22_5x_0)</f>
        <v>0</v>
      </c>
      <c r="E77" s="2"/>
      <c r="F77" s="6">
        <f t="shared" si="12"/>
        <v>0</v>
      </c>
      <c r="G77" s="2"/>
      <c r="H77" s="2">
        <f>SUM(OSRRefH22_5x_0)</f>
        <v>1057.28</v>
      </c>
      <c r="I77" s="2"/>
      <c r="J77" s="6">
        <f t="shared" si="13"/>
        <v>7.0588580897659641E-3</v>
      </c>
      <c r="K77" s="2"/>
      <c r="L77" s="2">
        <f t="shared" si="14"/>
        <v>-1057.28</v>
      </c>
      <c r="M77" s="2"/>
      <c r="N77" s="6">
        <f t="shared" si="15"/>
        <v>-1</v>
      </c>
      <c r="O77" s="14"/>
      <c r="P77" s="2">
        <f>SUM(OSRRefP22_5x_0)</f>
        <v>122.13</v>
      </c>
      <c r="Q77" s="2"/>
      <c r="R77" s="6">
        <f t="shared" si="16"/>
        <v>4.9158670070927705E-5</v>
      </c>
      <c r="S77" s="2"/>
      <c r="T77" s="2">
        <f>SUM(OSRRefT22_5x_0)</f>
        <v>2698.56</v>
      </c>
      <c r="U77" s="2"/>
      <c r="V77" s="6">
        <f t="shared" si="17"/>
        <v>1.0489766145805092E-3</v>
      </c>
      <c r="W77" s="2"/>
      <c r="X77" s="2">
        <f t="shared" si="18"/>
        <v>-2576.4299999999998</v>
      </c>
      <c r="Y77" s="2"/>
      <c r="Z77" s="6">
        <f t="shared" si="19"/>
        <v>-0.95474252934898607</v>
      </c>
    </row>
    <row r="78" spans="1:26" s="69" customFormat="1" ht="15" hidden="1" customHeight="1" outlineLevel="2" x14ac:dyDescent="0.25">
      <c r="A78" s="25"/>
      <c r="B78" s="12" t="str">
        <f>CONCATENATE("          ","6305"," - ","FREIGHT OUT")</f>
        <v xml:space="preserve">          6305 - FREIGHT OUT</v>
      </c>
      <c r="C78" s="12"/>
      <c r="D78" s="7"/>
      <c r="E78" s="3"/>
      <c r="F78" s="8">
        <f t="shared" si="12"/>
        <v>0</v>
      </c>
      <c r="G78" s="3"/>
      <c r="H78" s="7">
        <v>1057.28</v>
      </c>
      <c r="I78" s="3"/>
      <c r="J78" s="8">
        <f t="shared" si="13"/>
        <v>7.0588580897659641E-3</v>
      </c>
      <c r="K78" s="3"/>
      <c r="L78" s="7">
        <f t="shared" si="14"/>
        <v>-1057.28</v>
      </c>
      <c r="M78" s="3"/>
      <c r="N78" s="8">
        <f t="shared" si="15"/>
        <v>-1</v>
      </c>
      <c r="O78" s="12"/>
      <c r="P78" s="7">
        <v>122.13</v>
      </c>
      <c r="Q78" s="3"/>
      <c r="R78" s="8">
        <f t="shared" si="16"/>
        <v>4.9158670070927705E-5</v>
      </c>
      <c r="S78" s="3"/>
      <c r="T78" s="7">
        <v>2685.96</v>
      </c>
      <c r="U78" s="3"/>
      <c r="V78" s="8">
        <f t="shared" si="17"/>
        <v>1.0440787781997305E-3</v>
      </c>
      <c r="W78" s="3"/>
      <c r="X78" s="7">
        <f t="shared" si="18"/>
        <v>-2563.83</v>
      </c>
      <c r="Y78" s="3"/>
      <c r="Z78" s="8">
        <f t="shared" si="19"/>
        <v>-0.95453022383058572</v>
      </c>
    </row>
    <row r="79" spans="1:26" s="69" customFormat="1" ht="15" hidden="1" customHeight="1" outlineLevel="2" x14ac:dyDescent="0.25">
      <c r="A79" s="25"/>
      <c r="B79" s="12" t="str">
        <f>CONCATENATE("          ","6307"," - ","POSTAGE")</f>
        <v xml:space="preserve">          6307 - POSTAGE</v>
      </c>
      <c r="C79" s="12"/>
      <c r="D79" s="7"/>
      <c r="E79" s="3"/>
      <c r="F79" s="8">
        <f t="shared" si="12"/>
        <v>0</v>
      </c>
      <c r="G79" s="3"/>
      <c r="H79" s="7"/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/>
      <c r="Q79" s="3"/>
      <c r="R79" s="8">
        <f t="shared" si="16"/>
        <v>0</v>
      </c>
      <c r="S79" s="3"/>
      <c r="T79" s="7">
        <v>12.6</v>
      </c>
      <c r="U79" s="3"/>
      <c r="V79" s="8">
        <f t="shared" si="17"/>
        <v>4.8978363807787919E-6</v>
      </c>
      <c r="W79" s="3"/>
      <c r="X79" s="7">
        <f t="shared" si="18"/>
        <v>-12.6</v>
      </c>
      <c r="Y79" s="3"/>
      <c r="Z79" s="8">
        <f t="shared" si="19"/>
        <v>-1</v>
      </c>
    </row>
    <row r="80" spans="1:26" s="68" customFormat="1" ht="15" customHeight="1" outlineLevel="1" collapsed="1" x14ac:dyDescent="0.25">
      <c r="A80" s="26"/>
      <c r="B80" s="14" t="str">
        <f>CONCATENATE("     ","General                                           ")</f>
        <v xml:space="preserve">     General                                           </v>
      </c>
      <c r="C80" s="14"/>
      <c r="D80" s="2">
        <f>SUM(OSRRefD22_6x_0)</f>
        <v>0</v>
      </c>
      <c r="E80" s="2"/>
      <c r="F80" s="6">
        <f t="shared" si="12"/>
        <v>0</v>
      </c>
      <c r="G80" s="2"/>
      <c r="H80" s="2">
        <f>SUM(OSRRefH22_6x_0)</f>
        <v>285</v>
      </c>
      <c r="I80" s="2"/>
      <c r="J80" s="6">
        <f t="shared" si="13"/>
        <v>1.9027831374690714E-3</v>
      </c>
      <c r="K80" s="2"/>
      <c r="L80" s="2">
        <f t="shared" si="14"/>
        <v>-285</v>
      </c>
      <c r="M80" s="2"/>
      <c r="N80" s="6">
        <f t="shared" si="15"/>
        <v>-1</v>
      </c>
      <c r="O80" s="14"/>
      <c r="P80" s="2">
        <f>SUM(OSRRefP22_6x_0)</f>
        <v>285</v>
      </c>
      <c r="Q80" s="2"/>
      <c r="R80" s="6">
        <f t="shared" si="16"/>
        <v>1.147156388292344E-4</v>
      </c>
      <c r="S80" s="2"/>
      <c r="T80" s="2">
        <f>SUM(OSRRefT22_6x_0)</f>
        <v>254.85</v>
      </c>
      <c r="U80" s="2"/>
      <c r="V80" s="6">
        <f t="shared" si="17"/>
        <v>9.9064571558847233E-5</v>
      </c>
      <c r="W80" s="2"/>
      <c r="X80" s="2">
        <f t="shared" si="18"/>
        <v>30.150000000000006</v>
      </c>
      <c r="Y80" s="2"/>
      <c r="Z80" s="6">
        <f t="shared" si="19"/>
        <v>0.11830488522660391</v>
      </c>
    </row>
    <row r="81" spans="1:26" s="69" customFormat="1" ht="15" hidden="1" customHeight="1" outlineLevel="2" x14ac:dyDescent="0.25">
      <c r="A81" s="25"/>
      <c r="B81" s="12" t="str">
        <f>CONCATENATE("          ","6279"," - ","GENERAL EXPENSE")</f>
        <v xml:space="preserve">          6279 - GENERAL EXPENSE</v>
      </c>
      <c r="C81" s="12"/>
      <c r="D81" s="7"/>
      <c r="E81" s="3"/>
      <c r="F81" s="8">
        <f t="shared" si="12"/>
        <v>0</v>
      </c>
      <c r="G81" s="3"/>
      <c r="H81" s="7">
        <v>285</v>
      </c>
      <c r="I81" s="3"/>
      <c r="J81" s="8">
        <f t="shared" si="13"/>
        <v>1.9027831374690714E-3</v>
      </c>
      <c r="K81" s="3"/>
      <c r="L81" s="7">
        <f t="shared" si="14"/>
        <v>-285</v>
      </c>
      <c r="M81" s="3"/>
      <c r="N81" s="8">
        <f t="shared" si="15"/>
        <v>-1</v>
      </c>
      <c r="O81" s="12"/>
      <c r="P81" s="7">
        <v>285</v>
      </c>
      <c r="Q81" s="3"/>
      <c r="R81" s="8">
        <f t="shared" si="16"/>
        <v>1.147156388292344E-4</v>
      </c>
      <c r="S81" s="3"/>
      <c r="T81" s="7">
        <v>254.85</v>
      </c>
      <c r="U81" s="3"/>
      <c r="V81" s="8">
        <f t="shared" si="17"/>
        <v>9.9064571558847233E-5</v>
      </c>
      <c r="W81" s="3"/>
      <c r="X81" s="7">
        <f t="shared" si="18"/>
        <v>30.150000000000006</v>
      </c>
      <c r="Y81" s="3"/>
      <c r="Z81" s="8">
        <f t="shared" si="19"/>
        <v>0.11830488522660391</v>
      </c>
    </row>
    <row r="82" spans="1:26" s="68" customFormat="1" ht="15" customHeight="1" outlineLevel="1" collapsed="1" x14ac:dyDescent="0.25">
      <c r="A82" s="26"/>
      <c r="B82" s="14" t="str">
        <f>CONCATENATE("     ","Inventory Adjustment                              ")</f>
        <v xml:space="preserve">     Inventory Adjustment                              </v>
      </c>
      <c r="C82" s="14"/>
      <c r="D82" s="2">
        <f>SUM(OSRRefD22_7x_0)</f>
        <v>2100</v>
      </c>
      <c r="E82" s="2"/>
      <c r="F82" s="6">
        <f t="shared" si="12"/>
        <v>5.0738536853779199E-3</v>
      </c>
      <c r="G82" s="2"/>
      <c r="H82" s="2">
        <f>SUM(OSRRefH22_7x_0)</f>
        <v>1250</v>
      </c>
      <c r="I82" s="2"/>
      <c r="J82" s="6">
        <f t="shared" si="13"/>
        <v>8.3455400766187342E-3</v>
      </c>
      <c r="K82" s="2"/>
      <c r="L82" s="2">
        <f t="shared" si="14"/>
        <v>850</v>
      </c>
      <c r="M82" s="2"/>
      <c r="N82" s="6">
        <f t="shared" si="15"/>
        <v>0.68</v>
      </c>
      <c r="O82" s="14"/>
      <c r="P82" s="2">
        <f>SUM(OSRRefP22_7x_0)</f>
        <v>10740</v>
      </c>
      <c r="Q82" s="2"/>
      <c r="R82" s="6">
        <f t="shared" si="16"/>
        <v>4.322968284301675E-3</v>
      </c>
      <c r="S82" s="2"/>
      <c r="T82" s="2">
        <f>SUM(OSRRefT22_7x_0)</f>
        <v>13750</v>
      </c>
      <c r="U82" s="2"/>
      <c r="V82" s="6">
        <f t="shared" si="17"/>
        <v>5.3448611298181261E-3</v>
      </c>
      <c r="W82" s="2"/>
      <c r="X82" s="2">
        <f t="shared" si="18"/>
        <v>-3010</v>
      </c>
      <c r="Y82" s="2"/>
      <c r="Z82" s="6">
        <f t="shared" si="19"/>
        <v>-0.21890909090909091</v>
      </c>
    </row>
    <row r="83" spans="1:26" s="69" customFormat="1" ht="15" hidden="1" customHeight="1" outlineLevel="2" x14ac:dyDescent="0.25">
      <c r="A83" s="25"/>
      <c r="B83" s="12" t="str">
        <f>CONCATENATE("          ","6408"," - ","INVENTORY ADJUSTMENT")</f>
        <v xml:space="preserve">          6408 - INVENTORY ADJUSTMENT</v>
      </c>
      <c r="C83" s="12"/>
      <c r="D83" s="7">
        <v>2100</v>
      </c>
      <c r="E83" s="3"/>
      <c r="F83" s="8">
        <f t="shared" si="12"/>
        <v>5.0738536853779199E-3</v>
      </c>
      <c r="G83" s="3"/>
      <c r="H83" s="7">
        <v>1250</v>
      </c>
      <c r="I83" s="3"/>
      <c r="J83" s="8">
        <f t="shared" si="13"/>
        <v>8.3455400766187342E-3</v>
      </c>
      <c r="K83" s="3"/>
      <c r="L83" s="7">
        <f t="shared" si="14"/>
        <v>850</v>
      </c>
      <c r="M83" s="3"/>
      <c r="N83" s="8">
        <f t="shared" si="15"/>
        <v>0.68</v>
      </c>
      <c r="O83" s="12"/>
      <c r="P83" s="7">
        <v>10740</v>
      </c>
      <c r="Q83" s="3"/>
      <c r="R83" s="8">
        <f t="shared" si="16"/>
        <v>4.322968284301675E-3</v>
      </c>
      <c r="S83" s="3"/>
      <c r="T83" s="7">
        <v>13750</v>
      </c>
      <c r="U83" s="3"/>
      <c r="V83" s="8">
        <f t="shared" si="17"/>
        <v>5.3448611298181261E-3</v>
      </c>
      <c r="W83" s="3"/>
      <c r="X83" s="7">
        <f t="shared" si="18"/>
        <v>-3010</v>
      </c>
      <c r="Y83" s="3"/>
      <c r="Z83" s="8">
        <f t="shared" si="19"/>
        <v>-0.21890909090909091</v>
      </c>
    </row>
    <row r="84" spans="1:26" s="68" customFormat="1" ht="15" customHeight="1" outlineLevel="1" collapsed="1" x14ac:dyDescent="0.25">
      <c r="A84" s="26"/>
      <c r="B84" s="14" t="str">
        <f>CONCATENATE("     ","Repair and Maintenance                            ")</f>
        <v xml:space="preserve">     Repair and Maintenance                            </v>
      </c>
      <c r="C84" s="14"/>
      <c r="D84" s="2">
        <f>SUM(OSRRefD22_8x_0)</f>
        <v>0</v>
      </c>
      <c r="E84" s="2"/>
      <c r="F84" s="6">
        <f t="shared" si="12"/>
        <v>0</v>
      </c>
      <c r="G84" s="2"/>
      <c r="H84" s="2">
        <f>SUM(OSRRefH22_8x_0)</f>
        <v>0</v>
      </c>
      <c r="I84" s="2"/>
      <c r="J84" s="6">
        <f t="shared" si="13"/>
        <v>0</v>
      </c>
      <c r="K84" s="2"/>
      <c r="L84" s="2">
        <f t="shared" si="14"/>
        <v>0</v>
      </c>
      <c r="M84" s="2"/>
      <c r="N84" s="6">
        <f t="shared" si="15"/>
        <v>0</v>
      </c>
      <c r="O84" s="14"/>
      <c r="P84" s="2">
        <f>SUM(OSRRefP22_8x_0)</f>
        <v>1550</v>
      </c>
      <c r="Q84" s="2"/>
      <c r="R84" s="6">
        <f t="shared" si="16"/>
        <v>6.2389207082566079E-4</v>
      </c>
      <c r="S84" s="2"/>
      <c r="T84" s="2">
        <f>SUM(OSRRefT22_8x_0)</f>
        <v>1550</v>
      </c>
      <c r="U84" s="2"/>
      <c r="V84" s="6">
        <f t="shared" si="17"/>
        <v>6.025116182704069E-4</v>
      </c>
      <c r="W84" s="2"/>
      <c r="X84" s="2">
        <f t="shared" si="18"/>
        <v>0</v>
      </c>
      <c r="Y84" s="2"/>
      <c r="Z84" s="6">
        <f t="shared" si="19"/>
        <v>0</v>
      </c>
    </row>
    <row r="85" spans="1:26" s="69" customFormat="1" ht="15" hidden="1" customHeight="1" outlineLevel="2" x14ac:dyDescent="0.25">
      <c r="A85" s="25"/>
      <c r="B85" s="12" t="str">
        <f>CONCATENATE("          ","6371"," - ","COMPUTER SOFTWARE MAINTENANCE")</f>
        <v xml:space="preserve">          6371 - COMPUTER SOFTWARE MAINTENANCE</v>
      </c>
      <c r="C85" s="12"/>
      <c r="D85" s="7"/>
      <c r="E85" s="3"/>
      <c r="F85" s="8">
        <f t="shared" si="12"/>
        <v>0</v>
      </c>
      <c r="G85" s="3"/>
      <c r="H85" s="7"/>
      <c r="I85" s="3"/>
      <c r="J85" s="8">
        <f t="shared" si="13"/>
        <v>0</v>
      </c>
      <c r="K85" s="3"/>
      <c r="L85" s="7">
        <f t="shared" si="14"/>
        <v>0</v>
      </c>
      <c r="M85" s="3"/>
      <c r="N85" s="8">
        <f t="shared" si="15"/>
        <v>0</v>
      </c>
      <c r="O85" s="12"/>
      <c r="P85" s="7">
        <v>1550</v>
      </c>
      <c r="Q85" s="3"/>
      <c r="R85" s="8">
        <f t="shared" si="16"/>
        <v>6.2389207082566079E-4</v>
      </c>
      <c r="S85" s="3"/>
      <c r="T85" s="7">
        <v>1550</v>
      </c>
      <c r="U85" s="3"/>
      <c r="V85" s="8">
        <f t="shared" si="17"/>
        <v>6.025116182704069E-4</v>
      </c>
      <c r="W85" s="3"/>
      <c r="X85" s="7">
        <f t="shared" si="18"/>
        <v>0</v>
      </c>
      <c r="Y85" s="3"/>
      <c r="Z85" s="8">
        <f t="shared" si="19"/>
        <v>0</v>
      </c>
    </row>
    <row r="86" spans="1:26" s="68" customFormat="1" ht="15" customHeight="1" outlineLevel="1" collapsed="1" x14ac:dyDescent="0.25">
      <c r="A86" s="26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2">
        <f>SUM(OSRRefD22_9x_0)</f>
        <v>0</v>
      </c>
      <c r="E86" s="2"/>
      <c r="F86" s="6">
        <f t="shared" si="12"/>
        <v>0</v>
      </c>
      <c r="G86" s="2"/>
      <c r="H86" s="2">
        <f>SUM(OSRRefH22_9x_0)</f>
        <v>0</v>
      </c>
      <c r="I86" s="2"/>
      <c r="J86" s="6">
        <f t="shared" si="13"/>
        <v>0</v>
      </c>
      <c r="K86" s="2"/>
      <c r="L86" s="2">
        <f t="shared" si="14"/>
        <v>0</v>
      </c>
      <c r="M86" s="2"/>
      <c r="N86" s="6">
        <f t="shared" si="15"/>
        <v>0</v>
      </c>
      <c r="O86" s="14"/>
      <c r="P86" s="2">
        <f>SUM(OSRRefP22_9x_0)</f>
        <v>0</v>
      </c>
      <c r="Q86" s="2"/>
      <c r="R86" s="6">
        <f t="shared" si="16"/>
        <v>0</v>
      </c>
      <c r="S86" s="2"/>
      <c r="T86" s="2">
        <f>SUM(OSRRefT22_9x_0)</f>
        <v>142.22</v>
      </c>
      <c r="U86" s="2"/>
      <c r="V86" s="6">
        <f t="shared" si="17"/>
        <v>5.5283356355107917E-5</v>
      </c>
      <c r="W86" s="2"/>
      <c r="X86" s="2">
        <f t="shared" si="18"/>
        <v>-142.22</v>
      </c>
      <c r="Y86" s="2"/>
      <c r="Z86" s="6">
        <f t="shared" si="19"/>
        <v>-1</v>
      </c>
    </row>
    <row r="87" spans="1:26" s="69" customFormat="1" ht="15" hidden="1" customHeight="1" outlineLevel="2" x14ac:dyDescent="0.25">
      <c r="A87" s="25"/>
      <c r="B87" s="12" t="str">
        <f>CONCATENATE("          ","6275"," - ","SUBSCRIPTIONS")</f>
        <v xml:space="preserve">          6275 - SUBSCRIPTIONS</v>
      </c>
      <c r="C87" s="12"/>
      <c r="D87" s="7"/>
      <c r="E87" s="3"/>
      <c r="F87" s="8">
        <f t="shared" si="12"/>
        <v>0</v>
      </c>
      <c r="G87" s="3"/>
      <c r="H87" s="7"/>
      <c r="I87" s="3"/>
      <c r="J87" s="8">
        <f t="shared" si="13"/>
        <v>0</v>
      </c>
      <c r="K87" s="3"/>
      <c r="L87" s="7">
        <f t="shared" si="14"/>
        <v>0</v>
      </c>
      <c r="M87" s="3"/>
      <c r="N87" s="8">
        <f t="shared" si="15"/>
        <v>0</v>
      </c>
      <c r="O87" s="12"/>
      <c r="P87" s="7"/>
      <c r="Q87" s="3"/>
      <c r="R87" s="8">
        <f t="shared" si="16"/>
        <v>0</v>
      </c>
      <c r="S87" s="3"/>
      <c r="T87" s="7">
        <v>142.22</v>
      </c>
      <c r="U87" s="3"/>
      <c r="V87" s="8">
        <f t="shared" si="17"/>
        <v>5.5283356355107917E-5</v>
      </c>
      <c r="W87" s="3"/>
      <c r="X87" s="7">
        <f t="shared" si="18"/>
        <v>-142.22</v>
      </c>
      <c r="Y87" s="3"/>
      <c r="Z87" s="8">
        <f t="shared" si="19"/>
        <v>-1</v>
      </c>
    </row>
    <row r="88" spans="1:26" s="68" customFormat="1" ht="15" customHeight="1" outlineLevel="1" collapsed="1" x14ac:dyDescent="0.25">
      <c r="A88" s="26"/>
      <c r="B88" s="14" t="str">
        <f>CONCATENATE("     ","Supplies                                          ")</f>
        <v xml:space="preserve">     Supplies                                          </v>
      </c>
      <c r="C88" s="14"/>
      <c r="D88" s="2">
        <f>SUM(OSRRefD22_10x_0)</f>
        <v>180.57</v>
      </c>
      <c r="E88" s="2"/>
      <c r="F88" s="6">
        <f t="shared" si="12"/>
        <v>4.3627893331842429E-4</v>
      </c>
      <c r="G88" s="2"/>
      <c r="H88" s="2">
        <f>SUM(OSRRefH22_10x_0)</f>
        <v>200.67</v>
      </c>
      <c r="I88" s="2"/>
      <c r="J88" s="6">
        <f t="shared" si="13"/>
        <v>1.3397596217400651E-3</v>
      </c>
      <c r="K88" s="2"/>
      <c r="L88" s="2">
        <f t="shared" si="14"/>
        <v>-20.099999999999994</v>
      </c>
      <c r="M88" s="2"/>
      <c r="N88" s="6">
        <f t="shared" si="15"/>
        <v>-0.10016444909552995</v>
      </c>
      <c r="O88" s="14"/>
      <c r="P88" s="2">
        <f>SUM(OSRRefP22_10x_0)</f>
        <v>5111.4699999999993</v>
      </c>
      <c r="Q88" s="2"/>
      <c r="R88" s="6">
        <f t="shared" si="16"/>
        <v>2.0574229698472513E-3</v>
      </c>
      <c r="S88" s="2"/>
      <c r="T88" s="2">
        <f>SUM(OSRRefT22_10x_0)</f>
        <v>4032.32</v>
      </c>
      <c r="U88" s="2"/>
      <c r="V88" s="6">
        <f t="shared" si="17"/>
        <v>1.5674320313445983E-3</v>
      </c>
      <c r="W88" s="2"/>
      <c r="X88" s="2">
        <f t="shared" si="18"/>
        <v>1079.1499999999992</v>
      </c>
      <c r="Y88" s="2"/>
      <c r="Z88" s="6">
        <f t="shared" si="19"/>
        <v>0.26762508927862849</v>
      </c>
    </row>
    <row r="89" spans="1:26" s="69" customFormat="1" ht="15" hidden="1" customHeight="1" outlineLevel="2" x14ac:dyDescent="0.25">
      <c r="A89" s="25"/>
      <c r="B89" s="12" t="str">
        <f>CONCATENATE("          ","6234"," - ","EXPENDABLE SUPPLIES &amp; EQUIPMEN")</f>
        <v xml:space="preserve">          6234 - EXPENDABLE SUPPLIES &amp; EQUIPMEN</v>
      </c>
      <c r="C89" s="12"/>
      <c r="D89" s="7"/>
      <c r="E89" s="3"/>
      <c r="F89" s="8">
        <f t="shared" si="12"/>
        <v>0</v>
      </c>
      <c r="G89" s="3"/>
      <c r="H89" s="7"/>
      <c r="I89" s="3"/>
      <c r="J89" s="8">
        <f t="shared" si="13"/>
        <v>0</v>
      </c>
      <c r="K89" s="3"/>
      <c r="L89" s="7">
        <f t="shared" si="14"/>
        <v>0</v>
      </c>
      <c r="M89" s="3"/>
      <c r="N89" s="8">
        <f t="shared" si="15"/>
        <v>0</v>
      </c>
      <c r="O89" s="12"/>
      <c r="P89" s="7"/>
      <c r="Q89" s="3"/>
      <c r="R89" s="8">
        <f t="shared" si="16"/>
        <v>0</v>
      </c>
      <c r="S89" s="3"/>
      <c r="T89" s="7">
        <v>1733.49</v>
      </c>
      <c r="U89" s="3"/>
      <c r="V89" s="8">
        <f t="shared" si="17"/>
        <v>6.7383733235843075E-4</v>
      </c>
      <c r="W89" s="3"/>
      <c r="X89" s="7">
        <f t="shared" si="18"/>
        <v>-1733.49</v>
      </c>
      <c r="Y89" s="3"/>
      <c r="Z89" s="8">
        <f t="shared" si="19"/>
        <v>-1</v>
      </c>
    </row>
    <row r="90" spans="1:26" s="69" customFormat="1" ht="15" hidden="1" customHeight="1" outlineLevel="2" x14ac:dyDescent="0.25">
      <c r="A90" s="25"/>
      <c r="B90" s="12" t="str">
        <f>CONCATENATE("          ","6235"," - ","COVID-19 EXPENSES")</f>
        <v xml:space="preserve">          6235 - COVID-19 EXPENSES</v>
      </c>
      <c r="C90" s="12"/>
      <c r="D90" s="7"/>
      <c r="E90" s="3"/>
      <c r="F90" s="8">
        <f t="shared" si="12"/>
        <v>0</v>
      </c>
      <c r="G90" s="3"/>
      <c r="H90" s="7"/>
      <c r="I90" s="3"/>
      <c r="J90" s="8">
        <f t="shared" si="13"/>
        <v>0</v>
      </c>
      <c r="K90" s="3"/>
      <c r="L90" s="7">
        <f t="shared" si="14"/>
        <v>0</v>
      </c>
      <c r="M90" s="3"/>
      <c r="N90" s="8">
        <f t="shared" si="15"/>
        <v>0</v>
      </c>
      <c r="O90" s="12"/>
      <c r="P90" s="7"/>
      <c r="Q90" s="3"/>
      <c r="R90" s="8">
        <f t="shared" si="16"/>
        <v>0</v>
      </c>
      <c r="S90" s="3"/>
      <c r="T90" s="7">
        <v>668.12</v>
      </c>
      <c r="U90" s="3"/>
      <c r="V90" s="8">
        <f t="shared" si="17"/>
        <v>2.5970971767666083E-4</v>
      </c>
      <c r="W90" s="3"/>
      <c r="X90" s="7">
        <f t="shared" si="18"/>
        <v>-668.12</v>
      </c>
      <c r="Y90" s="3"/>
      <c r="Z90" s="8">
        <f t="shared" si="19"/>
        <v>-1</v>
      </c>
    </row>
    <row r="91" spans="1:26" s="69" customFormat="1" ht="15" hidden="1" customHeight="1" outlineLevel="2" x14ac:dyDescent="0.25">
      <c r="A91" s="25"/>
      <c r="B91" s="12" t="str">
        <f>CONCATENATE("          ","6241"," - ","OFFICE EXPENSE")</f>
        <v xml:space="preserve">          6241 - OFFICE EXPENSE</v>
      </c>
      <c r="C91" s="12"/>
      <c r="D91" s="7">
        <v>180.57</v>
      </c>
      <c r="E91" s="3"/>
      <c r="F91" s="8">
        <f t="shared" si="12"/>
        <v>4.3627893331842429E-4</v>
      </c>
      <c r="G91" s="3"/>
      <c r="H91" s="7">
        <v>200.67</v>
      </c>
      <c r="I91" s="3"/>
      <c r="J91" s="8">
        <f t="shared" si="13"/>
        <v>1.3397596217400651E-3</v>
      </c>
      <c r="K91" s="3"/>
      <c r="L91" s="7">
        <f t="shared" si="14"/>
        <v>-20.099999999999994</v>
      </c>
      <c r="M91" s="3"/>
      <c r="N91" s="8">
        <f t="shared" si="15"/>
        <v>-0.10016444909552995</v>
      </c>
      <c r="O91" s="12"/>
      <c r="P91" s="7">
        <v>2199.4699999999998</v>
      </c>
      <c r="Q91" s="3"/>
      <c r="R91" s="8">
        <f t="shared" si="16"/>
        <v>8.8531089872188125E-4</v>
      </c>
      <c r="S91" s="3"/>
      <c r="T91" s="7">
        <v>1630.71</v>
      </c>
      <c r="U91" s="3"/>
      <c r="V91" s="8">
        <f t="shared" si="17"/>
        <v>6.3388498130950667E-4</v>
      </c>
      <c r="W91" s="3"/>
      <c r="X91" s="7">
        <f t="shared" si="18"/>
        <v>568.75999999999976</v>
      </c>
      <c r="Y91" s="3"/>
      <c r="Z91" s="8">
        <f t="shared" si="19"/>
        <v>0.34878059250265209</v>
      </c>
    </row>
    <row r="92" spans="1:26" s="69" customFormat="1" ht="15" hidden="1" customHeight="1" outlineLevel="2" x14ac:dyDescent="0.25">
      <c r="A92" s="25"/>
      <c r="B92" s="12" t="str">
        <f>CONCATENATE("          ","6247"," - ","STORE SUPPLIES")</f>
        <v xml:space="preserve">          6247 - STORE SUPPLIES</v>
      </c>
      <c r="C92" s="12"/>
      <c r="D92" s="7"/>
      <c r="E92" s="3"/>
      <c r="F92" s="8">
        <f t="shared" si="12"/>
        <v>0</v>
      </c>
      <c r="G92" s="3"/>
      <c r="H92" s="7"/>
      <c r="I92" s="3"/>
      <c r="J92" s="8">
        <f t="shared" si="13"/>
        <v>0</v>
      </c>
      <c r="K92" s="3"/>
      <c r="L92" s="7">
        <f t="shared" si="14"/>
        <v>0</v>
      </c>
      <c r="M92" s="3"/>
      <c r="N92" s="8">
        <f t="shared" si="15"/>
        <v>0</v>
      </c>
      <c r="O92" s="12"/>
      <c r="P92" s="7">
        <v>2912</v>
      </c>
      <c r="Q92" s="3"/>
      <c r="R92" s="8">
        <f t="shared" si="16"/>
        <v>1.1721120711253705E-3</v>
      </c>
      <c r="S92" s="3"/>
      <c r="T92" s="7"/>
      <c r="U92" s="3"/>
      <c r="V92" s="8">
        <f t="shared" si="17"/>
        <v>0</v>
      </c>
      <c r="W92" s="3"/>
      <c r="X92" s="7">
        <f t="shared" si="18"/>
        <v>2912</v>
      </c>
      <c r="Y92" s="3"/>
      <c r="Z92" s="8">
        <f t="shared" si="19"/>
        <v>0</v>
      </c>
    </row>
    <row r="93" spans="1:26" s="68" customFormat="1" ht="15" customHeight="1" outlineLevel="1" collapsed="1" x14ac:dyDescent="0.25">
      <c r="A93" s="26"/>
      <c r="B93" s="14" t="str">
        <f>CONCATENATE("     ","Telephone/Data Lines                              ")</f>
        <v xml:space="preserve">     Telephone/Data Lines                              </v>
      </c>
      <c r="C93" s="14"/>
      <c r="D93" s="2">
        <f>SUM(OSRRefD22_11x_0)</f>
        <v>96.45</v>
      </c>
      <c r="E93" s="2"/>
      <c r="F93" s="6">
        <f t="shared" si="12"/>
        <v>2.3303485140700018E-4</v>
      </c>
      <c r="G93" s="2"/>
      <c r="H93" s="2">
        <f>SUM(OSRRefH22_11x_0)</f>
        <v>383.2</v>
      </c>
      <c r="I93" s="2"/>
      <c r="J93" s="6">
        <f t="shared" si="13"/>
        <v>2.558408765888239E-3</v>
      </c>
      <c r="K93" s="2"/>
      <c r="L93" s="2">
        <f t="shared" si="14"/>
        <v>-286.75</v>
      </c>
      <c r="M93" s="2"/>
      <c r="N93" s="6">
        <f t="shared" si="15"/>
        <v>-0.74830375782881009</v>
      </c>
      <c r="O93" s="14"/>
      <c r="P93" s="2">
        <f>SUM(OSRRefP22_11x_0)</f>
        <v>2011.66</v>
      </c>
      <c r="Q93" s="2"/>
      <c r="R93" s="6">
        <f t="shared" si="16"/>
        <v>8.097153052884831E-4</v>
      </c>
      <c r="S93" s="2"/>
      <c r="T93" s="2">
        <f>SUM(OSRRefT22_11x_0)</f>
        <v>3260.75</v>
      </c>
      <c r="U93" s="2"/>
      <c r="V93" s="6">
        <f t="shared" si="17"/>
        <v>1.2675095221130511E-3</v>
      </c>
      <c r="W93" s="2"/>
      <c r="X93" s="2">
        <f t="shared" si="18"/>
        <v>-1249.0899999999999</v>
      </c>
      <c r="Y93" s="2"/>
      <c r="Z93" s="6">
        <f t="shared" si="19"/>
        <v>-0.38306831250479184</v>
      </c>
    </row>
    <row r="94" spans="1:26" s="69" customFormat="1" ht="15" hidden="1" customHeight="1" outlineLevel="2" x14ac:dyDescent="0.25">
      <c r="A94" s="25"/>
      <c r="B94" s="12" t="str">
        <f>CONCATENATE("          ","6309"," - ","TELEPHONE")</f>
        <v xml:space="preserve">          6309 - TELEPHONE</v>
      </c>
      <c r="C94" s="12"/>
      <c r="D94" s="7">
        <v>96.45</v>
      </c>
      <c r="E94" s="3"/>
      <c r="F94" s="8">
        <f t="shared" si="12"/>
        <v>2.3303485140700018E-4</v>
      </c>
      <c r="G94" s="3"/>
      <c r="H94" s="7">
        <v>383.2</v>
      </c>
      <c r="I94" s="3"/>
      <c r="J94" s="8">
        <f t="shared" si="13"/>
        <v>2.558408765888239E-3</v>
      </c>
      <c r="K94" s="3"/>
      <c r="L94" s="7">
        <f t="shared" si="14"/>
        <v>-286.75</v>
      </c>
      <c r="M94" s="3"/>
      <c r="N94" s="8">
        <f t="shared" si="15"/>
        <v>-0.74830375782881009</v>
      </c>
      <c r="O94" s="12"/>
      <c r="P94" s="7">
        <v>2011.66</v>
      </c>
      <c r="Q94" s="3"/>
      <c r="R94" s="8">
        <f t="shared" si="16"/>
        <v>8.097153052884831E-4</v>
      </c>
      <c r="S94" s="3"/>
      <c r="T94" s="7">
        <v>3260.75</v>
      </c>
      <c r="U94" s="3"/>
      <c r="V94" s="8">
        <f t="shared" si="17"/>
        <v>1.2675095221130511E-3</v>
      </c>
      <c r="W94" s="3"/>
      <c r="X94" s="7">
        <f t="shared" si="18"/>
        <v>-1249.0899999999999</v>
      </c>
      <c r="Y94" s="3"/>
      <c r="Z94" s="8">
        <f t="shared" si="19"/>
        <v>-0.38306831250479184</v>
      </c>
    </row>
    <row r="95" spans="1:26" s="68" customFormat="1" ht="15" customHeight="1" outlineLevel="1" collapsed="1" x14ac:dyDescent="0.25">
      <c r="A95" s="26"/>
      <c r="B95" s="14" t="str">
        <f>CONCATENATE("     ","Training                                          ")</f>
        <v xml:space="preserve">     Training                                          </v>
      </c>
      <c r="C95" s="14"/>
      <c r="D95" s="2">
        <f>SUM(OSRRefD22_12x_0)</f>
        <v>0</v>
      </c>
      <c r="E95" s="2"/>
      <c r="F95" s="6">
        <f t="shared" si="12"/>
        <v>0</v>
      </c>
      <c r="G95" s="2"/>
      <c r="H95" s="2">
        <f>SUM(OSRRefH22_12x_0)</f>
        <v>0</v>
      </c>
      <c r="I95" s="2"/>
      <c r="J95" s="6">
        <f t="shared" si="13"/>
        <v>0</v>
      </c>
      <c r="K95" s="2"/>
      <c r="L95" s="2">
        <f t="shared" si="14"/>
        <v>0</v>
      </c>
      <c r="M95" s="2"/>
      <c r="N95" s="6">
        <f t="shared" si="15"/>
        <v>0</v>
      </c>
      <c r="O95" s="14"/>
      <c r="P95" s="2">
        <f>SUM(OSRRefP22_12x_0)</f>
        <v>0</v>
      </c>
      <c r="Q95" s="2"/>
      <c r="R95" s="6">
        <f t="shared" si="16"/>
        <v>0</v>
      </c>
      <c r="S95" s="2"/>
      <c r="T95" s="2">
        <f>SUM(OSRRefT22_12x_0)</f>
        <v>100</v>
      </c>
      <c r="U95" s="2"/>
      <c r="V95" s="6">
        <f t="shared" si="17"/>
        <v>3.8871717307768191E-5</v>
      </c>
      <c r="W95" s="2"/>
      <c r="X95" s="2">
        <f t="shared" si="18"/>
        <v>-100</v>
      </c>
      <c r="Y95" s="2"/>
      <c r="Z95" s="6">
        <f t="shared" si="19"/>
        <v>-1</v>
      </c>
    </row>
    <row r="96" spans="1:26" s="69" customFormat="1" ht="15" hidden="1" customHeight="1" outlineLevel="2" x14ac:dyDescent="0.25">
      <c r="A96" s="25"/>
      <c r="B96" s="12" t="str">
        <f>CONCATENATE("          ","6376"," - ","TRAINING")</f>
        <v xml:space="preserve">          6376 - TRAINING</v>
      </c>
      <c r="C96" s="12"/>
      <c r="D96" s="7"/>
      <c r="E96" s="3"/>
      <c r="F96" s="8">
        <f t="shared" si="12"/>
        <v>0</v>
      </c>
      <c r="G96" s="3"/>
      <c r="H96" s="7"/>
      <c r="I96" s="3"/>
      <c r="J96" s="8">
        <f t="shared" si="13"/>
        <v>0</v>
      </c>
      <c r="K96" s="3"/>
      <c r="L96" s="7">
        <f t="shared" si="14"/>
        <v>0</v>
      </c>
      <c r="M96" s="3"/>
      <c r="N96" s="8">
        <f t="shared" si="15"/>
        <v>0</v>
      </c>
      <c r="O96" s="12"/>
      <c r="P96" s="7"/>
      <c r="Q96" s="3"/>
      <c r="R96" s="8">
        <f t="shared" si="16"/>
        <v>0</v>
      </c>
      <c r="S96" s="3"/>
      <c r="T96" s="7">
        <v>100</v>
      </c>
      <c r="U96" s="3"/>
      <c r="V96" s="8">
        <f t="shared" si="17"/>
        <v>3.8871717307768191E-5</v>
      </c>
      <c r="W96" s="3"/>
      <c r="X96" s="7">
        <f t="shared" si="18"/>
        <v>-100</v>
      </c>
      <c r="Y96" s="3"/>
      <c r="Z96" s="8">
        <f t="shared" si="19"/>
        <v>-1</v>
      </c>
    </row>
    <row r="97" spans="1:26" s="64" customFormat="1" ht="15" customHeight="1" x14ac:dyDescent="0.25">
      <c r="A97" s="36"/>
      <c r="B97" s="36"/>
      <c r="C97" s="36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36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62" customFormat="1" ht="15" customHeight="1" collapsed="1" x14ac:dyDescent="0.25">
      <c r="A98" s="11"/>
      <c r="B98" s="28" t="s">
        <v>290</v>
      </c>
      <c r="C98" s="11"/>
      <c r="D98" s="5">
        <f>SUM(OSRRefD25x_0)</f>
        <v>-1073.31</v>
      </c>
      <c r="E98" s="5"/>
      <c r="F98" s="13">
        <f>IF(D$12=0,0,D98/D$12)</f>
        <v>-2.5932466185966548E-3</v>
      </c>
      <c r="G98" s="5"/>
      <c r="H98" s="5">
        <f>SUM(OSRRefH25x_0)</f>
        <v>296.52000000000004</v>
      </c>
      <c r="I98" s="5"/>
      <c r="J98" s="13">
        <f>IF(H$12=0,0,H98/H$12)</f>
        <v>1.9796956348151901E-3</v>
      </c>
      <c r="K98" s="5"/>
      <c r="L98" s="5">
        <f>+D98-H98</f>
        <v>-1369.83</v>
      </c>
      <c r="M98" s="5"/>
      <c r="N98" s="13">
        <f>IF(H98=0,0,L98/H98)</f>
        <v>-4.6196883852691206</v>
      </c>
      <c r="O98" s="11"/>
      <c r="P98" s="5">
        <f>SUM(OSRRefP25x_0)</f>
        <v>3764.77</v>
      </c>
      <c r="Q98" s="5"/>
      <c r="R98" s="13">
        <f>IF(P$12=0,0,P98/P$12)</f>
        <v>1.5153613880531116E-3</v>
      </c>
      <c r="S98" s="5"/>
      <c r="T98" s="5">
        <f>SUM(OSRRefT25x_0)</f>
        <v>4032.78</v>
      </c>
      <c r="U98" s="5"/>
      <c r="V98" s="13">
        <f>IF(T$12=0,0,T98/T$12)</f>
        <v>1.5676108412442141E-3</v>
      </c>
      <c r="W98" s="5"/>
      <c r="X98" s="5">
        <f>+P98-T98</f>
        <v>-268.01000000000022</v>
      </c>
      <c r="Y98" s="5"/>
      <c r="Z98" s="13">
        <f>IF(T98=0,0,X98/T98)</f>
        <v>-6.6457877692311554E-2</v>
      </c>
    </row>
    <row r="99" spans="1:26" s="69" customFormat="1" ht="15" hidden="1" customHeight="1" outlineLevel="1" x14ac:dyDescent="0.25">
      <c r="A99" s="42"/>
      <c r="B99" s="12" t="str">
        <f>CONCATENATE("          ","4187"," - ","NON-TAXABLE SALES-COMPUTER REP")</f>
        <v xml:space="preserve">          4187 - NON-TAXABLE SALES-COMPUTER REP</v>
      </c>
      <c r="C99" s="12"/>
      <c r="D99" s="3">
        <f>0</f>
        <v>0</v>
      </c>
      <c r="E99" s="3"/>
      <c r="F99" s="20">
        <f>IF(D$12=0,0,D99/D$12)</f>
        <v>0</v>
      </c>
      <c r="G99" s="3"/>
      <c r="H99" s="3">
        <f>--264.48</f>
        <v>264.48</v>
      </c>
      <c r="I99" s="3"/>
      <c r="J99" s="20">
        <f>IF(H$12=0,0,H99/H$12)</f>
        <v>1.7657827515712983E-3</v>
      </c>
      <c r="K99" s="3"/>
      <c r="L99" s="3">
        <f>+D99-H99</f>
        <v>-264.48</v>
      </c>
      <c r="M99" s="3"/>
      <c r="N99" s="20">
        <f>IF(H99=0,0,L99/H99)</f>
        <v>-1</v>
      </c>
      <c r="O99" s="12"/>
      <c r="P99" s="3">
        <f>0</f>
        <v>0</v>
      </c>
      <c r="Q99" s="3"/>
      <c r="R99" s="20">
        <f>IF(P$12=0,0,P99/P$12)</f>
        <v>0</v>
      </c>
      <c r="S99" s="3"/>
      <c r="T99" s="3">
        <f>--3580.44</f>
        <v>3580.44</v>
      </c>
      <c r="U99" s="3"/>
      <c r="V99" s="20">
        <f>IF(T$12=0,0,T99/T$12)</f>
        <v>1.3917785151742555E-3</v>
      </c>
      <c r="W99" s="3"/>
      <c r="X99" s="3">
        <f>+P99-T99</f>
        <v>-3580.44</v>
      </c>
      <c r="Y99" s="3"/>
      <c r="Z99" s="20">
        <f>IF(T99=0,0,X99/T99)</f>
        <v>-1</v>
      </c>
    </row>
    <row r="100" spans="1:26" s="69" customFormat="1" ht="15" hidden="1" customHeight="1" outlineLevel="1" x14ac:dyDescent="0.25">
      <c r="A100" s="42"/>
      <c r="B100" s="12" t="str">
        <f>CONCATENATE("          ","9087"," - ","")</f>
        <v xml:space="preserve">          9087 - </v>
      </c>
      <c r="C100" s="12"/>
      <c r="D100" s="3">
        <f>-1290.36</f>
        <v>-1290.3599999999999</v>
      </c>
      <c r="E100" s="3"/>
      <c r="F100" s="20">
        <f>IF(D$12=0,0,D100/D$12)</f>
        <v>-3.117665638792501E-3</v>
      </c>
      <c r="G100" s="3"/>
      <c r="H100" s="3">
        <f>0</f>
        <v>0</v>
      </c>
      <c r="I100" s="3"/>
      <c r="J100" s="20">
        <f>IF(H$12=0,0,H100/H$12)</f>
        <v>0</v>
      </c>
      <c r="K100" s="3"/>
      <c r="L100" s="3">
        <f>+D100-H100</f>
        <v>-1290.3599999999999</v>
      </c>
      <c r="M100" s="3"/>
      <c r="N100" s="20">
        <f>IF(H100=0,0,L100/H100)</f>
        <v>0</v>
      </c>
      <c r="O100" s="12"/>
      <c r="P100" s="3">
        <f>--705.64</f>
        <v>705.64</v>
      </c>
      <c r="Q100" s="3"/>
      <c r="R100" s="20">
        <f>IF(P$12=0,0,P100/P$12)</f>
        <v>2.8402787152091561E-4</v>
      </c>
      <c r="S100" s="3"/>
      <c r="T100" s="3">
        <f>0</f>
        <v>0</v>
      </c>
      <c r="U100" s="3"/>
      <c r="V100" s="20">
        <f>IF(T$12=0,0,T100/T$12)</f>
        <v>0</v>
      </c>
      <c r="W100" s="3"/>
      <c r="X100" s="3">
        <f>+P100-T100</f>
        <v>705.64</v>
      </c>
      <c r="Y100" s="3"/>
      <c r="Z100" s="20">
        <f>IF(T100=0,0,X100/T100)</f>
        <v>0</v>
      </c>
    </row>
    <row r="101" spans="1:26" s="69" customFormat="1" ht="15" hidden="1" customHeight="1" outlineLevel="1" x14ac:dyDescent="0.25">
      <c r="A101" s="42"/>
      <c r="B101" s="12" t="str">
        <f>CONCATENATE("          ","9150"," - ","MISC. INCOME")</f>
        <v xml:space="preserve">          9150 - MISC. INCOME</v>
      </c>
      <c r="C101" s="12"/>
      <c r="D101" s="3">
        <f>--217.05</f>
        <v>217.05</v>
      </c>
      <c r="E101" s="3"/>
      <c r="F101" s="20">
        <f>IF(D$12=0,0,D101/D$12)</f>
        <v>5.2441902019584644E-4</v>
      </c>
      <c r="G101" s="3"/>
      <c r="H101" s="3">
        <f>--32.04</f>
        <v>32.04</v>
      </c>
      <c r="I101" s="3"/>
      <c r="J101" s="20">
        <f>IF(H$12=0,0,H101/H$12)</f>
        <v>2.1391288324389138E-4</v>
      </c>
      <c r="K101" s="3"/>
      <c r="L101" s="3">
        <f>+D101-H101</f>
        <v>185.01000000000002</v>
      </c>
      <c r="M101" s="3"/>
      <c r="N101" s="20">
        <f>IF(H101=0,0,L101/H101)</f>
        <v>5.7743445692883899</v>
      </c>
      <c r="O101" s="12"/>
      <c r="P101" s="3">
        <f>--3059.13</f>
        <v>3059.13</v>
      </c>
      <c r="Q101" s="3"/>
      <c r="R101" s="20">
        <f>IF(P$12=0,0,P101/P$12)</f>
        <v>1.231333516532196E-3</v>
      </c>
      <c r="S101" s="3"/>
      <c r="T101" s="3">
        <f>--452.34</f>
        <v>452.34</v>
      </c>
      <c r="U101" s="3"/>
      <c r="V101" s="20">
        <f>IF(T$12=0,0,T101/T$12)</f>
        <v>1.7583232606995861E-4</v>
      </c>
      <c r="W101" s="3"/>
      <c r="X101" s="3">
        <f>+P101-T101</f>
        <v>2606.79</v>
      </c>
      <c r="Y101" s="3"/>
      <c r="Z101" s="20">
        <f>IF(T101=0,0,X101/T101)</f>
        <v>5.7628995888048813</v>
      </c>
    </row>
    <row r="102" spans="1:26" ht="15" customHeight="1" x14ac:dyDescent="0.25">
      <c r="A102" s="10"/>
      <c r="B102" s="11"/>
      <c r="C102" s="11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O102" s="11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25">
      <c r="A103" s="11"/>
      <c r="B103" s="27" t="s">
        <v>291</v>
      </c>
      <c r="C103" s="27"/>
      <c r="D103" s="22">
        <f>+D52-D54+D98</f>
        <v>54141.979999999996</v>
      </c>
      <c r="E103" s="15"/>
      <c r="F103" s="23">
        <f>IF(D$12=0,0,D103/D$12)</f>
        <v>0.13081356416983697</v>
      </c>
      <c r="G103" s="15"/>
      <c r="H103" s="22">
        <f>+H52-H54+H98</f>
        <v>79773.48000000001</v>
      </c>
      <c r="I103" s="15"/>
      <c r="J103" s="23">
        <f>IF(H$12=0,0,H103/H$12)</f>
        <v>0.53260221951307452</v>
      </c>
      <c r="K103" s="16"/>
      <c r="L103" s="22">
        <f>+D103-H103</f>
        <v>-25631.500000000015</v>
      </c>
      <c r="M103" s="16"/>
      <c r="N103" s="23">
        <f>IF(H103=0,0,L103/H103)</f>
        <v>-0.32130352091948366</v>
      </c>
      <c r="O103" s="28"/>
      <c r="P103" s="22">
        <f>+P52-P54+P98</f>
        <v>207475.48000000068</v>
      </c>
      <c r="Q103" s="15"/>
      <c r="R103" s="23">
        <f>IF(P$12=0,0,P103/P$12)</f>
        <v>8.351116571790218E-2</v>
      </c>
      <c r="S103" s="15"/>
      <c r="T103" s="22">
        <f>+T52-T54+T98</f>
        <v>134663.01999999923</v>
      </c>
      <c r="U103" s="15"/>
      <c r="V103" s="23">
        <f>IF(T$12=0,0,T103/T$12)</f>
        <v>5.2345828452503039E-2</v>
      </c>
      <c r="W103" s="16"/>
      <c r="X103" s="22">
        <f>+P103-T103</f>
        <v>72812.460000001447</v>
      </c>
      <c r="Y103" s="16"/>
      <c r="Z103" s="23">
        <f>IF(T103=0,0,X103/T103)</f>
        <v>0.54070122591934933</v>
      </c>
    </row>
    <row r="104" spans="1:26" ht="15" customHeight="1" x14ac:dyDescent="0.25">
      <c r="A104" s="10"/>
      <c r="B104" s="11"/>
      <c r="C104" s="10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2" customFormat="1" ht="15" customHeight="1" x14ac:dyDescent="0.25">
      <c r="A105" s="48"/>
      <c r="B105" s="11" t="s">
        <v>292</v>
      </c>
      <c r="C105" s="11"/>
      <c r="D105" s="5">
        <v>44753.760000000002</v>
      </c>
      <c r="E105" s="5"/>
      <c r="F105" s="13">
        <f>IF(D$12=0,0,D105/D$12)</f>
        <v>0.10813049052881855</v>
      </c>
      <c r="G105" s="5"/>
      <c r="H105" s="5">
        <v>42876.41</v>
      </c>
      <c r="I105" s="5"/>
      <c r="J105" s="13">
        <f>IF(H$12=0,0,H105/H$12)</f>
        <v>0.28626143839722901</v>
      </c>
      <c r="K105" s="5"/>
      <c r="L105" s="5">
        <f>+D105-H105</f>
        <v>1877.3499999999985</v>
      </c>
      <c r="M105" s="5"/>
      <c r="N105" s="13">
        <f>IF(H105=0,0,L105/H105)</f>
        <v>4.3785148989852425E-2</v>
      </c>
      <c r="O105" s="11"/>
      <c r="P105" s="5">
        <v>279310.01</v>
      </c>
      <c r="Q105" s="5"/>
      <c r="R105" s="13">
        <f>IF(P$12=0,0,P105/P$12)</f>
        <v>0.1124253551878942</v>
      </c>
      <c r="S105" s="5"/>
      <c r="T105" s="5">
        <v>549732.64</v>
      </c>
      <c r="U105" s="5"/>
      <c r="V105" s="13">
        <f>IF(T$12=0,0,T105/T$12)</f>
        <v>0.21369051776933098</v>
      </c>
      <c r="W105" s="5"/>
      <c r="X105" s="5">
        <f>+P105-T105</f>
        <v>-270422.63</v>
      </c>
      <c r="Y105" s="5"/>
      <c r="Z105" s="13">
        <f>IF(T105=0,0,X105/T105)</f>
        <v>-0.49191663423878196</v>
      </c>
    </row>
    <row r="106" spans="1:26" ht="15" customHeight="1" x14ac:dyDescent="0.25">
      <c r="A106" s="10"/>
      <c r="B106" s="11"/>
      <c r="C106" s="11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O106" s="11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x14ac:dyDescent="0.25">
      <c r="A107" s="11"/>
      <c r="B107" s="27" t="s">
        <v>293</v>
      </c>
      <c r="C107" s="27"/>
      <c r="D107" s="35">
        <f>+D103-D105</f>
        <v>9388.2199999999939</v>
      </c>
      <c r="E107" s="15"/>
      <c r="F107" s="30">
        <f>IF(D$12=0,0,D107/D$12)</f>
        <v>2.2683073641018413E-2</v>
      </c>
      <c r="G107" s="15"/>
      <c r="H107" s="35">
        <f>+H103-H105</f>
        <v>36897.070000000007</v>
      </c>
      <c r="I107" s="15"/>
      <c r="J107" s="30">
        <f>IF(H$12=0,0,H107/H$12)</f>
        <v>0.24634078111584548</v>
      </c>
      <c r="K107" s="16"/>
      <c r="L107" s="35">
        <f>D107-H107</f>
        <v>-27508.850000000013</v>
      </c>
      <c r="M107" s="16"/>
      <c r="N107" s="30">
        <f>IF(H107=0,0,L107/H107)</f>
        <v>-0.74555648998687452</v>
      </c>
      <c r="O107" s="28"/>
      <c r="P107" s="35">
        <f>+P103-P105</f>
        <v>-71834.529999999329</v>
      </c>
      <c r="Q107" s="15"/>
      <c r="R107" s="30">
        <f>IF(P$12=0,0,P107/P$12)</f>
        <v>-2.8914189469992021E-2</v>
      </c>
      <c r="S107" s="15"/>
      <c r="T107" s="35">
        <f>+T103-T105</f>
        <v>-415069.62000000081</v>
      </c>
      <c r="U107" s="15"/>
      <c r="V107" s="30">
        <f>IF(T$12=0,0,T107/T$12)</f>
        <v>-0.16134468931682797</v>
      </c>
      <c r="W107" s="16"/>
      <c r="X107" s="35">
        <f>P107-T107</f>
        <v>343235.09000000148</v>
      </c>
      <c r="Y107" s="16"/>
      <c r="Z107" s="30">
        <f>IF(T107=0,0,X107/T107)</f>
        <v>-0.82693378041014132</v>
      </c>
    </row>
    <row r="108" spans="1:26" ht="15" customHeight="1" x14ac:dyDescent="0.25">
      <c r="A108" s="10"/>
      <c r="B108" s="10"/>
      <c r="C108" s="10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ht="15" customHeight="1" x14ac:dyDescent="0.25">
      <c r="A109" s="10"/>
      <c r="B109" s="10"/>
      <c r="C109" s="10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25">
      <c r="A110" s="11"/>
      <c r="B110" s="27" t="s">
        <v>296</v>
      </c>
      <c r="C110" s="27"/>
      <c r="D110" s="32">
        <f>SUM(D107:D109)</f>
        <v>9388.2199999999939</v>
      </c>
      <c r="E110" s="15"/>
      <c r="F110" s="34">
        <f>IF(D$12=0,0,D110/D$12)</f>
        <v>2.2683073641018413E-2</v>
      </c>
      <c r="G110" s="15"/>
      <c r="H110" s="32">
        <f>SUM(H107:H109)</f>
        <v>36897.070000000007</v>
      </c>
      <c r="I110" s="15"/>
      <c r="J110" s="34">
        <f>IF(H$12=0,0,H110/H$12)</f>
        <v>0.24634078111584548</v>
      </c>
      <c r="K110" s="16"/>
      <c r="L110" s="32">
        <f>+D110-H110</f>
        <v>-27508.850000000013</v>
      </c>
      <c r="M110" s="16"/>
      <c r="N110" s="34">
        <f>IF(H110=0,0,L110/H110)</f>
        <v>-0.74555648998687452</v>
      </c>
      <c r="O110" s="28"/>
      <c r="P110" s="32">
        <f>SUM(P107:P109)</f>
        <v>-71834.529999999329</v>
      </c>
      <c r="Q110" s="15"/>
      <c r="R110" s="34">
        <f>IF(P$12=0,0,P110/P$12)</f>
        <v>-2.8914189469992021E-2</v>
      </c>
      <c r="S110" s="15"/>
      <c r="T110" s="32">
        <f>SUM(T107:T109)</f>
        <v>-415069.62000000081</v>
      </c>
      <c r="U110" s="15"/>
      <c r="V110" s="34">
        <f>IF(T$12=0,0,T110/T$12)</f>
        <v>-0.16134468931682797</v>
      </c>
      <c r="W110" s="16"/>
      <c r="X110" s="32">
        <f>+P110-T110</f>
        <v>343235.09000000148</v>
      </c>
      <c r="Y110" s="16"/>
      <c r="Z110" s="34">
        <f>IF(T110=0,0,X110/T110)</f>
        <v>-0.82693378041014132</v>
      </c>
    </row>
    <row r="111" spans="1:26" ht="15" customHeight="1" x14ac:dyDescent="0.25">
      <c r="A111" s="10"/>
      <c r="C111" s="10"/>
      <c r="D111" s="18"/>
      <c r="E111" s="18"/>
      <c r="G111" s="18"/>
      <c r="H111" s="18"/>
      <c r="I111" s="18"/>
      <c r="J111" s="41"/>
      <c r="K111" s="18"/>
      <c r="L111" s="18"/>
      <c r="M111" s="18"/>
      <c r="P111" s="18"/>
      <c r="Q111" s="18"/>
      <c r="R111" s="41"/>
      <c r="S111" s="18"/>
      <c r="T111" s="18"/>
      <c r="U111" s="18"/>
      <c r="V111" s="41"/>
      <c r="W111" s="18"/>
      <c r="X111" s="18"/>
    </row>
    <row r="112" spans="1:26" ht="15" customHeight="1" x14ac:dyDescent="0.25">
      <c r="A112" s="10"/>
      <c r="B112" s="50">
        <v>44727.879648761576</v>
      </c>
      <c r="D112" s="18"/>
      <c r="E112" s="18"/>
      <c r="G112" s="18"/>
      <c r="H112" s="18"/>
      <c r="I112" s="18"/>
      <c r="J112" s="41"/>
      <c r="K112" s="18"/>
      <c r="L112" s="18"/>
      <c r="M112" s="18"/>
      <c r="P112" s="18"/>
      <c r="Q112" s="18"/>
      <c r="R112" s="41"/>
      <c r="S112" s="18"/>
      <c r="T112" s="18"/>
      <c r="U112" s="18"/>
      <c r="V112" s="41"/>
      <c r="W112" s="18"/>
      <c r="X112" s="18"/>
    </row>
    <row r="113" spans="1:24" ht="15" customHeight="1" x14ac:dyDescent="0.25">
      <c r="A113" s="10"/>
      <c r="B113" s="53" t="s">
        <v>297</v>
      </c>
      <c r="D113" s="18"/>
      <c r="E113" s="18"/>
      <c r="G113" s="18"/>
      <c r="H113" s="18"/>
      <c r="I113" s="18"/>
      <c r="J113" s="41"/>
      <c r="K113" s="18"/>
      <c r="L113" s="18"/>
      <c r="M113" s="18"/>
      <c r="P113" s="18"/>
      <c r="Q113" s="18"/>
      <c r="R113" s="41"/>
      <c r="S113" s="18"/>
      <c r="T113" s="18"/>
      <c r="U113" s="18"/>
      <c r="V113" s="41"/>
      <c r="W113" s="18"/>
      <c r="X113" s="18"/>
    </row>
    <row r="114" spans="1:24" ht="15" customHeight="1" x14ac:dyDescent="0.25">
      <c r="A114" s="10"/>
      <c r="B114" s="55"/>
      <c r="D114" s="18"/>
      <c r="E114" s="18"/>
      <c r="G114" s="18"/>
      <c r="H114" s="18"/>
      <c r="I114" s="18"/>
      <c r="J114" s="41"/>
      <c r="K114" s="18"/>
      <c r="L114" s="18"/>
      <c r="M114" s="18"/>
      <c r="P114" s="18"/>
      <c r="Q114" s="18"/>
      <c r="R114" s="41"/>
      <c r="S114" s="18"/>
      <c r="T114" s="18"/>
      <c r="U114" s="18"/>
      <c r="V114" s="41"/>
      <c r="W114" s="18"/>
      <c r="X114" s="18"/>
    </row>
    <row r="115" spans="1:24" ht="15" customHeight="1" x14ac:dyDescent="0.25">
      <c r="D115" s="18"/>
      <c r="E115" s="18"/>
      <c r="G115" s="18"/>
      <c r="H115" s="18"/>
      <c r="I115" s="18"/>
      <c r="J115" s="41"/>
      <c r="K115" s="18"/>
      <c r="L115" s="18"/>
      <c r="M115" s="18"/>
      <c r="P115" s="18"/>
      <c r="Q115" s="18"/>
      <c r="R115" s="41"/>
      <c r="S115" s="18"/>
      <c r="T115" s="18"/>
      <c r="U115" s="18"/>
      <c r="V115" s="41"/>
      <c r="W115" s="18"/>
      <c r="X11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FF6A3-6866-48EE-51B3-C1FE4BD85CE3}">
  <sheetPr>
    <tabColor rgb="FF92D050"/>
    <outlinePr summaryBelow="0" summaryRight="0"/>
  </sheetPr>
  <dimension ref="A2:Z11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","317"," - ","Computer Store")</f>
        <v>Department 317 - Computer Store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413886.58999999997</v>
      </c>
      <c r="E12" s="5"/>
      <c r="F12" s="13"/>
      <c r="G12" s="5"/>
      <c r="H12" s="5">
        <f>SUM(OSRRefH13x_0)</f>
        <v>149780.6</v>
      </c>
      <c r="I12" s="5"/>
      <c r="J12" s="13"/>
      <c r="K12" s="5"/>
      <c r="L12" s="5">
        <f t="shared" ref="L12:L34" si="0">+D12-H12</f>
        <v>264105.99</v>
      </c>
      <c r="M12" s="5"/>
      <c r="N12" s="13">
        <f t="shared" ref="N12:N34" si="1">IF(H12=0,0,L12/H12)</f>
        <v>1.7632856992160533</v>
      </c>
      <c r="O12" s="11"/>
      <c r="P12" s="5">
        <f>SUM(OSRRefP13x_0)</f>
        <v>2484404.0700000003</v>
      </c>
      <c r="Q12" s="5"/>
      <c r="R12" s="13"/>
      <c r="S12" s="5"/>
      <c r="T12" s="5">
        <f>SUM(OSRRefT13x_0)</f>
        <v>2572564.4999999995</v>
      </c>
      <c r="U12" s="5"/>
      <c r="V12" s="13"/>
      <c r="W12" s="5"/>
      <c r="X12" s="5">
        <f t="shared" ref="X12:X34" si="2">+P12-T12</f>
        <v>-88160.429999999236</v>
      </c>
      <c r="Y12" s="5"/>
      <c r="Z12" s="13">
        <f t="shared" ref="Z12:Z34" si="3">IF(T12=0,0,X12/T12)</f>
        <v>-3.4269473126912565E-2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--401850.18</f>
        <v>401850.18</v>
      </c>
      <c r="E13" s="3"/>
      <c r="F13" s="20"/>
      <c r="G13" s="3"/>
      <c r="H13" s="3">
        <f>-55.8</f>
        <v>-55.8</v>
      </c>
      <c r="I13" s="3"/>
      <c r="J13" s="20"/>
      <c r="K13" s="3"/>
      <c r="L13" s="3">
        <f t="shared" si="0"/>
        <v>401905.98</v>
      </c>
      <c r="M13" s="3"/>
      <c r="N13" s="20">
        <f t="shared" si="1"/>
        <v>-7202.616129032258</v>
      </c>
      <c r="O13" s="12"/>
      <c r="P13" s="3">
        <f>--2350458.37</f>
        <v>2350458.37</v>
      </c>
      <c r="Q13" s="3"/>
      <c r="R13" s="20"/>
      <c r="S13" s="3"/>
      <c r="T13" s="3">
        <f>-2963.91</f>
        <v>-2963.91</v>
      </c>
      <c r="U13" s="3"/>
      <c r="V13" s="20"/>
      <c r="W13" s="3"/>
      <c r="X13" s="3">
        <f t="shared" si="2"/>
        <v>2353422.2800000003</v>
      </c>
      <c r="Y13" s="3"/>
      <c r="Z13" s="20">
        <f t="shared" si="3"/>
        <v>-794.02622886659867</v>
      </c>
    </row>
    <row r="14" spans="1:26" s="69" customFormat="1" ht="15" hidden="1" customHeight="1" outlineLevel="1" x14ac:dyDescent="0.25">
      <c r="A14" s="42"/>
      <c r="B14" s="12" t="str">
        <f>CONCATENATE("          ","4081"," - ","TAXABLE SALES-ELECTRONICS")</f>
        <v xml:space="preserve">          4081 - TAXABLE SALES-ELECTRONICS</v>
      </c>
      <c r="C14" s="12"/>
      <c r="D14" s="3">
        <f>0</f>
        <v>0</v>
      </c>
      <c r="E14" s="3"/>
      <c r="F14" s="20"/>
      <c r="G14" s="3"/>
      <c r="H14" s="3">
        <f>--1857.91</f>
        <v>1857.91</v>
      </c>
      <c r="I14" s="3"/>
      <c r="J14" s="20"/>
      <c r="K14" s="3"/>
      <c r="L14" s="3">
        <f t="shared" si="0"/>
        <v>-1857.91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--63953.98</f>
        <v>63953.98</v>
      </c>
      <c r="U14" s="3"/>
      <c r="V14" s="20"/>
      <c r="W14" s="3"/>
      <c r="X14" s="3">
        <f t="shared" si="2"/>
        <v>-63953.98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","4082"," - ","TAXABLE SALES-COMPUTER HARDWAR")</f>
        <v xml:space="preserve">          4082 - TAXABLE SALES-COMPUTER HARDWAR</v>
      </c>
      <c r="C15" s="12"/>
      <c r="D15" s="3">
        <f>0</f>
        <v>0</v>
      </c>
      <c r="E15" s="3"/>
      <c r="F15" s="20"/>
      <c r="G15" s="3"/>
      <c r="H15" s="3">
        <f>--117610.99</f>
        <v>117610.99</v>
      </c>
      <c r="I15" s="3"/>
      <c r="J15" s="20"/>
      <c r="K15" s="3"/>
      <c r="L15" s="3">
        <f t="shared" si="0"/>
        <v>-117610.99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--2129658.62</f>
        <v>2129658.62</v>
      </c>
      <c r="U15" s="3"/>
      <c r="V15" s="20"/>
      <c r="W15" s="3"/>
      <c r="X15" s="3">
        <f t="shared" si="2"/>
        <v>-2129658.62</v>
      </c>
      <c r="Y15" s="3"/>
      <c r="Z15" s="20">
        <f t="shared" si="3"/>
        <v>-1</v>
      </c>
    </row>
    <row r="16" spans="1:26" s="69" customFormat="1" ht="15" hidden="1" customHeight="1" outlineLevel="1" x14ac:dyDescent="0.25">
      <c r="A16" s="42"/>
      <c r="B16" s="12" t="str">
        <f>CONCATENATE("          ","4083"," - ","TAXABLE SALES-COMPUTER EQUIPME")</f>
        <v xml:space="preserve">          4083 - TAXABLE SALES-COMPUTER EQUIPME</v>
      </c>
      <c r="C16" s="12"/>
      <c r="D16" s="3">
        <f>0</f>
        <v>0</v>
      </c>
      <c r="E16" s="3"/>
      <c r="F16" s="20"/>
      <c r="G16" s="3"/>
      <c r="H16" s="3">
        <f>--10204.05</f>
        <v>10204.049999999999</v>
      </c>
      <c r="I16" s="3"/>
      <c r="J16" s="20"/>
      <c r="K16" s="3"/>
      <c r="L16" s="3">
        <f t="shared" si="0"/>
        <v>-10204.049999999999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--137136.99</f>
        <v>137136.99</v>
      </c>
      <c r="U16" s="3"/>
      <c r="V16" s="20"/>
      <c r="W16" s="3"/>
      <c r="X16" s="3">
        <f t="shared" si="2"/>
        <v>-137136.99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","4085"," - ","TAXABLE SALES-SOFTWARE")</f>
        <v xml:space="preserve">          4085 - TAXABLE SALES-SOFTWARE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--4870.79</f>
        <v>4870.79</v>
      </c>
      <c r="U17" s="3"/>
      <c r="V17" s="20"/>
      <c r="W17" s="3"/>
      <c r="X17" s="3">
        <f t="shared" si="2"/>
        <v>-4870.79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","4086"," - ","TAXABLE SALES-COMPUTER SUPPLIE")</f>
        <v xml:space="preserve">          4086 - TAXABLE SALES-COMPUTER SUPPLIE</v>
      </c>
      <c r="C18" s="12"/>
      <c r="D18" s="3">
        <f>0</f>
        <v>0</v>
      </c>
      <c r="E18" s="3"/>
      <c r="F18" s="20"/>
      <c r="G18" s="3"/>
      <c r="H18" s="3">
        <f>--1662.79</f>
        <v>1662.79</v>
      </c>
      <c r="I18" s="3"/>
      <c r="J18" s="20"/>
      <c r="K18" s="3"/>
      <c r="L18" s="3">
        <f t="shared" si="0"/>
        <v>-1662.79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--66932.42</f>
        <v>66932.42</v>
      </c>
      <c r="U18" s="3"/>
      <c r="V18" s="20"/>
      <c r="W18" s="3"/>
      <c r="X18" s="3">
        <f t="shared" si="2"/>
        <v>-66932.42</v>
      </c>
      <c r="Y18" s="3"/>
      <c r="Z18" s="20">
        <f t="shared" si="3"/>
        <v>-1</v>
      </c>
    </row>
    <row r="19" spans="1:26" s="69" customFormat="1" ht="15" hidden="1" customHeight="1" outlineLevel="1" x14ac:dyDescent="0.25">
      <c r="A19" s="42"/>
      <c r="B19" s="12" t="str">
        <f>CONCATENATE("          ","4100"," - ","NON-TAXABLE SALES")</f>
        <v xml:space="preserve">          4100 - NON-TAXABLE SALES</v>
      </c>
      <c r="C19" s="12"/>
      <c r="D19" s="3">
        <f>--42952.79</f>
        <v>42952.79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42952.79</v>
      </c>
      <c r="M19" s="3"/>
      <c r="N19" s="20">
        <f t="shared" si="1"/>
        <v>0</v>
      </c>
      <c r="O19" s="12"/>
      <c r="P19" s="3">
        <f>--668586.79</f>
        <v>668586.79</v>
      </c>
      <c r="Q19" s="3"/>
      <c r="R19" s="20"/>
      <c r="S19" s="3"/>
      <c r="T19" s="3">
        <f>0</f>
        <v>0</v>
      </c>
      <c r="U19" s="3"/>
      <c r="V19" s="20"/>
      <c r="W19" s="3"/>
      <c r="X19" s="3">
        <f t="shared" si="2"/>
        <v>668586.79</v>
      </c>
      <c r="Y19" s="3"/>
      <c r="Z19" s="20">
        <f t="shared" si="3"/>
        <v>0</v>
      </c>
    </row>
    <row r="20" spans="1:26" s="69" customFormat="1" ht="15" hidden="1" customHeight="1" outlineLevel="1" x14ac:dyDescent="0.25">
      <c r="A20" s="42"/>
      <c r="B20" s="12" t="str">
        <f>CONCATENATE("          ","4181"," - ","NON-TAXABLE SALES-ELECTRONICS")</f>
        <v xml:space="preserve">          4181 - NON-TAXABLE SALES-ELECTRONICS</v>
      </c>
      <c r="C20" s="12"/>
      <c r="D20" s="3">
        <f>0</f>
        <v>0</v>
      </c>
      <c r="E20" s="3"/>
      <c r="F20" s="20"/>
      <c r="G20" s="3"/>
      <c r="H20" s="3">
        <f>--1779.96</f>
        <v>1779.96</v>
      </c>
      <c r="I20" s="3"/>
      <c r="J20" s="20"/>
      <c r="K20" s="3"/>
      <c r="L20" s="3">
        <f t="shared" si="0"/>
        <v>-1779.96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--14288.58</f>
        <v>14288.58</v>
      </c>
      <c r="U20" s="3"/>
      <c r="V20" s="20"/>
      <c r="W20" s="3"/>
      <c r="X20" s="3">
        <f t="shared" si="2"/>
        <v>-14288.58</v>
      </c>
      <c r="Y20" s="3"/>
      <c r="Z20" s="20">
        <f t="shared" si="3"/>
        <v>-1</v>
      </c>
    </row>
    <row r="21" spans="1:26" s="69" customFormat="1" ht="15" hidden="1" customHeight="1" outlineLevel="1" x14ac:dyDescent="0.25">
      <c r="A21" s="42"/>
      <c r="B21" s="12" t="str">
        <f>CONCATENATE("          ","4182"," - ","NON-TAXABLE SALES-COMPUTER HAR")</f>
        <v xml:space="preserve">          4182 - NON-TAXABLE SALES-COMPUTER HAR</v>
      </c>
      <c r="C21" s="12"/>
      <c r="D21" s="3">
        <f>0</f>
        <v>0</v>
      </c>
      <c r="E21" s="3"/>
      <c r="F21" s="20"/>
      <c r="G21" s="3"/>
      <c r="H21" s="3">
        <f>--33038.75</f>
        <v>33038.75</v>
      </c>
      <c r="I21" s="3"/>
      <c r="J21" s="20"/>
      <c r="K21" s="3"/>
      <c r="L21" s="3">
        <f t="shared" si="0"/>
        <v>-33038.75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--347529.22</f>
        <v>347529.22</v>
      </c>
      <c r="U21" s="3"/>
      <c r="V21" s="20"/>
      <c r="W21" s="3"/>
      <c r="X21" s="3">
        <f t="shared" si="2"/>
        <v>-347529.22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","4183"," - ","NON-TAXABLE SALES-COMPUTER EQU")</f>
        <v xml:space="preserve">          4183 - NON-TAXABLE SALES-COMPUTER EQU</v>
      </c>
      <c r="C22" s="12"/>
      <c r="D22" s="3">
        <f>0</f>
        <v>0</v>
      </c>
      <c r="E22" s="3"/>
      <c r="F22" s="20"/>
      <c r="G22" s="3"/>
      <c r="H22" s="3">
        <f>--2959.73</f>
        <v>2959.73</v>
      </c>
      <c r="I22" s="3"/>
      <c r="J22" s="20"/>
      <c r="K22" s="3"/>
      <c r="L22" s="3">
        <f t="shared" si="0"/>
        <v>-2959.73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--22445.75</f>
        <v>22445.75</v>
      </c>
      <c r="U22" s="3"/>
      <c r="V22" s="20"/>
      <c r="W22" s="3"/>
      <c r="X22" s="3">
        <f t="shared" si="2"/>
        <v>-22445.75</v>
      </c>
      <c r="Y22" s="3"/>
      <c r="Z22" s="20">
        <f t="shared" si="3"/>
        <v>-1</v>
      </c>
    </row>
    <row r="23" spans="1:26" s="69" customFormat="1" ht="15" hidden="1" customHeight="1" outlineLevel="1" x14ac:dyDescent="0.25">
      <c r="A23" s="42"/>
      <c r="B23" s="12" t="str">
        <f>CONCATENATE("          ","4185"," - ","NON-TAXABLE SALES-SOFTWARE")</f>
        <v xml:space="preserve">          4185 - NON-TAXABLE SALES-SOFTWARE</v>
      </c>
      <c r="C23" s="12"/>
      <c r="D23" s="3">
        <f>0</f>
        <v>0</v>
      </c>
      <c r="E23" s="3"/>
      <c r="F23" s="20"/>
      <c r="G23" s="3"/>
      <c r="H23" s="3">
        <f>--5925.22</f>
        <v>5925.22</v>
      </c>
      <c r="I23" s="3"/>
      <c r="J23" s="20"/>
      <c r="K23" s="3"/>
      <c r="L23" s="3">
        <f t="shared" si="0"/>
        <v>-5925.22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--55957.61</f>
        <v>55957.61</v>
      </c>
      <c r="U23" s="3"/>
      <c r="V23" s="20"/>
      <c r="W23" s="3"/>
      <c r="X23" s="3">
        <f t="shared" si="2"/>
        <v>-55957.61</v>
      </c>
      <c r="Y23" s="3"/>
      <c r="Z23" s="20">
        <f t="shared" si="3"/>
        <v>-1</v>
      </c>
    </row>
    <row r="24" spans="1:26" s="69" customFormat="1" ht="15" hidden="1" customHeight="1" outlineLevel="1" x14ac:dyDescent="0.25">
      <c r="A24" s="42"/>
      <c r="B24" s="12" t="str">
        <f>CONCATENATE("          ","4186"," - ","NON-TAXABLE SALES-COMPUTER SUP")</f>
        <v xml:space="preserve">          4186 - NON-TAXABLE SALES-COMPUTER SUP</v>
      </c>
      <c r="C24" s="12"/>
      <c r="D24" s="3">
        <f>0</f>
        <v>0</v>
      </c>
      <c r="E24" s="3"/>
      <c r="F24" s="20"/>
      <c r="G24" s="3"/>
      <c r="H24" s="3">
        <f>--133.97</f>
        <v>133.97</v>
      </c>
      <c r="I24" s="3"/>
      <c r="J24" s="20"/>
      <c r="K24" s="3"/>
      <c r="L24" s="3">
        <f t="shared" si="0"/>
        <v>-133.97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--3479.14</f>
        <v>3479.14</v>
      </c>
      <c r="U24" s="3"/>
      <c r="V24" s="20"/>
      <c r="W24" s="3"/>
      <c r="X24" s="3">
        <f t="shared" si="2"/>
        <v>-3479.14</v>
      </c>
      <c r="Y24" s="3"/>
      <c r="Z24" s="20">
        <f t="shared" si="3"/>
        <v>-1</v>
      </c>
    </row>
    <row r="25" spans="1:26" s="69" customFormat="1" ht="15" hidden="1" customHeight="1" outlineLevel="1" x14ac:dyDescent="0.25">
      <c r="A25" s="42"/>
      <c r="B25" s="12" t="str">
        <f>CONCATENATE("          ","4200"," - ","TAXABLE RETURNS")</f>
        <v xml:space="preserve">          4200 - TAXABLE RETURNS</v>
      </c>
      <c r="C25" s="12"/>
      <c r="D25" s="3">
        <f>-30771.81</f>
        <v>-30771.81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-30771.81</v>
      </c>
      <c r="M25" s="3"/>
      <c r="N25" s="20">
        <f t="shared" si="1"/>
        <v>0</v>
      </c>
      <c r="O25" s="12"/>
      <c r="P25" s="3">
        <f>-532091.76</f>
        <v>-532091.76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-532091.76</v>
      </c>
      <c r="Y25" s="3"/>
      <c r="Z25" s="20">
        <f t="shared" si="3"/>
        <v>0</v>
      </c>
    </row>
    <row r="26" spans="1:26" s="69" customFormat="1" ht="15" hidden="1" customHeight="1" outlineLevel="1" x14ac:dyDescent="0.25">
      <c r="A26" s="42"/>
      <c r="B26" s="12" t="str">
        <f>CONCATENATE("          ","4281"," - ","SALES RETURN TAXABLE-ELECTRONI")</f>
        <v xml:space="preserve">          4281 - SALES RETURN TAXABLE-ELECTRONI</v>
      </c>
      <c r="C26" s="12"/>
      <c r="D26" s="3">
        <f>0</f>
        <v>0</v>
      </c>
      <c r="E26" s="3"/>
      <c r="F26" s="20"/>
      <c r="G26" s="3"/>
      <c r="H26" s="3">
        <f>-79.99</f>
        <v>-79.989999999999995</v>
      </c>
      <c r="I26" s="3"/>
      <c r="J26" s="20"/>
      <c r="K26" s="3"/>
      <c r="L26" s="3">
        <f t="shared" si="0"/>
        <v>79.989999999999995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-14842.13</f>
        <v>-14842.13</v>
      </c>
      <c r="U26" s="3"/>
      <c r="V26" s="20"/>
      <c r="W26" s="3"/>
      <c r="X26" s="3">
        <f t="shared" si="2"/>
        <v>14842.13</v>
      </c>
      <c r="Y26" s="3"/>
      <c r="Z26" s="20">
        <f t="shared" si="3"/>
        <v>-1</v>
      </c>
    </row>
    <row r="27" spans="1:26" s="69" customFormat="1" ht="15" hidden="1" customHeight="1" outlineLevel="1" x14ac:dyDescent="0.25">
      <c r="A27" s="42"/>
      <c r="B27" s="12" t="str">
        <f>CONCATENATE("          ","4282"," - ","SALES RETURN TAXABLE-COMPUTER")</f>
        <v xml:space="preserve">          4282 - SALES RETURN TAXABLE-COMPUTER</v>
      </c>
      <c r="C27" s="12"/>
      <c r="D27" s="3">
        <f>0</f>
        <v>0</v>
      </c>
      <c r="E27" s="3"/>
      <c r="F27" s="20"/>
      <c r="G27" s="3"/>
      <c r="H27" s="3">
        <f>-25075.01</f>
        <v>-25075.01</v>
      </c>
      <c r="I27" s="3"/>
      <c r="J27" s="20"/>
      <c r="K27" s="3"/>
      <c r="L27" s="3">
        <f t="shared" si="0"/>
        <v>25075.01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-240220.17</f>
        <v>-240220.17</v>
      </c>
      <c r="U27" s="3"/>
      <c r="V27" s="20"/>
      <c r="W27" s="3"/>
      <c r="X27" s="3">
        <f t="shared" si="2"/>
        <v>240220.17</v>
      </c>
      <c r="Y27" s="3"/>
      <c r="Z27" s="20">
        <f t="shared" si="3"/>
        <v>-1</v>
      </c>
    </row>
    <row r="28" spans="1:26" s="69" customFormat="1" ht="15" hidden="1" customHeight="1" outlineLevel="1" x14ac:dyDescent="0.25">
      <c r="A28" s="42"/>
      <c r="B28" s="12" t="str">
        <f>CONCATENATE("          ","4283"," - ","SALES RETURN TAXABLE-COMPUTER")</f>
        <v xml:space="preserve">          4283 - SALES RETURN TAXABLE-COMPUTER</v>
      </c>
      <c r="C28" s="12"/>
      <c r="D28" s="3">
        <f>0</f>
        <v>0</v>
      </c>
      <c r="E28" s="3"/>
      <c r="F28" s="20"/>
      <c r="G28" s="3"/>
      <c r="H28" s="3">
        <f>-181.97</f>
        <v>-181.97</v>
      </c>
      <c r="I28" s="3"/>
      <c r="J28" s="20"/>
      <c r="K28" s="3"/>
      <c r="L28" s="3">
        <f t="shared" si="0"/>
        <v>181.97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-4129.17</f>
        <v>-4129.17</v>
      </c>
      <c r="U28" s="3"/>
      <c r="V28" s="20"/>
      <c r="W28" s="3"/>
      <c r="X28" s="3">
        <f t="shared" si="2"/>
        <v>4129.17</v>
      </c>
      <c r="Y28" s="3"/>
      <c r="Z28" s="20">
        <f t="shared" si="3"/>
        <v>-1</v>
      </c>
    </row>
    <row r="29" spans="1:26" s="69" customFormat="1" ht="15" hidden="1" customHeight="1" outlineLevel="1" x14ac:dyDescent="0.25">
      <c r="A29" s="42"/>
      <c r="B29" s="12" t="str">
        <f>CONCATENATE("          ","4285"," - ","SALES RETURN TAXABLE-SOFTWARE")</f>
        <v xml:space="preserve">          4285 - SALES RETURN TAXABLE-SOFTWARE</v>
      </c>
      <c r="C29" s="12"/>
      <c r="D29" s="3">
        <f>0</f>
        <v>0</v>
      </c>
      <c r="E29" s="3"/>
      <c r="F29" s="20"/>
      <c r="G29" s="3"/>
      <c r="H29" s="3">
        <f>0</f>
        <v>0</v>
      </c>
      <c r="I29" s="3"/>
      <c r="J29" s="20"/>
      <c r="K29" s="3"/>
      <c r="L29" s="3">
        <f t="shared" si="0"/>
        <v>0</v>
      </c>
      <c r="M29" s="3"/>
      <c r="N29" s="20">
        <f t="shared" si="1"/>
        <v>0</v>
      </c>
      <c r="O29" s="12"/>
      <c r="P29" s="3">
        <f>0</f>
        <v>0</v>
      </c>
      <c r="Q29" s="3"/>
      <c r="R29" s="20"/>
      <c r="S29" s="3"/>
      <c r="T29" s="3">
        <f>-1091.79</f>
        <v>-1091.79</v>
      </c>
      <c r="U29" s="3"/>
      <c r="V29" s="20"/>
      <c r="W29" s="3"/>
      <c r="X29" s="3">
        <f t="shared" si="2"/>
        <v>1091.79</v>
      </c>
      <c r="Y29" s="3"/>
      <c r="Z29" s="20">
        <f t="shared" si="3"/>
        <v>-1</v>
      </c>
    </row>
    <row r="30" spans="1:26" s="69" customFormat="1" ht="15" hidden="1" customHeight="1" outlineLevel="1" x14ac:dyDescent="0.25">
      <c r="A30" s="42"/>
      <c r="B30" s="12" t="str">
        <f>CONCATENATE("          ","4286"," - ","SALES RETURN TAXABLE-COMPUTER")</f>
        <v xml:space="preserve">          4286 - SALES RETURN TAXABLE-COMPUTER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-4802.29</f>
        <v>-4802.29</v>
      </c>
      <c r="U30" s="3"/>
      <c r="V30" s="20"/>
      <c r="W30" s="3"/>
      <c r="X30" s="3">
        <f t="shared" si="2"/>
        <v>4802.29</v>
      </c>
      <c r="Y30" s="3"/>
      <c r="Z30" s="20">
        <f t="shared" si="3"/>
        <v>-1</v>
      </c>
    </row>
    <row r="31" spans="1:26" s="69" customFormat="1" ht="15" hidden="1" customHeight="1" outlineLevel="1" x14ac:dyDescent="0.25">
      <c r="A31" s="42"/>
      <c r="B31" s="12" t="str">
        <f>CONCATENATE("          ","4300"," - ","NON-TAX RETURNS")</f>
        <v xml:space="preserve">          4300 - NON-TAX RETURNS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-1114.52</f>
        <v>-1114.52</v>
      </c>
      <c r="Q31" s="3"/>
      <c r="R31" s="20"/>
      <c r="S31" s="3"/>
      <c r="T31" s="3">
        <f>0</f>
        <v>0</v>
      </c>
      <c r="U31" s="3"/>
      <c r="V31" s="20"/>
      <c r="W31" s="3"/>
      <c r="X31" s="3">
        <f t="shared" si="2"/>
        <v>-1114.52</v>
      </c>
      <c r="Y31" s="3"/>
      <c r="Z31" s="20">
        <f t="shared" si="3"/>
        <v>0</v>
      </c>
    </row>
    <row r="32" spans="1:26" s="69" customFormat="1" ht="15" hidden="1" customHeight="1" outlineLevel="1" x14ac:dyDescent="0.25">
      <c r="A32" s="42"/>
      <c r="B32" s="12" t="str">
        <f>CONCATENATE("          ","4381"," - ","SALES RETURN NON TAXABLE-ELECT")</f>
        <v xml:space="preserve">          4381 - SALES RETURN NON TAXABLE-ELECT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-5624.15</f>
        <v>-5624.15</v>
      </c>
      <c r="U32" s="3"/>
      <c r="V32" s="20"/>
      <c r="W32" s="3"/>
      <c r="X32" s="3">
        <f t="shared" si="2"/>
        <v>5624.15</v>
      </c>
      <c r="Y32" s="3"/>
      <c r="Z32" s="20">
        <f t="shared" si="3"/>
        <v>-1</v>
      </c>
    </row>
    <row r="33" spans="1:26" s="69" customFormat="1" ht="15" hidden="1" customHeight="1" outlineLevel="1" x14ac:dyDescent="0.25">
      <c r="A33" s="42"/>
      <c r="B33" s="12" t="str">
        <f>CONCATENATE("          ","4383"," - ","SALES RETURN NON TAXABLE-COMPU")</f>
        <v xml:space="preserve">          4383 - SALES RETURN NON TAXABLE-COMPU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-14.99</f>
        <v>-14.99</v>
      </c>
      <c r="U33" s="3"/>
      <c r="V33" s="20"/>
      <c r="W33" s="3"/>
      <c r="X33" s="3">
        <f t="shared" si="2"/>
        <v>14.99</v>
      </c>
      <c r="Y33" s="3"/>
      <c r="Z33" s="20">
        <f t="shared" si="3"/>
        <v>-1</v>
      </c>
    </row>
    <row r="34" spans="1:26" s="69" customFormat="1" ht="15" hidden="1" customHeight="1" outlineLevel="1" x14ac:dyDescent="0.25">
      <c r="A34" s="42"/>
      <c r="B34" s="12" t="str">
        <f>CONCATENATE("          ","4500"," - ","SALES DISCOUNT")</f>
        <v xml:space="preserve">          4500 - SALES DISCOUNT</v>
      </c>
      <c r="C34" s="12"/>
      <c r="D34" s="3">
        <f>-144.57</f>
        <v>-144.57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-144.57</v>
      </c>
      <c r="M34" s="3"/>
      <c r="N34" s="20">
        <f t="shared" si="1"/>
        <v>0</v>
      </c>
      <c r="O34" s="12"/>
      <c r="P34" s="3">
        <f>-1434.81</f>
        <v>-1434.81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-1434.81</v>
      </c>
      <c r="Y34" s="3"/>
      <c r="Z34" s="20">
        <f t="shared" si="3"/>
        <v>0</v>
      </c>
    </row>
    <row r="35" spans="1:26" ht="15" customHeight="1" x14ac:dyDescent="0.25">
      <c r="A35" s="10"/>
      <c r="B35" s="11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collapsed="1" x14ac:dyDescent="0.25">
      <c r="A36" s="11"/>
      <c r="B36" s="28" t="s">
        <v>287</v>
      </c>
      <c r="C36" s="11"/>
      <c r="D36" s="5">
        <f>SUM(OSRRefD16x_0)</f>
        <v>340796.54</v>
      </c>
      <c r="E36" s="5"/>
      <c r="F36" s="13">
        <f t="shared" ref="F36:F50" si="4">IF(D$12=0,0,D36/D$12)</f>
        <v>0.82340560973478272</v>
      </c>
      <c r="G36" s="5"/>
      <c r="H36" s="5">
        <f>SUM(OSRRefH16x_0)</f>
        <v>56555</v>
      </c>
      <c r="I36" s="5"/>
      <c r="J36" s="13">
        <f t="shared" ref="J36:J50" si="5">IF(H$12=0,0,H36/H$12)</f>
        <v>0.377585615226538</v>
      </c>
      <c r="K36" s="5"/>
      <c r="L36" s="5">
        <f t="shared" ref="L36:L50" si="6">+D36-H36</f>
        <v>284241.53999999998</v>
      </c>
      <c r="M36" s="5"/>
      <c r="N36" s="13">
        <f t="shared" ref="N36:N50" si="7">IF(H36=0,0,L36/H36)</f>
        <v>5.0259312173989921</v>
      </c>
      <c r="O36" s="11"/>
      <c r="P36" s="5">
        <f>SUM(OSRRefP16x_0)</f>
        <v>2109390.0799999996</v>
      </c>
      <c r="Q36" s="5"/>
      <c r="R36" s="13">
        <f t="shared" ref="R36:R50" si="8">IF(P$12=0,0,P36/P$12)</f>
        <v>0.84905273883245547</v>
      </c>
      <c r="S36" s="5"/>
      <c r="T36" s="5">
        <f>SUM(OSRRefT16x_0)</f>
        <v>2290489.8400000003</v>
      </c>
      <c r="U36" s="5"/>
      <c r="V36" s="13">
        <f t="shared" ref="V36:V50" si="9">IF(T$12=0,0,T36/T$12)</f>
        <v>0.89035273556795202</v>
      </c>
      <c r="W36" s="5"/>
      <c r="X36" s="5">
        <f t="shared" ref="X36:X50" si="10">+P36-T36</f>
        <v>-181099.76000000071</v>
      </c>
      <c r="Y36" s="5"/>
      <c r="Z36" s="13">
        <f t="shared" ref="Z36:Z50" si="11">IF(T36=0,0,X36/T36)</f>
        <v>-7.9065952110925181E-2</v>
      </c>
    </row>
    <row r="37" spans="1:26" s="69" customFormat="1" ht="15" hidden="1" customHeight="1" outlineLevel="1" x14ac:dyDescent="0.25">
      <c r="A37" s="42"/>
      <c r="B37" s="12" t="str">
        <f>CONCATENATE("          ","5000"," - ","PURCHASES @ COST")</f>
        <v xml:space="preserve">          5000 - PURCHASES @ COST</v>
      </c>
      <c r="C37" s="12"/>
      <c r="D37" s="3">
        <v>465659.54</v>
      </c>
      <c r="E37" s="3"/>
      <c r="F37" s="20">
        <f t="shared" si="4"/>
        <v>1.1250897015049461</v>
      </c>
      <c r="G37" s="3"/>
      <c r="H37" s="3"/>
      <c r="I37" s="3"/>
      <c r="J37" s="20">
        <f t="shared" si="5"/>
        <v>0</v>
      </c>
      <c r="K37" s="3"/>
      <c r="L37" s="3">
        <f t="shared" si="6"/>
        <v>465659.54</v>
      </c>
      <c r="M37" s="3"/>
      <c r="N37" s="20">
        <f t="shared" si="7"/>
        <v>0</v>
      </c>
      <c r="O37" s="12"/>
      <c r="P37" s="3">
        <v>2223758.7599999998</v>
      </c>
      <c r="Q37" s="3"/>
      <c r="R37" s="20">
        <f t="shared" si="8"/>
        <v>0.89508739212458277</v>
      </c>
      <c r="S37" s="3"/>
      <c r="T37" s="3">
        <v>0</v>
      </c>
      <c r="U37" s="3"/>
      <c r="V37" s="20">
        <f t="shared" si="9"/>
        <v>0</v>
      </c>
      <c r="W37" s="3"/>
      <c r="X37" s="3">
        <f t="shared" si="10"/>
        <v>2223758.7599999998</v>
      </c>
      <c r="Y37" s="3"/>
      <c r="Z37" s="20">
        <f t="shared" si="11"/>
        <v>0</v>
      </c>
    </row>
    <row r="38" spans="1:26" s="69" customFormat="1" ht="15" hidden="1" customHeight="1" outlineLevel="1" x14ac:dyDescent="0.25">
      <c r="A38" s="42"/>
      <c r="B38" s="12" t="str">
        <f>CONCATENATE("          ","5081"," - ","PURCHASES @ COST-ELECTRONICS")</f>
        <v xml:space="preserve">          5081 - PURCHASES @ COST-ELECTRONICS</v>
      </c>
      <c r="C38" s="12"/>
      <c r="D38" s="3"/>
      <c r="E38" s="3"/>
      <c r="F38" s="20">
        <f t="shared" si="4"/>
        <v>0</v>
      </c>
      <c r="G38" s="3"/>
      <c r="H38" s="3">
        <v>-28.91</v>
      </c>
      <c r="I38" s="3"/>
      <c r="J38" s="20">
        <f t="shared" si="5"/>
        <v>-1.9301565089203807E-4</v>
      </c>
      <c r="K38" s="3"/>
      <c r="L38" s="3">
        <f t="shared" si="6"/>
        <v>28.91</v>
      </c>
      <c r="M38" s="3"/>
      <c r="N38" s="20">
        <f t="shared" si="7"/>
        <v>-1</v>
      </c>
      <c r="O38" s="12"/>
      <c r="P38" s="3">
        <v>0</v>
      </c>
      <c r="Q38" s="3"/>
      <c r="R38" s="20">
        <f t="shared" si="8"/>
        <v>0</v>
      </c>
      <c r="S38" s="3"/>
      <c r="T38" s="3">
        <v>32419.46</v>
      </c>
      <c r="U38" s="3"/>
      <c r="V38" s="20">
        <f t="shared" si="9"/>
        <v>1.2602000843904984E-2</v>
      </c>
      <c r="W38" s="3"/>
      <c r="X38" s="3">
        <f t="shared" si="10"/>
        <v>-32419.46</v>
      </c>
      <c r="Y38" s="3"/>
      <c r="Z38" s="20">
        <f t="shared" si="11"/>
        <v>-1</v>
      </c>
    </row>
    <row r="39" spans="1:26" s="69" customFormat="1" ht="15" hidden="1" customHeight="1" outlineLevel="1" x14ac:dyDescent="0.25">
      <c r="A39" s="42"/>
      <c r="B39" s="12" t="str">
        <f>CONCATENATE("          ","5082"," - ","PURCHASES @ COST-COMPUTER HARD")</f>
        <v xml:space="preserve">          5082 - PURCHASES @ COST-COMPUTER HARD</v>
      </c>
      <c r="C39" s="12"/>
      <c r="D39" s="3">
        <v>-10189.709999999999</v>
      </c>
      <c r="E39" s="3"/>
      <c r="F39" s="20">
        <f t="shared" si="4"/>
        <v>-2.4619570303062971E-2</v>
      </c>
      <c r="G39" s="3"/>
      <c r="H39" s="3">
        <v>129194.07</v>
      </c>
      <c r="I39" s="3"/>
      <c r="J39" s="20">
        <f t="shared" si="5"/>
        <v>0.86255543107718891</v>
      </c>
      <c r="K39" s="3"/>
      <c r="L39" s="3">
        <f t="shared" si="6"/>
        <v>-139383.78</v>
      </c>
      <c r="M39" s="3"/>
      <c r="N39" s="20">
        <f t="shared" si="7"/>
        <v>-1.0788713444819873</v>
      </c>
      <c r="O39" s="12"/>
      <c r="P39" s="3">
        <v>-120382.97</v>
      </c>
      <c r="Q39" s="3"/>
      <c r="R39" s="20">
        <f t="shared" si="8"/>
        <v>-4.8455471255124768E-2</v>
      </c>
      <c r="S39" s="3"/>
      <c r="T39" s="3">
        <v>1802534.87</v>
      </c>
      <c r="U39" s="3"/>
      <c r="V39" s="20">
        <f t="shared" si="9"/>
        <v>0.70067625904034692</v>
      </c>
      <c r="W39" s="3"/>
      <c r="X39" s="3">
        <f t="shared" si="10"/>
        <v>-1922917.84</v>
      </c>
      <c r="Y39" s="3"/>
      <c r="Z39" s="20">
        <f t="shared" si="11"/>
        <v>-1.0667853765292208</v>
      </c>
    </row>
    <row r="40" spans="1:26" s="69" customFormat="1" ht="15" hidden="1" customHeight="1" outlineLevel="1" x14ac:dyDescent="0.25">
      <c r="A40" s="42"/>
      <c r="B40" s="12" t="str">
        <f>CONCATENATE("          ","5083"," - ","PURCHASES @ COST-COMPUTER EQUI")</f>
        <v xml:space="preserve">          5083 - PURCHASES @ COST-COMPUTER EQUI</v>
      </c>
      <c r="C40" s="12"/>
      <c r="D40" s="3"/>
      <c r="E40" s="3"/>
      <c r="F40" s="20">
        <f t="shared" si="4"/>
        <v>0</v>
      </c>
      <c r="G40" s="3"/>
      <c r="H40" s="3">
        <v>7514.45</v>
      </c>
      <c r="I40" s="3"/>
      <c r="J40" s="20">
        <f t="shared" si="5"/>
        <v>5.0169714902998118E-2</v>
      </c>
      <c r="K40" s="3"/>
      <c r="L40" s="3">
        <f t="shared" si="6"/>
        <v>-7514.45</v>
      </c>
      <c r="M40" s="3"/>
      <c r="N40" s="20">
        <f t="shared" si="7"/>
        <v>-1</v>
      </c>
      <c r="O40" s="12"/>
      <c r="P40" s="3">
        <v>0</v>
      </c>
      <c r="Q40" s="3"/>
      <c r="R40" s="20">
        <f t="shared" si="8"/>
        <v>0</v>
      </c>
      <c r="S40" s="3"/>
      <c r="T40" s="3">
        <v>127029.94</v>
      </c>
      <c r="U40" s="3"/>
      <c r="V40" s="20">
        <f t="shared" si="9"/>
        <v>4.9378719173027545E-2</v>
      </c>
      <c r="W40" s="3"/>
      <c r="X40" s="3">
        <f t="shared" si="10"/>
        <v>-127029.94</v>
      </c>
      <c r="Y40" s="3"/>
      <c r="Z40" s="20">
        <f t="shared" si="11"/>
        <v>-1</v>
      </c>
    </row>
    <row r="41" spans="1:26" s="69" customFormat="1" ht="15" hidden="1" customHeight="1" outlineLevel="1" x14ac:dyDescent="0.25">
      <c r="A41" s="42"/>
      <c r="B41" s="12" t="str">
        <f>CONCATENATE("          ","5085"," - ","PURCHASES @ COST-SOFTWARE")</f>
        <v xml:space="preserve">          5085 - PURCHASES @ COST-SOFTWARE</v>
      </c>
      <c r="C41" s="12"/>
      <c r="D41" s="3"/>
      <c r="E41" s="3"/>
      <c r="F41" s="20">
        <f t="shared" si="4"/>
        <v>0</v>
      </c>
      <c r="G41" s="3"/>
      <c r="H41" s="3">
        <v>8375.49</v>
      </c>
      <c r="I41" s="3"/>
      <c r="J41" s="20">
        <f t="shared" si="5"/>
        <v>5.5918389965055548E-2</v>
      </c>
      <c r="K41" s="3"/>
      <c r="L41" s="3">
        <f t="shared" si="6"/>
        <v>-8375.49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46286.37</v>
      </c>
      <c r="U41" s="3"/>
      <c r="V41" s="20">
        <f t="shared" si="9"/>
        <v>1.7992306898427624E-2</v>
      </c>
      <c r="W41" s="3"/>
      <c r="X41" s="3">
        <f t="shared" si="10"/>
        <v>-46286.37</v>
      </c>
      <c r="Y41" s="3"/>
      <c r="Z41" s="20">
        <f t="shared" si="11"/>
        <v>-1</v>
      </c>
    </row>
    <row r="42" spans="1:26" s="69" customFormat="1" ht="15" hidden="1" customHeight="1" outlineLevel="1" x14ac:dyDescent="0.25">
      <c r="A42" s="42"/>
      <c r="B42" s="12" t="str">
        <f>CONCATENATE("          ","5086"," - ","PURCHASES @ COST-COMPUTER SUPP")</f>
        <v xml:space="preserve">          5086 - PURCHASES @ COST-COMPUTER SUPP</v>
      </c>
      <c r="C42" s="12"/>
      <c r="D42" s="3"/>
      <c r="E42" s="3"/>
      <c r="F42" s="20">
        <f t="shared" si="4"/>
        <v>0</v>
      </c>
      <c r="G42" s="3"/>
      <c r="H42" s="3">
        <v>83.62</v>
      </c>
      <c r="I42" s="3"/>
      <c r="J42" s="20">
        <f t="shared" si="5"/>
        <v>5.5828324896548681E-4</v>
      </c>
      <c r="K42" s="3"/>
      <c r="L42" s="3">
        <f t="shared" si="6"/>
        <v>-83.62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23763.01</v>
      </c>
      <c r="U42" s="3"/>
      <c r="V42" s="20">
        <f t="shared" si="9"/>
        <v>9.2370900710166855E-3</v>
      </c>
      <c r="W42" s="3"/>
      <c r="X42" s="3">
        <f t="shared" si="10"/>
        <v>-23763.01</v>
      </c>
      <c r="Y42" s="3"/>
      <c r="Z42" s="20">
        <f t="shared" si="11"/>
        <v>-1</v>
      </c>
    </row>
    <row r="43" spans="1:26" s="69" customFormat="1" ht="15" hidden="1" customHeight="1" outlineLevel="1" x14ac:dyDescent="0.25">
      <c r="A43" s="42"/>
      <c r="B43" s="12" t="str">
        <f>CONCATENATE("          ","5200"," - ","PURCHASES OFFSET")</f>
        <v xml:space="preserve">          5200 - PURCHASES OFFSET</v>
      </c>
      <c r="C43" s="12"/>
      <c r="D43" s="3">
        <v>-465659.54</v>
      </c>
      <c r="E43" s="3"/>
      <c r="F43" s="20">
        <f t="shared" si="4"/>
        <v>-1.1250897015049461</v>
      </c>
      <c r="G43" s="3"/>
      <c r="H43" s="3">
        <v>-145158.72</v>
      </c>
      <c r="I43" s="3"/>
      <c r="J43" s="20">
        <f t="shared" si="5"/>
        <v>-0.96914233218454193</v>
      </c>
      <c r="K43" s="3"/>
      <c r="L43" s="3">
        <f t="shared" si="6"/>
        <v>-320500.81999999995</v>
      </c>
      <c r="M43" s="3"/>
      <c r="N43" s="20">
        <f t="shared" si="7"/>
        <v>2.2079336329226376</v>
      </c>
      <c r="O43" s="12"/>
      <c r="P43" s="3">
        <v>-2223961.88</v>
      </c>
      <c r="Q43" s="3"/>
      <c r="R43" s="20">
        <f t="shared" si="8"/>
        <v>-0.89516915016163201</v>
      </c>
      <c r="S43" s="3"/>
      <c r="T43" s="3">
        <v>-2028539.8</v>
      </c>
      <c r="U43" s="3"/>
      <c r="V43" s="20">
        <f t="shared" si="9"/>
        <v>-0.78852825653156622</v>
      </c>
      <c r="W43" s="3"/>
      <c r="X43" s="3">
        <f t="shared" si="10"/>
        <v>-195422.07999999984</v>
      </c>
      <c r="Y43" s="3"/>
      <c r="Z43" s="20">
        <f t="shared" si="11"/>
        <v>9.6336330201655315E-2</v>
      </c>
    </row>
    <row r="44" spans="1:26" s="69" customFormat="1" ht="15" hidden="1" customHeight="1" outlineLevel="1" x14ac:dyDescent="0.25">
      <c r="A44" s="42"/>
      <c r="B44" s="12" t="str">
        <f>CONCATENATE("          ","5300"," - ","COG$ OFFSET")</f>
        <v xml:space="preserve">          5300 - COG$ OFFSET</v>
      </c>
      <c r="C44" s="12"/>
      <c r="D44" s="3">
        <v>350986.25</v>
      </c>
      <c r="E44" s="3"/>
      <c r="F44" s="20">
        <f t="shared" si="4"/>
        <v>0.84802518003784566</v>
      </c>
      <c r="G44" s="3"/>
      <c r="H44" s="3">
        <v>56555</v>
      </c>
      <c r="I44" s="3"/>
      <c r="J44" s="20">
        <f t="shared" si="5"/>
        <v>0.377585615226538</v>
      </c>
      <c r="K44" s="3"/>
      <c r="L44" s="3">
        <f t="shared" si="6"/>
        <v>294431.25</v>
      </c>
      <c r="M44" s="3"/>
      <c r="N44" s="20">
        <f t="shared" si="7"/>
        <v>5.2061046768632302</v>
      </c>
      <c r="O44" s="12"/>
      <c r="P44" s="3">
        <v>2229773.0499999998</v>
      </c>
      <c r="Q44" s="3"/>
      <c r="R44" s="20">
        <f t="shared" si="8"/>
        <v>0.8975082100875803</v>
      </c>
      <c r="S44" s="3"/>
      <c r="T44" s="3">
        <v>2286544</v>
      </c>
      <c r="U44" s="3"/>
      <c r="V44" s="20">
        <f t="shared" si="9"/>
        <v>0.88881891979773509</v>
      </c>
      <c r="W44" s="3"/>
      <c r="X44" s="3">
        <f t="shared" si="10"/>
        <v>-56770.950000000186</v>
      </c>
      <c r="Y44" s="3"/>
      <c r="Z44" s="20">
        <f t="shared" si="11"/>
        <v>-2.4828277960100564E-2</v>
      </c>
    </row>
    <row r="45" spans="1:26" s="69" customFormat="1" ht="15" hidden="1" customHeight="1" outlineLevel="1" x14ac:dyDescent="0.25">
      <c r="A45" s="42"/>
      <c r="B45" s="12" t="str">
        <f>CONCATENATE("          ","5500"," - ","FREIGHT-IN")</f>
        <v xml:space="preserve">          5500 - FREIGHT-IN</v>
      </c>
      <c r="C45" s="12"/>
      <c r="D45" s="3"/>
      <c r="E45" s="3"/>
      <c r="F45" s="20">
        <f t="shared" si="4"/>
        <v>0</v>
      </c>
      <c r="G45" s="3"/>
      <c r="H45" s="3">
        <v>0</v>
      </c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203.12</v>
      </c>
      <c r="Q45" s="3"/>
      <c r="R45" s="20">
        <f t="shared" si="8"/>
        <v>8.1758037049102066E-5</v>
      </c>
      <c r="S45" s="3"/>
      <c r="T45" s="3">
        <v>0</v>
      </c>
      <c r="U45" s="3"/>
      <c r="V45" s="20">
        <f t="shared" si="9"/>
        <v>0</v>
      </c>
      <c r="W45" s="3"/>
      <c r="X45" s="3">
        <f t="shared" si="10"/>
        <v>203.12</v>
      </c>
      <c r="Y45" s="3"/>
      <c r="Z45" s="20">
        <f t="shared" si="11"/>
        <v>0</v>
      </c>
    </row>
    <row r="46" spans="1:26" s="69" customFormat="1" ht="15" hidden="1" customHeight="1" outlineLevel="1" x14ac:dyDescent="0.25">
      <c r="A46" s="42"/>
      <c r="B46" s="12" t="str">
        <f>CONCATENATE("          ","5581"," - ","FREIGHT-IN-ELECTRONICS")</f>
        <v xml:space="preserve">          5581 - FREIGHT-IN-ELECTRONICS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31</v>
      </c>
      <c r="U46" s="3"/>
      <c r="V46" s="20">
        <f t="shared" si="9"/>
        <v>1.2050232365408139E-5</v>
      </c>
      <c r="W46" s="3"/>
      <c r="X46" s="3">
        <f t="shared" si="10"/>
        <v>-31</v>
      </c>
      <c r="Y46" s="3"/>
      <c r="Z46" s="20">
        <f t="shared" si="11"/>
        <v>-1</v>
      </c>
    </row>
    <row r="47" spans="1:26" s="69" customFormat="1" ht="15" hidden="1" customHeight="1" outlineLevel="1" x14ac:dyDescent="0.25">
      <c r="A47" s="42"/>
      <c r="B47" s="12" t="str">
        <f>CONCATENATE("          ","5582"," - ","FREIGHT-IN-COMPUTER HARDWARE")</f>
        <v xml:space="preserve">          5582 - FREIGHT-IN-COMPUTER HARDWARE</v>
      </c>
      <c r="C47" s="12"/>
      <c r="D47" s="3"/>
      <c r="E47" s="3"/>
      <c r="F47" s="20">
        <f t="shared" si="4"/>
        <v>0</v>
      </c>
      <c r="G47" s="3"/>
      <c r="H47" s="3">
        <v>20</v>
      </c>
      <c r="I47" s="3"/>
      <c r="J47" s="20">
        <f t="shared" si="5"/>
        <v>1.3352864122589974E-4</v>
      </c>
      <c r="K47" s="3"/>
      <c r="L47" s="3">
        <f t="shared" si="6"/>
        <v>-20</v>
      </c>
      <c r="M47" s="3"/>
      <c r="N47" s="20">
        <f t="shared" si="7"/>
        <v>-1</v>
      </c>
      <c r="O47" s="12"/>
      <c r="P47" s="3"/>
      <c r="Q47" s="3"/>
      <c r="R47" s="20">
        <f t="shared" si="8"/>
        <v>0</v>
      </c>
      <c r="S47" s="3"/>
      <c r="T47" s="3">
        <v>145</v>
      </c>
      <c r="U47" s="3"/>
      <c r="V47" s="20">
        <f t="shared" si="9"/>
        <v>5.6363990096263875E-5</v>
      </c>
      <c r="W47" s="3"/>
      <c r="X47" s="3">
        <f t="shared" si="10"/>
        <v>-145</v>
      </c>
      <c r="Y47" s="3"/>
      <c r="Z47" s="20">
        <f t="shared" si="11"/>
        <v>-1</v>
      </c>
    </row>
    <row r="48" spans="1:26" s="69" customFormat="1" ht="15" hidden="1" customHeight="1" outlineLevel="1" x14ac:dyDescent="0.25">
      <c r="A48" s="42"/>
      <c r="B48" s="12" t="str">
        <f>CONCATENATE("          ","5583"," - ","FREIGHT-IN-COMPUTER EQUIPMENT")</f>
        <v xml:space="preserve">          5583 - FREIGHT-IN-COMPUTER EQUIPMENT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>
        <v>242.46</v>
      </c>
      <c r="U48" s="3"/>
      <c r="V48" s="20">
        <f t="shared" si="9"/>
        <v>9.4248365784414757E-5</v>
      </c>
      <c r="W48" s="3"/>
      <c r="X48" s="3">
        <f t="shared" si="10"/>
        <v>-242.46</v>
      </c>
      <c r="Y48" s="3"/>
      <c r="Z48" s="20">
        <f t="shared" si="11"/>
        <v>-1</v>
      </c>
    </row>
    <row r="49" spans="1:26" s="69" customFormat="1" ht="15" hidden="1" customHeight="1" outlineLevel="1" x14ac:dyDescent="0.25">
      <c r="A49" s="42"/>
      <c r="B49" s="12" t="str">
        <f>CONCATENATE("          ","5585"," - ","FREIGHT-IN-SOFTWARE")</f>
        <v xml:space="preserve">          5585 - FREIGHT-IN-SOFTWARE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9.41</v>
      </c>
      <c r="U49" s="3"/>
      <c r="V49" s="20">
        <f t="shared" si="9"/>
        <v>3.6578285986609865E-6</v>
      </c>
      <c r="W49" s="3"/>
      <c r="X49" s="3">
        <f t="shared" si="10"/>
        <v>-9.41</v>
      </c>
      <c r="Y49" s="3"/>
      <c r="Z49" s="20">
        <f t="shared" si="11"/>
        <v>-1</v>
      </c>
    </row>
    <row r="50" spans="1:26" s="69" customFormat="1" ht="15" hidden="1" customHeight="1" outlineLevel="1" x14ac:dyDescent="0.25">
      <c r="A50" s="42"/>
      <c r="B50" s="12" t="str">
        <f>CONCATENATE("          ","5586"," - ","FREIGHT-IN-COMPUTER SUPPLIES")</f>
        <v xml:space="preserve">          5586 - FREIGHT-IN-COMPUTER SUPPLIES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/>
      <c r="Q50" s="3"/>
      <c r="R50" s="20">
        <f t="shared" si="8"/>
        <v>0</v>
      </c>
      <c r="S50" s="3"/>
      <c r="T50" s="3">
        <v>24.12</v>
      </c>
      <c r="U50" s="3"/>
      <c r="V50" s="20">
        <f t="shared" si="9"/>
        <v>9.3758582146336879E-6</v>
      </c>
      <c r="W50" s="3"/>
      <c r="X50" s="3">
        <f t="shared" si="10"/>
        <v>-24.12</v>
      </c>
      <c r="Y50" s="3"/>
      <c r="Z50" s="20">
        <f t="shared" si="11"/>
        <v>-1</v>
      </c>
    </row>
    <row r="51" spans="1:26" ht="15" customHeight="1" x14ac:dyDescent="0.25">
      <c r="A51" s="10"/>
      <c r="B51" s="11"/>
      <c r="C51" s="11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O51" s="11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25">
      <c r="A52" s="11"/>
      <c r="B52" s="27" t="s">
        <v>288</v>
      </c>
      <c r="C52" s="27"/>
      <c r="D52" s="22">
        <f>D12-D36</f>
        <v>73090.049999999988</v>
      </c>
      <c r="E52" s="15"/>
      <c r="F52" s="23">
        <f>IF(D$12=0,0,D52/D$12)</f>
        <v>0.17659439026521734</v>
      </c>
      <c r="G52" s="15"/>
      <c r="H52" s="22">
        <f>H12-H36</f>
        <v>93225.600000000006</v>
      </c>
      <c r="I52" s="15"/>
      <c r="J52" s="23">
        <f>IF(H$12=0,0,H52/H$12)</f>
        <v>0.622414384773462</v>
      </c>
      <c r="K52" s="16"/>
      <c r="L52" s="22">
        <f>+D52-H52</f>
        <v>-20135.550000000017</v>
      </c>
      <c r="M52" s="16"/>
      <c r="N52" s="23">
        <f>IF(H52=0,0,L52/H52)</f>
        <v>-0.21598734682319037</v>
      </c>
      <c r="O52" s="28"/>
      <c r="P52" s="22">
        <f>P12-P36</f>
        <v>375013.99000000069</v>
      </c>
      <c r="Q52" s="15"/>
      <c r="R52" s="23">
        <f>IF(P$12=0,0,P52/P$12)</f>
        <v>0.15094726116754456</v>
      </c>
      <c r="S52" s="15"/>
      <c r="T52" s="22">
        <f>T12-T36</f>
        <v>282074.65999999922</v>
      </c>
      <c r="U52" s="15"/>
      <c r="V52" s="23">
        <f>IF(T$12=0,0,T52/T$12)</f>
        <v>0.10964726443204798</v>
      </c>
      <c r="W52" s="16"/>
      <c r="X52" s="22">
        <f>+P52-T52</f>
        <v>92939.330000001471</v>
      </c>
      <c r="Y52" s="16"/>
      <c r="Z52" s="23">
        <f>IF(T52=0,0,X52/T52)</f>
        <v>0.32948486049757797</v>
      </c>
    </row>
    <row r="53" spans="1:26" ht="15" customHeight="1" x14ac:dyDescent="0.25">
      <c r="A53" s="10"/>
      <c r="B53" s="11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3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62" customFormat="1" ht="15" customHeight="1" x14ac:dyDescent="0.25">
      <c r="A54" s="11"/>
      <c r="B54" s="28" t="s">
        <v>289</v>
      </c>
      <c r="C54" s="11"/>
      <c r="D54" s="21" cm="1">
        <f t="array" ref="D54">SUM(OSRRefD22x_0)</f>
        <v>17874.759999999998</v>
      </c>
      <c r="E54" s="21"/>
      <c r="F54" s="31">
        <f t="shared" ref="F54:F96" si="12">IF(D$12=0,0,D54/D$12)</f>
        <v>4.3187579476783727E-2</v>
      </c>
      <c r="G54" s="21"/>
      <c r="H54" s="21" cm="1">
        <f t="array" ref="H54">SUM(OSRRefH22x_0)</f>
        <v>13748.640000000001</v>
      </c>
      <c r="I54" s="21"/>
      <c r="J54" s="31">
        <f t="shared" ref="J54:J96" si="13">IF(H$12=0,0,H54/H$12)</f>
        <v>9.179186089520272E-2</v>
      </c>
      <c r="K54" s="5"/>
      <c r="L54" s="21">
        <f t="shared" ref="L54:L96" si="14">+D54-H54</f>
        <v>4126.1199999999972</v>
      </c>
      <c r="M54" s="5"/>
      <c r="N54" s="31">
        <f t="shared" ref="N54:N96" si="15">IF(H54=0,0,L54/H54)</f>
        <v>0.30011113826531183</v>
      </c>
      <c r="O54" s="11"/>
      <c r="P54" s="21" cm="1">
        <f t="array" ref="P54">SUM(OSRRefP22x_0)</f>
        <v>171303.28</v>
      </c>
      <c r="Q54" s="21"/>
      <c r="R54" s="31">
        <f t="shared" ref="R54:R96" si="16">IF(P$12=0,0,P54/P$12)</f>
        <v>6.8951456837695477E-2</v>
      </c>
      <c r="S54" s="21"/>
      <c r="T54" s="21" cm="1">
        <f t="array" ref="T54">SUM(OSRRefT22x_0)</f>
        <v>151444.41999999998</v>
      </c>
      <c r="U54" s="21"/>
      <c r="V54" s="31">
        <f t="shared" ref="V54:V96" si="17">IF(T$12=0,0,T54/T$12)</f>
        <v>5.8869046820789146E-2</v>
      </c>
      <c r="W54" s="5"/>
      <c r="X54" s="21">
        <f t="shared" ref="X54:X96" si="18">+P54-T54</f>
        <v>19858.860000000015</v>
      </c>
      <c r="Y54" s="5"/>
      <c r="Z54" s="31">
        <f t="shared" ref="Z54:Z96" si="19">IF(T54=0,0,X54/T54)</f>
        <v>0.13112969101139557</v>
      </c>
    </row>
    <row r="55" spans="1:26" s="68" customFormat="1" ht="15" customHeight="1" outlineLevel="1" collapsed="1" x14ac:dyDescent="0.25">
      <c r="A55" s="26"/>
      <c r="B55" s="14" t="str">
        <f>CONCATENATE("     ","*Benefits                                         ")</f>
        <v xml:space="preserve">     *Benefits                                         </v>
      </c>
      <c r="C55" s="14"/>
      <c r="D55" s="2">
        <f>SUM(OSRRefD22_0x_0)</f>
        <v>3621.6</v>
      </c>
      <c r="E55" s="2"/>
      <c r="F55" s="6">
        <f t="shared" si="12"/>
        <v>8.7502230985546069E-3</v>
      </c>
      <c r="G55" s="2"/>
      <c r="H55" s="2">
        <f>SUM(OSRRefH22_0x_0)</f>
        <v>2910.57</v>
      </c>
      <c r="I55" s="2"/>
      <c r="J55" s="6">
        <f t="shared" si="13"/>
        <v>1.9432222864643352E-2</v>
      </c>
      <c r="K55" s="2"/>
      <c r="L55" s="2">
        <f t="shared" si="14"/>
        <v>711.02999999999975</v>
      </c>
      <c r="M55" s="2"/>
      <c r="N55" s="6">
        <f t="shared" si="15"/>
        <v>0.24429235510570085</v>
      </c>
      <c r="O55" s="14"/>
      <c r="P55" s="2">
        <f>SUM(OSRRefP22_0x_0)</f>
        <v>30787.950000000004</v>
      </c>
      <c r="Q55" s="2"/>
      <c r="R55" s="6">
        <f t="shared" si="16"/>
        <v>1.2392488956114132E-2</v>
      </c>
      <c r="S55" s="2"/>
      <c r="T55" s="2">
        <f>SUM(OSRRefT22_0x_0)</f>
        <v>32489.070000000003</v>
      </c>
      <c r="U55" s="2"/>
      <c r="V55" s="6">
        <f t="shared" si="17"/>
        <v>1.2629059446322925E-2</v>
      </c>
      <c r="W55" s="2"/>
      <c r="X55" s="2">
        <f t="shared" si="18"/>
        <v>-1701.119999999999</v>
      </c>
      <c r="Y55" s="2"/>
      <c r="Z55" s="6">
        <f t="shared" si="19"/>
        <v>-5.2359762837163357E-2</v>
      </c>
    </row>
    <row r="56" spans="1:26" s="69" customFormat="1" ht="15" hidden="1" customHeight="1" outlineLevel="2" x14ac:dyDescent="0.25">
      <c r="A56" s="25"/>
      <c r="B56" s="12" t="str">
        <f>CONCATENATE("          ","6111"," - ","F.I.C.A.")</f>
        <v xml:space="preserve">          6111 - F.I.C.A.</v>
      </c>
      <c r="C56" s="12"/>
      <c r="D56" s="7">
        <v>740.15</v>
      </c>
      <c r="E56" s="3"/>
      <c r="F56" s="8">
        <f t="shared" si="12"/>
        <v>1.7882918120154607E-3</v>
      </c>
      <c r="G56" s="3"/>
      <c r="H56" s="7">
        <v>523.37</v>
      </c>
      <c r="I56" s="3"/>
      <c r="J56" s="8">
        <f t="shared" si="13"/>
        <v>3.4942442479199576E-3</v>
      </c>
      <c r="K56" s="3"/>
      <c r="L56" s="7">
        <f t="shared" si="14"/>
        <v>216.77999999999997</v>
      </c>
      <c r="M56" s="3"/>
      <c r="N56" s="8">
        <f t="shared" si="15"/>
        <v>0.41420027896134659</v>
      </c>
      <c r="O56" s="12"/>
      <c r="P56" s="7">
        <v>6494.3</v>
      </c>
      <c r="Q56" s="3"/>
      <c r="R56" s="8">
        <f t="shared" si="16"/>
        <v>2.6140272745568314E-3</v>
      </c>
      <c r="S56" s="3"/>
      <c r="T56" s="7">
        <v>5937.2</v>
      </c>
      <c r="U56" s="3"/>
      <c r="V56" s="8">
        <f t="shared" si="17"/>
        <v>2.3078915999968129E-3</v>
      </c>
      <c r="W56" s="3"/>
      <c r="X56" s="7">
        <f t="shared" si="18"/>
        <v>557.10000000000036</v>
      </c>
      <c r="Y56" s="3"/>
      <c r="Z56" s="8">
        <f t="shared" si="19"/>
        <v>9.3832109411844028E-2</v>
      </c>
    </row>
    <row r="57" spans="1:26" s="69" customFormat="1" ht="15" hidden="1" customHeight="1" outlineLevel="2" x14ac:dyDescent="0.25">
      <c r="A57" s="25"/>
      <c r="B57" s="12" t="str">
        <f>CONCATENATE("          ","6112"," - ","COMPENSATION INSURANCE")</f>
        <v xml:space="preserve">          6112 - COMPENSATION INSURANCE</v>
      </c>
      <c r="C57" s="12"/>
      <c r="D57" s="7">
        <v>265.42</v>
      </c>
      <c r="E57" s="3"/>
      <c r="F57" s="8">
        <f t="shared" si="12"/>
        <v>6.4128678341571796E-4</v>
      </c>
      <c r="G57" s="3"/>
      <c r="H57" s="7">
        <v>200.85</v>
      </c>
      <c r="I57" s="3"/>
      <c r="J57" s="8">
        <f t="shared" si="13"/>
        <v>1.3409613795110982E-3</v>
      </c>
      <c r="K57" s="3"/>
      <c r="L57" s="7">
        <f t="shared" si="14"/>
        <v>64.570000000000022</v>
      </c>
      <c r="M57" s="3"/>
      <c r="N57" s="8">
        <f t="shared" si="15"/>
        <v>0.32148369429922841</v>
      </c>
      <c r="O57" s="12"/>
      <c r="P57" s="7">
        <v>1712.32</v>
      </c>
      <c r="Q57" s="3"/>
      <c r="R57" s="8">
        <f t="shared" si="16"/>
        <v>6.8922765852657761E-4</v>
      </c>
      <c r="S57" s="3"/>
      <c r="T57" s="7">
        <v>1735.28</v>
      </c>
      <c r="U57" s="3"/>
      <c r="V57" s="8">
        <f t="shared" si="17"/>
        <v>6.7453313609823983E-4</v>
      </c>
      <c r="W57" s="3"/>
      <c r="X57" s="7">
        <f t="shared" si="18"/>
        <v>-22.960000000000036</v>
      </c>
      <c r="Y57" s="3"/>
      <c r="Z57" s="8">
        <f t="shared" si="19"/>
        <v>-1.3231294085104442E-2</v>
      </c>
    </row>
    <row r="58" spans="1:26" s="69" customFormat="1" ht="15" hidden="1" customHeight="1" outlineLevel="2" x14ac:dyDescent="0.25">
      <c r="A58" s="25"/>
      <c r="B58" s="12" t="str">
        <f>CONCATENATE("          ","6113"," - ","GROUP INSURANCE")</f>
        <v xml:space="preserve">          6113 - GROUP INSURANCE</v>
      </c>
      <c r="C58" s="12"/>
      <c r="D58" s="7">
        <v>1540.43</v>
      </c>
      <c r="E58" s="3"/>
      <c r="F58" s="8">
        <f t="shared" si="12"/>
        <v>3.7218649678889093E-3</v>
      </c>
      <c r="G58" s="3"/>
      <c r="H58" s="7">
        <v>1053.8499999999999</v>
      </c>
      <c r="I58" s="3"/>
      <c r="J58" s="8">
        <f t="shared" si="13"/>
        <v>7.035957927795722E-3</v>
      </c>
      <c r="K58" s="3"/>
      <c r="L58" s="7">
        <f t="shared" si="14"/>
        <v>486.58000000000015</v>
      </c>
      <c r="M58" s="3"/>
      <c r="N58" s="8">
        <f t="shared" si="15"/>
        <v>0.46171656307823711</v>
      </c>
      <c r="O58" s="12"/>
      <c r="P58" s="7">
        <v>11447.32</v>
      </c>
      <c r="Q58" s="3"/>
      <c r="R58" s="8">
        <f t="shared" si="16"/>
        <v>4.607672374325163E-3</v>
      </c>
      <c r="S58" s="3"/>
      <c r="T58" s="7">
        <v>11484.03</v>
      </c>
      <c r="U58" s="3"/>
      <c r="V58" s="8">
        <f t="shared" si="17"/>
        <v>4.4640396771392912E-3</v>
      </c>
      <c r="W58" s="3"/>
      <c r="X58" s="7">
        <f t="shared" si="18"/>
        <v>-36.710000000000946</v>
      </c>
      <c r="Y58" s="3"/>
      <c r="Z58" s="8">
        <f t="shared" si="19"/>
        <v>-3.196613035667875E-3</v>
      </c>
    </row>
    <row r="59" spans="1:26" s="69" customFormat="1" ht="15" hidden="1" customHeight="1" outlineLevel="2" x14ac:dyDescent="0.25">
      <c r="A59" s="25"/>
      <c r="B59" s="12" t="str">
        <f>CONCATENATE("          ","6114"," - ","STATE UNEMPLOYMENT INSURANCE")</f>
        <v xml:space="preserve">          6114 - STATE UNEMPLOYMENT INSURANCE</v>
      </c>
      <c r="C59" s="12"/>
      <c r="D59" s="7">
        <v>46.63</v>
      </c>
      <c r="E59" s="3"/>
      <c r="F59" s="8">
        <f t="shared" si="12"/>
        <v>1.1266371302341545E-4</v>
      </c>
      <c r="G59" s="3"/>
      <c r="H59" s="7">
        <v>28.23</v>
      </c>
      <c r="I59" s="3"/>
      <c r="J59" s="8">
        <f t="shared" si="13"/>
        <v>1.8847567709035748E-4</v>
      </c>
      <c r="K59" s="3"/>
      <c r="L59" s="7">
        <f t="shared" si="14"/>
        <v>18.400000000000002</v>
      </c>
      <c r="M59" s="3"/>
      <c r="N59" s="8">
        <f t="shared" si="15"/>
        <v>0.65178887708111943</v>
      </c>
      <c r="O59" s="12"/>
      <c r="P59" s="7">
        <v>301.5</v>
      </c>
      <c r="Q59" s="3"/>
      <c r="R59" s="8">
        <f t="shared" si="16"/>
        <v>1.2135707055092691E-4</v>
      </c>
      <c r="S59" s="3"/>
      <c r="T59" s="7">
        <v>258.58</v>
      </c>
      <c r="U59" s="3"/>
      <c r="V59" s="8">
        <f t="shared" si="17"/>
        <v>1.0051448661442698E-4</v>
      </c>
      <c r="W59" s="3"/>
      <c r="X59" s="7">
        <f t="shared" si="18"/>
        <v>42.920000000000016</v>
      </c>
      <c r="Y59" s="3"/>
      <c r="Z59" s="8">
        <f t="shared" si="19"/>
        <v>0.16598344806249524</v>
      </c>
    </row>
    <row r="60" spans="1:26" s="69" customFormat="1" ht="15" hidden="1" customHeight="1" outlineLevel="2" x14ac:dyDescent="0.25">
      <c r="A60" s="25"/>
      <c r="B60" s="12" t="str">
        <f>CONCATENATE("          ","6115"," - ","P.E.R.S.")</f>
        <v xml:space="preserve">          6115 - P.E.R.S.</v>
      </c>
      <c r="C60" s="12"/>
      <c r="D60" s="7">
        <v>123.87</v>
      </c>
      <c r="E60" s="3"/>
      <c r="F60" s="8">
        <f t="shared" si="12"/>
        <v>2.9928488381322045E-4</v>
      </c>
      <c r="G60" s="3"/>
      <c r="H60" s="7">
        <v>176.42</v>
      </c>
      <c r="I60" s="3"/>
      <c r="J60" s="8">
        <f t="shared" si="13"/>
        <v>1.1778561442536617E-3</v>
      </c>
      <c r="K60" s="3"/>
      <c r="L60" s="7">
        <f t="shared" si="14"/>
        <v>-52.549999999999983</v>
      </c>
      <c r="M60" s="3"/>
      <c r="N60" s="8">
        <f t="shared" si="15"/>
        <v>-0.29786872236707851</v>
      </c>
      <c r="O60" s="12"/>
      <c r="P60" s="7">
        <v>1342.16</v>
      </c>
      <c r="Q60" s="3"/>
      <c r="R60" s="8">
        <f t="shared" si="16"/>
        <v>5.402341817931412E-4</v>
      </c>
      <c r="S60" s="3"/>
      <c r="T60" s="7">
        <v>2117.04</v>
      </c>
      <c r="U60" s="3"/>
      <c r="V60" s="8">
        <f t="shared" si="17"/>
        <v>8.2292980409237571E-4</v>
      </c>
      <c r="W60" s="3"/>
      <c r="X60" s="7">
        <f t="shared" si="18"/>
        <v>-774.87999999999988</v>
      </c>
      <c r="Y60" s="3"/>
      <c r="Z60" s="8">
        <f t="shared" si="19"/>
        <v>-0.36602048142689786</v>
      </c>
    </row>
    <row r="61" spans="1:26" s="69" customFormat="1" ht="15" hidden="1" customHeight="1" outlineLevel="2" x14ac:dyDescent="0.25">
      <c r="A61" s="25"/>
      <c r="B61" s="12" t="str">
        <f>CONCATENATE("          ","6117"," - ","RETIREMENT STAFF HOURLY")</f>
        <v xml:space="preserve">          6117 - RETIREMENT STAFF HOURLY</v>
      </c>
      <c r="C61" s="12"/>
      <c r="D61" s="7">
        <v>206.33</v>
      </c>
      <c r="E61" s="3"/>
      <c r="F61" s="8">
        <f t="shared" si="12"/>
        <v>4.9851820519239344E-4</v>
      </c>
      <c r="G61" s="3"/>
      <c r="H61" s="7">
        <v>176.79</v>
      </c>
      <c r="I61" s="3"/>
      <c r="J61" s="8">
        <f t="shared" si="13"/>
        <v>1.1803264241163408E-3</v>
      </c>
      <c r="K61" s="3"/>
      <c r="L61" s="7">
        <f t="shared" si="14"/>
        <v>29.54000000000002</v>
      </c>
      <c r="M61" s="3"/>
      <c r="N61" s="8">
        <f t="shared" si="15"/>
        <v>0.16709089880649369</v>
      </c>
      <c r="O61" s="12"/>
      <c r="P61" s="7">
        <v>366.45</v>
      </c>
      <c r="Q61" s="3"/>
      <c r="R61" s="8">
        <f t="shared" si="16"/>
        <v>1.4750016087358928E-4</v>
      </c>
      <c r="S61" s="3"/>
      <c r="T61" s="7">
        <v>2072.73</v>
      </c>
      <c r="U61" s="3"/>
      <c r="V61" s="8">
        <f t="shared" si="17"/>
        <v>8.0570574615330362E-4</v>
      </c>
      <c r="W61" s="3"/>
      <c r="X61" s="7">
        <f t="shared" si="18"/>
        <v>-1706.28</v>
      </c>
      <c r="Y61" s="3"/>
      <c r="Z61" s="8">
        <f t="shared" si="19"/>
        <v>-0.82320417999450002</v>
      </c>
    </row>
    <row r="62" spans="1:26" s="69" customFormat="1" ht="15" hidden="1" customHeight="1" outlineLevel="2" x14ac:dyDescent="0.25">
      <c r="A62" s="25"/>
      <c r="B62" s="12" t="str">
        <f>CONCATENATE("          ","6118"," - ","VACATION")</f>
        <v xml:space="preserve">          6118 - VACATION</v>
      </c>
      <c r="C62" s="12"/>
      <c r="D62" s="7">
        <v>197.61</v>
      </c>
      <c r="E62" s="3"/>
      <c r="F62" s="8">
        <f t="shared" si="12"/>
        <v>4.7744963179406229E-4</v>
      </c>
      <c r="G62" s="3"/>
      <c r="H62" s="7">
        <v>267.04000000000002</v>
      </c>
      <c r="I62" s="3"/>
      <c r="J62" s="8">
        <f t="shared" si="13"/>
        <v>1.7828744176482136E-3</v>
      </c>
      <c r="K62" s="3"/>
      <c r="L62" s="7">
        <f t="shared" si="14"/>
        <v>-69.430000000000007</v>
      </c>
      <c r="M62" s="3"/>
      <c r="N62" s="8">
        <f t="shared" si="15"/>
        <v>-0.2599985020970641</v>
      </c>
      <c r="O62" s="12"/>
      <c r="P62" s="7">
        <v>3128.95</v>
      </c>
      <c r="Q62" s="3"/>
      <c r="R62" s="8">
        <f t="shared" si="16"/>
        <v>1.2594368354902909E-3</v>
      </c>
      <c r="S62" s="3"/>
      <c r="T62" s="7">
        <v>3158.26</v>
      </c>
      <c r="U62" s="3"/>
      <c r="V62" s="8">
        <f t="shared" si="17"/>
        <v>1.2276698990443197E-3</v>
      </c>
      <c r="W62" s="3"/>
      <c r="X62" s="7">
        <f t="shared" si="18"/>
        <v>-29.3100000000004</v>
      </c>
      <c r="Y62" s="3"/>
      <c r="Z62" s="8">
        <f t="shared" si="19"/>
        <v>-9.2804265639942242E-3</v>
      </c>
    </row>
    <row r="63" spans="1:26" s="69" customFormat="1" ht="15" hidden="1" customHeight="1" outlineLevel="2" x14ac:dyDescent="0.25">
      <c r="A63" s="25"/>
      <c r="B63" s="12" t="str">
        <f>CONCATENATE("          ","6119"," - ","SICK LEAVE")</f>
        <v xml:space="preserve">          6119 - SICK LEAVE</v>
      </c>
      <c r="C63" s="12"/>
      <c r="D63" s="7">
        <v>252.39</v>
      </c>
      <c r="E63" s="3"/>
      <c r="F63" s="8">
        <f t="shared" si="12"/>
        <v>6.0980472935834914E-4</v>
      </c>
      <c r="G63" s="3"/>
      <c r="H63" s="7">
        <v>267.63</v>
      </c>
      <c r="I63" s="3"/>
      <c r="J63" s="8">
        <f t="shared" si="13"/>
        <v>1.7868135125643774E-3</v>
      </c>
      <c r="K63" s="3"/>
      <c r="L63" s="7">
        <f t="shared" si="14"/>
        <v>-15.240000000000009</v>
      </c>
      <c r="M63" s="3"/>
      <c r="N63" s="8">
        <f t="shared" si="15"/>
        <v>-5.6944288756865857E-2</v>
      </c>
      <c r="O63" s="12"/>
      <c r="P63" s="7">
        <v>3922.38</v>
      </c>
      <c r="Q63" s="3"/>
      <c r="R63" s="8">
        <f t="shared" si="16"/>
        <v>1.5788011488807453E-3</v>
      </c>
      <c r="S63" s="3"/>
      <c r="T63" s="7">
        <v>3156.26</v>
      </c>
      <c r="U63" s="3"/>
      <c r="V63" s="8">
        <f t="shared" si="17"/>
        <v>1.2268924646981643E-3</v>
      </c>
      <c r="W63" s="3"/>
      <c r="X63" s="7">
        <f t="shared" si="18"/>
        <v>766.11999999999989</v>
      </c>
      <c r="Y63" s="3"/>
      <c r="Z63" s="8">
        <f t="shared" si="19"/>
        <v>0.24273032006235223</v>
      </c>
    </row>
    <row r="64" spans="1:26" s="69" customFormat="1" ht="15" hidden="1" customHeight="1" outlineLevel="2" x14ac:dyDescent="0.25">
      <c r="A64" s="25"/>
      <c r="B64" s="12" t="str">
        <f>CONCATENATE("          ","6156"," - ","EMPLOYEE MEALS")</f>
        <v xml:space="preserve">          6156 - EMPLOYEE MEALS</v>
      </c>
      <c r="C64" s="12"/>
      <c r="D64" s="7">
        <v>248.77</v>
      </c>
      <c r="E64" s="3"/>
      <c r="F64" s="8">
        <f t="shared" si="12"/>
        <v>6.0105837205307868E-4</v>
      </c>
      <c r="G64" s="3"/>
      <c r="H64" s="7">
        <v>216.39</v>
      </c>
      <c r="I64" s="3"/>
      <c r="J64" s="8">
        <f t="shared" si="13"/>
        <v>1.4447131337436221E-3</v>
      </c>
      <c r="K64" s="3"/>
      <c r="L64" s="7">
        <f t="shared" si="14"/>
        <v>32.380000000000024</v>
      </c>
      <c r="M64" s="3"/>
      <c r="N64" s="8">
        <f t="shared" si="15"/>
        <v>0.14963722907712937</v>
      </c>
      <c r="O64" s="12"/>
      <c r="P64" s="7">
        <v>2072.5700000000002</v>
      </c>
      <c r="Q64" s="3"/>
      <c r="R64" s="8">
        <f t="shared" si="16"/>
        <v>8.3423225111686435E-4</v>
      </c>
      <c r="S64" s="3"/>
      <c r="T64" s="7">
        <v>2569.69</v>
      </c>
      <c r="U64" s="3"/>
      <c r="V64" s="8">
        <f t="shared" si="17"/>
        <v>9.9888263248598848E-4</v>
      </c>
      <c r="W64" s="3"/>
      <c r="X64" s="7">
        <f t="shared" si="18"/>
        <v>-497.11999999999989</v>
      </c>
      <c r="Y64" s="3"/>
      <c r="Z64" s="8">
        <f t="shared" si="19"/>
        <v>-0.19345524168284886</v>
      </c>
    </row>
    <row r="65" spans="1:26" s="68" customFormat="1" ht="15" customHeight="1" outlineLevel="1" collapsed="1" x14ac:dyDescent="0.25">
      <c r="A65" s="26"/>
      <c r="B65" s="14" t="str">
        <f>CONCATENATE("     ","*Payroll                                          ")</f>
        <v xml:space="preserve">     *Payroll                                          </v>
      </c>
      <c r="C65" s="14"/>
      <c r="D65" s="2">
        <f>SUM(OSRRefD22_1x_0)</f>
        <v>11558.89</v>
      </c>
      <c r="E65" s="2"/>
      <c r="F65" s="6">
        <f t="shared" si="12"/>
        <v>2.7927674583513324E-2</v>
      </c>
      <c r="G65" s="2"/>
      <c r="H65" s="2">
        <f>SUM(OSRRefH22_1x_0)</f>
        <v>7314.24</v>
      </c>
      <c r="I65" s="2"/>
      <c r="J65" s="6">
        <f t="shared" si="13"/>
        <v>4.8833026440006248E-2</v>
      </c>
      <c r="K65" s="2"/>
      <c r="L65" s="2">
        <f t="shared" si="14"/>
        <v>4244.6499999999996</v>
      </c>
      <c r="M65" s="2"/>
      <c r="N65" s="6">
        <f t="shared" si="15"/>
        <v>0.58032686923043264</v>
      </c>
      <c r="O65" s="14"/>
      <c r="P65" s="2">
        <f>SUM(OSRRefP22_1x_0)</f>
        <v>117394.45</v>
      </c>
      <c r="Q65" s="2"/>
      <c r="R65" s="6">
        <f t="shared" si="16"/>
        <v>4.725255904125128E-2</v>
      </c>
      <c r="S65" s="2"/>
      <c r="T65" s="2">
        <f>SUM(OSRRefT22_1x_0)</f>
        <v>89389.18</v>
      </c>
      <c r="U65" s="2"/>
      <c r="V65" s="6">
        <f t="shared" si="17"/>
        <v>3.4747109353332056E-2</v>
      </c>
      <c r="W65" s="2"/>
      <c r="X65" s="2">
        <f t="shared" si="18"/>
        <v>28005.270000000004</v>
      </c>
      <c r="Y65" s="2"/>
      <c r="Z65" s="6">
        <f t="shared" si="19"/>
        <v>0.31329597161535666</v>
      </c>
    </row>
    <row r="66" spans="1:26" s="69" customFormat="1" ht="15" hidden="1" customHeight="1" outlineLevel="2" x14ac:dyDescent="0.25">
      <c r="A66" s="25"/>
      <c r="B66" s="12" t="str">
        <f>CONCATENATE("          ","6002"," - ","STAFF SALARIES")</f>
        <v xml:space="preserve">          6002 - STAFF SALARIES</v>
      </c>
      <c r="C66" s="12"/>
      <c r="D66" s="7">
        <v>1632</v>
      </c>
      <c r="E66" s="3"/>
      <c r="F66" s="8">
        <f t="shared" si="12"/>
        <v>3.9431091497794122E-3</v>
      </c>
      <c r="G66" s="3"/>
      <c r="H66" s="7">
        <v>2282.3000000000002</v>
      </c>
      <c r="I66" s="3"/>
      <c r="J66" s="8">
        <f t="shared" si="13"/>
        <v>1.523762089349355E-2</v>
      </c>
      <c r="K66" s="3"/>
      <c r="L66" s="7">
        <f t="shared" si="14"/>
        <v>-650.30000000000018</v>
      </c>
      <c r="M66" s="3"/>
      <c r="N66" s="8">
        <f t="shared" si="15"/>
        <v>-0.28493186697629591</v>
      </c>
      <c r="O66" s="12"/>
      <c r="P66" s="7">
        <v>20256.939999999999</v>
      </c>
      <c r="Q66" s="3"/>
      <c r="R66" s="8">
        <f t="shared" si="16"/>
        <v>8.1536414485104246E-3</v>
      </c>
      <c r="S66" s="3"/>
      <c r="T66" s="7">
        <v>25558.54</v>
      </c>
      <c r="U66" s="3"/>
      <c r="V66" s="8">
        <f t="shared" si="17"/>
        <v>9.9350434167928565E-3</v>
      </c>
      <c r="W66" s="3"/>
      <c r="X66" s="7">
        <f t="shared" si="18"/>
        <v>-5301.6000000000022</v>
      </c>
      <c r="Y66" s="3"/>
      <c r="Z66" s="8">
        <f t="shared" si="19"/>
        <v>-0.20742968886329197</v>
      </c>
    </row>
    <row r="67" spans="1:26" s="69" customFormat="1" ht="15" hidden="1" customHeight="1" outlineLevel="2" x14ac:dyDescent="0.25">
      <c r="A67" s="25"/>
      <c r="B67" s="12" t="str">
        <f>CONCATENATE("          ","6004"," - ","STAFF HOURLY")</f>
        <v xml:space="preserve">          6004 - STAFF HOURLY</v>
      </c>
      <c r="C67" s="12"/>
      <c r="D67" s="7">
        <v>3932.64</v>
      </c>
      <c r="E67" s="3"/>
      <c r="F67" s="8">
        <f t="shared" si="12"/>
        <v>9.5017333129831533E-3</v>
      </c>
      <c r="G67" s="3"/>
      <c r="H67" s="7">
        <v>3224.54</v>
      </c>
      <c r="I67" s="3"/>
      <c r="J67" s="8">
        <f t="shared" si="13"/>
        <v>2.1528422238928136E-2</v>
      </c>
      <c r="K67" s="3"/>
      <c r="L67" s="7">
        <f t="shared" si="14"/>
        <v>708.09999999999991</v>
      </c>
      <c r="M67" s="3"/>
      <c r="N67" s="8">
        <f t="shared" si="15"/>
        <v>0.21959721386616382</v>
      </c>
      <c r="O67" s="12"/>
      <c r="P67" s="7">
        <v>37828.730000000003</v>
      </c>
      <c r="Q67" s="3"/>
      <c r="R67" s="8">
        <f t="shared" si="16"/>
        <v>1.5226480449293419E-2</v>
      </c>
      <c r="S67" s="3"/>
      <c r="T67" s="7">
        <v>39735.199999999997</v>
      </c>
      <c r="U67" s="3"/>
      <c r="V67" s="8">
        <f t="shared" si="17"/>
        <v>1.5445754615676304E-2</v>
      </c>
      <c r="W67" s="3"/>
      <c r="X67" s="7">
        <f t="shared" si="18"/>
        <v>-1906.4699999999939</v>
      </c>
      <c r="Y67" s="3"/>
      <c r="Z67" s="8">
        <f t="shared" si="19"/>
        <v>-4.7979373452253768E-2</v>
      </c>
    </row>
    <row r="68" spans="1:26" s="69" customFormat="1" ht="15" hidden="1" customHeight="1" outlineLevel="2" x14ac:dyDescent="0.25">
      <c r="A68" s="25"/>
      <c r="B68" s="12" t="str">
        <f>CONCATENATE("          ","6005"," - ","TEMPORARY WAGES-HOURLY")</f>
        <v xml:space="preserve">          6005 - TEMPORARY WAGES-HOURLY</v>
      </c>
      <c r="C68" s="12"/>
      <c r="D68" s="7">
        <v>1883.48</v>
      </c>
      <c r="E68" s="3"/>
      <c r="F68" s="8">
        <f t="shared" si="12"/>
        <v>4.5507152092074312E-3</v>
      </c>
      <c r="G68" s="3"/>
      <c r="H68" s="7"/>
      <c r="I68" s="3"/>
      <c r="J68" s="8">
        <f t="shared" si="13"/>
        <v>0</v>
      </c>
      <c r="K68" s="3"/>
      <c r="L68" s="7">
        <f t="shared" si="14"/>
        <v>1883.48</v>
      </c>
      <c r="M68" s="3"/>
      <c r="N68" s="8">
        <f t="shared" si="15"/>
        <v>0</v>
      </c>
      <c r="O68" s="12"/>
      <c r="P68" s="7">
        <v>16596.509999999998</v>
      </c>
      <c r="Q68" s="3"/>
      <c r="R68" s="8">
        <f t="shared" si="16"/>
        <v>6.6802780595992166E-3</v>
      </c>
      <c r="S68" s="3"/>
      <c r="T68" s="7"/>
      <c r="U68" s="3"/>
      <c r="V68" s="8">
        <f t="shared" si="17"/>
        <v>0</v>
      </c>
      <c r="W68" s="3"/>
      <c r="X68" s="7">
        <f t="shared" si="18"/>
        <v>16596.509999999998</v>
      </c>
      <c r="Y68" s="3"/>
      <c r="Z68" s="8">
        <f t="shared" si="19"/>
        <v>0</v>
      </c>
    </row>
    <row r="69" spans="1:26" s="69" customFormat="1" ht="15" hidden="1" customHeight="1" outlineLevel="2" x14ac:dyDescent="0.25">
      <c r="A69" s="25"/>
      <c r="B69" s="12" t="str">
        <f>CONCATENATE("          ","6007"," - ","STUDENT HOURLY")</f>
        <v xml:space="preserve">          6007 - STUDENT HOURLY</v>
      </c>
      <c r="C69" s="12"/>
      <c r="D69" s="7">
        <v>4110.7700000000004</v>
      </c>
      <c r="E69" s="3"/>
      <c r="F69" s="8">
        <f t="shared" si="12"/>
        <v>9.9321169115433299E-3</v>
      </c>
      <c r="G69" s="3"/>
      <c r="H69" s="7">
        <v>1807.4</v>
      </c>
      <c r="I69" s="3"/>
      <c r="J69" s="8">
        <f t="shared" si="13"/>
        <v>1.206698330758456E-2</v>
      </c>
      <c r="K69" s="3"/>
      <c r="L69" s="7">
        <f t="shared" si="14"/>
        <v>2303.3700000000003</v>
      </c>
      <c r="M69" s="3"/>
      <c r="N69" s="8">
        <f t="shared" si="15"/>
        <v>1.2744107557817861</v>
      </c>
      <c r="O69" s="12"/>
      <c r="P69" s="7">
        <v>36566.639999999999</v>
      </c>
      <c r="Q69" s="3"/>
      <c r="R69" s="8">
        <f t="shared" si="16"/>
        <v>1.471847532434609E-2</v>
      </c>
      <c r="S69" s="3"/>
      <c r="T69" s="7">
        <v>24095.439999999999</v>
      </c>
      <c r="U69" s="3"/>
      <c r="V69" s="8">
        <f t="shared" si="17"/>
        <v>9.3663113208628992E-3</v>
      </c>
      <c r="W69" s="3"/>
      <c r="X69" s="7">
        <f t="shared" si="18"/>
        <v>12471.2</v>
      </c>
      <c r="Y69" s="3"/>
      <c r="Z69" s="8">
        <f t="shared" si="19"/>
        <v>0.51757510964730258</v>
      </c>
    </row>
    <row r="70" spans="1:26" s="69" customFormat="1" ht="15" hidden="1" customHeight="1" outlineLevel="2" x14ac:dyDescent="0.25">
      <c r="A70" s="25"/>
      <c r="B70" s="12" t="str">
        <f>CONCATENATE("          ","6008"," - ","STUDENT HOURLY-FICA EXEMPT")</f>
        <v xml:space="preserve">          6008 - STUDENT HOURLY-FICA EXEMPT</v>
      </c>
      <c r="C70" s="12"/>
      <c r="D70" s="7"/>
      <c r="E70" s="3"/>
      <c r="F70" s="8">
        <f t="shared" si="12"/>
        <v>0</v>
      </c>
      <c r="G70" s="3"/>
      <c r="H70" s="7"/>
      <c r="I70" s="3"/>
      <c r="J70" s="8">
        <f t="shared" si="13"/>
        <v>0</v>
      </c>
      <c r="K70" s="3"/>
      <c r="L70" s="7">
        <f t="shared" si="14"/>
        <v>0</v>
      </c>
      <c r="M70" s="3"/>
      <c r="N70" s="8">
        <f t="shared" si="15"/>
        <v>0</v>
      </c>
      <c r="O70" s="12"/>
      <c r="P70" s="7">
        <v>6145.63</v>
      </c>
      <c r="Q70" s="3"/>
      <c r="R70" s="8">
        <f t="shared" si="16"/>
        <v>2.4736837595021326E-3</v>
      </c>
      <c r="S70" s="3"/>
      <c r="T70" s="7"/>
      <c r="U70" s="3"/>
      <c r="V70" s="8">
        <f t="shared" si="17"/>
        <v>0</v>
      </c>
      <c r="W70" s="3"/>
      <c r="X70" s="7">
        <f t="shared" si="18"/>
        <v>6145.63</v>
      </c>
      <c r="Y70" s="3"/>
      <c r="Z70" s="8">
        <f t="shared" si="19"/>
        <v>0</v>
      </c>
    </row>
    <row r="71" spans="1:26" s="68" customFormat="1" ht="15" customHeight="1" outlineLevel="1" collapsed="1" x14ac:dyDescent="0.25">
      <c r="A71" s="26"/>
      <c r="B71" s="14" t="str">
        <f>CONCATENATE("     ","Advertising/Promo                                 ")</f>
        <v xml:space="preserve">     Advertising/Promo                                 </v>
      </c>
      <c r="C71" s="14"/>
      <c r="D71" s="2">
        <f>SUM(OSRRefD22_2x_0)</f>
        <v>36.81</v>
      </c>
      <c r="E71" s="2"/>
      <c r="F71" s="6">
        <f t="shared" si="12"/>
        <v>8.893740674226726E-5</v>
      </c>
      <c r="G71" s="2"/>
      <c r="H71" s="2">
        <f>SUM(OSRRefH22_2x_0)</f>
        <v>67.239999999999995</v>
      </c>
      <c r="I71" s="2"/>
      <c r="J71" s="6">
        <f t="shared" si="13"/>
        <v>4.4892329180147491E-4</v>
      </c>
      <c r="K71" s="2"/>
      <c r="L71" s="2">
        <f t="shared" si="14"/>
        <v>-30.429999999999993</v>
      </c>
      <c r="M71" s="2"/>
      <c r="N71" s="6">
        <f t="shared" si="15"/>
        <v>-0.45255800118976791</v>
      </c>
      <c r="O71" s="14"/>
      <c r="P71" s="2">
        <f>SUM(OSRRefP22_2x_0)</f>
        <v>215.78</v>
      </c>
      <c r="Q71" s="2"/>
      <c r="R71" s="6">
        <f t="shared" si="16"/>
        <v>8.68538264792007E-5</v>
      </c>
      <c r="S71" s="2"/>
      <c r="T71" s="2">
        <f>SUM(OSRRefT22_2x_0)</f>
        <v>692.63</v>
      </c>
      <c r="U71" s="2"/>
      <c r="V71" s="6">
        <f t="shared" si="17"/>
        <v>2.6923717558879483E-4</v>
      </c>
      <c r="W71" s="2"/>
      <c r="X71" s="2">
        <f t="shared" si="18"/>
        <v>-476.85</v>
      </c>
      <c r="Y71" s="2"/>
      <c r="Z71" s="6">
        <f t="shared" si="19"/>
        <v>-0.68846281564471656</v>
      </c>
    </row>
    <row r="72" spans="1:26" s="69" customFormat="1" ht="15" hidden="1" customHeight="1" outlineLevel="2" x14ac:dyDescent="0.25">
      <c r="A72" s="25"/>
      <c r="B72" s="12" t="str">
        <f>CONCATENATE("          ","6362"," - ","ADVERTISING EXPENSE")</f>
        <v xml:space="preserve">          6362 - ADVERTISING EXPENSE</v>
      </c>
      <c r="C72" s="12"/>
      <c r="D72" s="7">
        <v>36.81</v>
      </c>
      <c r="E72" s="3"/>
      <c r="F72" s="8">
        <f t="shared" si="12"/>
        <v>8.893740674226726E-5</v>
      </c>
      <c r="G72" s="3"/>
      <c r="H72" s="7">
        <v>67.239999999999995</v>
      </c>
      <c r="I72" s="3"/>
      <c r="J72" s="8">
        <f t="shared" si="13"/>
        <v>4.4892329180147491E-4</v>
      </c>
      <c r="K72" s="3"/>
      <c r="L72" s="7">
        <f t="shared" si="14"/>
        <v>-30.429999999999993</v>
      </c>
      <c r="M72" s="3"/>
      <c r="N72" s="8">
        <f t="shared" si="15"/>
        <v>-0.45255800118976791</v>
      </c>
      <c r="O72" s="12"/>
      <c r="P72" s="7">
        <v>215.78</v>
      </c>
      <c r="Q72" s="3"/>
      <c r="R72" s="8">
        <f t="shared" si="16"/>
        <v>8.68538264792007E-5</v>
      </c>
      <c r="S72" s="3"/>
      <c r="T72" s="7">
        <v>692.63</v>
      </c>
      <c r="U72" s="3"/>
      <c r="V72" s="8">
        <f t="shared" si="17"/>
        <v>2.6923717558879483E-4</v>
      </c>
      <c r="W72" s="3"/>
      <c r="X72" s="7">
        <f t="shared" si="18"/>
        <v>-476.85</v>
      </c>
      <c r="Y72" s="3"/>
      <c r="Z72" s="8">
        <f t="shared" si="19"/>
        <v>-0.68846281564471656</v>
      </c>
    </row>
    <row r="73" spans="1:26" s="68" customFormat="1" ht="15" customHeight="1" outlineLevel="1" collapsed="1" x14ac:dyDescent="0.25">
      <c r="A73" s="26"/>
      <c r="B73" s="14" t="str">
        <f>CONCATENATE("     ","Depreciation                                      ")</f>
        <v xml:space="preserve">     Depreciation                                      </v>
      </c>
      <c r="C73" s="14"/>
      <c r="D73" s="2">
        <f>SUM(OSRRefD22_3x_0)</f>
        <v>280.44</v>
      </c>
      <c r="E73" s="2"/>
      <c r="F73" s="6">
        <f t="shared" si="12"/>
        <v>6.7757691787018279E-4</v>
      </c>
      <c r="G73" s="2"/>
      <c r="H73" s="2">
        <f>SUM(OSRRefH22_3x_0)</f>
        <v>280.44</v>
      </c>
      <c r="I73" s="2"/>
      <c r="J73" s="6">
        <f t="shared" si="13"/>
        <v>1.8723386072695661E-3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SUM(OSRRefP22_3x_0)</f>
        <v>3084.84</v>
      </c>
      <c r="Q73" s="2"/>
      <c r="R73" s="6">
        <f t="shared" si="16"/>
        <v>1.2416820746876331E-3</v>
      </c>
      <c r="S73" s="2"/>
      <c r="T73" s="2">
        <f>SUM(OSRRefT22_3x_0)</f>
        <v>3084.84</v>
      </c>
      <c r="U73" s="2"/>
      <c r="V73" s="6">
        <f t="shared" si="17"/>
        <v>1.1991302841969562E-3</v>
      </c>
      <c r="W73" s="2"/>
      <c r="X73" s="2">
        <f t="shared" si="18"/>
        <v>0</v>
      </c>
      <c r="Y73" s="2"/>
      <c r="Z73" s="6">
        <f t="shared" si="19"/>
        <v>0</v>
      </c>
    </row>
    <row r="74" spans="1:26" s="69" customFormat="1" ht="15" hidden="1" customHeight="1" outlineLevel="2" x14ac:dyDescent="0.25">
      <c r="A74" s="25"/>
      <c r="B74" s="12" t="str">
        <f>CONCATENATE("          ","6322"," - ","EQUIPMENT DEPRECIATION EXPENSE")</f>
        <v xml:space="preserve">          6322 - EQUIPMENT DEPRECIATION EXPENSE</v>
      </c>
      <c r="C74" s="12"/>
      <c r="D74" s="7">
        <v>280.44</v>
      </c>
      <c r="E74" s="3"/>
      <c r="F74" s="8">
        <f t="shared" si="12"/>
        <v>6.7757691787018279E-4</v>
      </c>
      <c r="G74" s="3"/>
      <c r="H74" s="7">
        <v>280.44</v>
      </c>
      <c r="I74" s="3"/>
      <c r="J74" s="8">
        <f t="shared" si="13"/>
        <v>1.8723386072695661E-3</v>
      </c>
      <c r="K74" s="3"/>
      <c r="L74" s="7">
        <f t="shared" si="14"/>
        <v>0</v>
      </c>
      <c r="M74" s="3"/>
      <c r="N74" s="8">
        <f t="shared" si="15"/>
        <v>0</v>
      </c>
      <c r="O74" s="12"/>
      <c r="P74" s="7">
        <v>3084.84</v>
      </c>
      <c r="Q74" s="3"/>
      <c r="R74" s="8">
        <f t="shared" si="16"/>
        <v>1.2416820746876331E-3</v>
      </c>
      <c r="S74" s="3"/>
      <c r="T74" s="7">
        <v>3084.84</v>
      </c>
      <c r="U74" s="3"/>
      <c r="V74" s="8">
        <f t="shared" si="17"/>
        <v>1.1991302841969562E-3</v>
      </c>
      <c r="W74" s="3"/>
      <c r="X74" s="7">
        <f t="shared" si="18"/>
        <v>0</v>
      </c>
      <c r="Y74" s="3"/>
      <c r="Z74" s="8">
        <f t="shared" si="19"/>
        <v>0</v>
      </c>
    </row>
    <row r="75" spans="1:26" s="68" customFormat="1" ht="15" customHeight="1" outlineLevel="1" collapsed="1" x14ac:dyDescent="0.25">
      <c r="A75" s="26"/>
      <c r="B75" s="14" t="str">
        <f>CONCATENATE("     ","Discounts and Markdowns                           ")</f>
        <v xml:space="preserve">     Discounts and Markdowns                           </v>
      </c>
      <c r="C75" s="14"/>
      <c r="D75" s="2">
        <f>SUM(OSRRefD22_4x_0)</f>
        <v>0</v>
      </c>
      <c r="E75" s="2"/>
      <c r="F75" s="6">
        <f t="shared" si="12"/>
        <v>0</v>
      </c>
      <c r="G75" s="2"/>
      <c r="H75" s="2">
        <f>SUM(OSRRefH22_4x_0)</f>
        <v>0</v>
      </c>
      <c r="I75" s="2"/>
      <c r="J75" s="6">
        <f t="shared" si="13"/>
        <v>0</v>
      </c>
      <c r="K75" s="2"/>
      <c r="L75" s="2">
        <f t="shared" si="14"/>
        <v>0</v>
      </c>
      <c r="M75" s="2"/>
      <c r="N75" s="6">
        <f t="shared" si="15"/>
        <v>0</v>
      </c>
      <c r="O75" s="14"/>
      <c r="P75" s="2">
        <f>SUM(OSRRefP22_4x_0)</f>
        <v>0</v>
      </c>
      <c r="Q75" s="2"/>
      <c r="R75" s="6">
        <f t="shared" si="16"/>
        <v>0</v>
      </c>
      <c r="S75" s="2"/>
      <c r="T75" s="2">
        <f>SUM(OSRRefT22_4x_0)</f>
        <v>0</v>
      </c>
      <c r="U75" s="2"/>
      <c r="V75" s="6">
        <f t="shared" si="17"/>
        <v>0</v>
      </c>
      <c r="W75" s="2"/>
      <c r="X75" s="2">
        <f t="shared" si="18"/>
        <v>0</v>
      </c>
      <c r="Y75" s="2"/>
      <c r="Z75" s="6">
        <f t="shared" si="19"/>
        <v>0</v>
      </c>
    </row>
    <row r="76" spans="1:26" s="69" customFormat="1" ht="15" hidden="1" customHeight="1" outlineLevel="2" x14ac:dyDescent="0.25">
      <c r="A76" s="25"/>
      <c r="B76" s="12" t="str">
        <f>CONCATENATE("          ","6382"," - ","DISCOUNTS/MARK DOWNS")</f>
        <v xml:space="preserve">          6382 - DISCOUNTS/MARK DOWNS</v>
      </c>
      <c r="C76" s="12"/>
      <c r="D76" s="7"/>
      <c r="E76" s="3"/>
      <c r="F76" s="8">
        <f t="shared" si="12"/>
        <v>0</v>
      </c>
      <c r="G76" s="3"/>
      <c r="H76" s="7">
        <v>0</v>
      </c>
      <c r="I76" s="3"/>
      <c r="J76" s="8">
        <f t="shared" si="13"/>
        <v>0</v>
      </c>
      <c r="K76" s="3"/>
      <c r="L76" s="7">
        <f t="shared" si="14"/>
        <v>0</v>
      </c>
      <c r="M76" s="3"/>
      <c r="N76" s="8">
        <f t="shared" si="15"/>
        <v>0</v>
      </c>
      <c r="O76" s="12"/>
      <c r="P76" s="7"/>
      <c r="Q76" s="3"/>
      <c r="R76" s="8">
        <f t="shared" si="16"/>
        <v>0</v>
      </c>
      <c r="S76" s="3"/>
      <c r="T76" s="7">
        <v>0</v>
      </c>
      <c r="U76" s="3"/>
      <c r="V76" s="8">
        <f t="shared" si="17"/>
        <v>0</v>
      </c>
      <c r="W76" s="3"/>
      <c r="X76" s="7">
        <f t="shared" si="18"/>
        <v>0</v>
      </c>
      <c r="Y76" s="3"/>
      <c r="Z76" s="8">
        <f t="shared" si="19"/>
        <v>0</v>
      </c>
    </row>
    <row r="77" spans="1:26" s="68" customFormat="1" ht="15" customHeight="1" outlineLevel="1" collapsed="1" x14ac:dyDescent="0.25">
      <c r="A77" s="26"/>
      <c r="B77" s="14" t="str">
        <f>CONCATENATE("     ","Freight out/Postage                               ")</f>
        <v xml:space="preserve">     Freight out/Postage                               </v>
      </c>
      <c r="C77" s="14"/>
      <c r="D77" s="2">
        <f>SUM(OSRRefD22_5x_0)</f>
        <v>0</v>
      </c>
      <c r="E77" s="2"/>
      <c r="F77" s="6">
        <f t="shared" si="12"/>
        <v>0</v>
      </c>
      <c r="G77" s="2"/>
      <c r="H77" s="2">
        <f>SUM(OSRRefH22_5x_0)</f>
        <v>1057.28</v>
      </c>
      <c r="I77" s="2"/>
      <c r="J77" s="6">
        <f t="shared" si="13"/>
        <v>7.0588580897659641E-3</v>
      </c>
      <c r="K77" s="2"/>
      <c r="L77" s="2">
        <f t="shared" si="14"/>
        <v>-1057.28</v>
      </c>
      <c r="M77" s="2"/>
      <c r="N77" s="6">
        <f t="shared" si="15"/>
        <v>-1</v>
      </c>
      <c r="O77" s="14"/>
      <c r="P77" s="2">
        <f>SUM(OSRRefP22_5x_0)</f>
        <v>122.13</v>
      </c>
      <c r="Q77" s="2"/>
      <c r="R77" s="6">
        <f t="shared" si="16"/>
        <v>4.9158670070927705E-5</v>
      </c>
      <c r="S77" s="2"/>
      <c r="T77" s="2">
        <f>SUM(OSRRefT22_5x_0)</f>
        <v>2698.56</v>
      </c>
      <c r="U77" s="2"/>
      <c r="V77" s="6">
        <f t="shared" si="17"/>
        <v>1.0489766145805092E-3</v>
      </c>
      <c r="W77" s="2"/>
      <c r="X77" s="2">
        <f t="shared" si="18"/>
        <v>-2576.4299999999998</v>
      </c>
      <c r="Y77" s="2"/>
      <c r="Z77" s="6">
        <f t="shared" si="19"/>
        <v>-0.95474252934898607</v>
      </c>
    </row>
    <row r="78" spans="1:26" s="69" customFormat="1" ht="15" hidden="1" customHeight="1" outlineLevel="2" x14ac:dyDescent="0.25">
      <c r="A78" s="25"/>
      <c r="B78" s="12" t="str">
        <f>CONCATENATE("          ","6305"," - ","FREIGHT OUT")</f>
        <v xml:space="preserve">          6305 - FREIGHT OUT</v>
      </c>
      <c r="C78" s="12"/>
      <c r="D78" s="7"/>
      <c r="E78" s="3"/>
      <c r="F78" s="8">
        <f t="shared" si="12"/>
        <v>0</v>
      </c>
      <c r="G78" s="3"/>
      <c r="H78" s="7">
        <v>1057.28</v>
      </c>
      <c r="I78" s="3"/>
      <c r="J78" s="8">
        <f t="shared" si="13"/>
        <v>7.0588580897659641E-3</v>
      </c>
      <c r="K78" s="3"/>
      <c r="L78" s="7">
        <f t="shared" si="14"/>
        <v>-1057.28</v>
      </c>
      <c r="M78" s="3"/>
      <c r="N78" s="8">
        <f t="shared" si="15"/>
        <v>-1</v>
      </c>
      <c r="O78" s="12"/>
      <c r="P78" s="7">
        <v>122.13</v>
      </c>
      <c r="Q78" s="3"/>
      <c r="R78" s="8">
        <f t="shared" si="16"/>
        <v>4.9158670070927705E-5</v>
      </c>
      <c r="S78" s="3"/>
      <c r="T78" s="7">
        <v>2685.96</v>
      </c>
      <c r="U78" s="3"/>
      <c r="V78" s="8">
        <f t="shared" si="17"/>
        <v>1.0440787781997305E-3</v>
      </c>
      <c r="W78" s="3"/>
      <c r="X78" s="7">
        <f t="shared" si="18"/>
        <v>-2563.83</v>
      </c>
      <c r="Y78" s="3"/>
      <c r="Z78" s="8">
        <f t="shared" si="19"/>
        <v>-0.95453022383058572</v>
      </c>
    </row>
    <row r="79" spans="1:26" s="69" customFormat="1" ht="15" hidden="1" customHeight="1" outlineLevel="2" x14ac:dyDescent="0.25">
      <c r="A79" s="25"/>
      <c r="B79" s="12" t="str">
        <f>CONCATENATE("          ","6307"," - ","POSTAGE")</f>
        <v xml:space="preserve">          6307 - POSTAGE</v>
      </c>
      <c r="C79" s="12"/>
      <c r="D79" s="7"/>
      <c r="E79" s="3"/>
      <c r="F79" s="8">
        <f t="shared" si="12"/>
        <v>0</v>
      </c>
      <c r="G79" s="3"/>
      <c r="H79" s="7"/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/>
      <c r="Q79" s="3"/>
      <c r="R79" s="8">
        <f t="shared" si="16"/>
        <v>0</v>
      </c>
      <c r="S79" s="3"/>
      <c r="T79" s="7">
        <v>12.6</v>
      </c>
      <c r="U79" s="3"/>
      <c r="V79" s="8">
        <f t="shared" si="17"/>
        <v>4.8978363807787919E-6</v>
      </c>
      <c r="W79" s="3"/>
      <c r="X79" s="7">
        <f t="shared" si="18"/>
        <v>-12.6</v>
      </c>
      <c r="Y79" s="3"/>
      <c r="Z79" s="8">
        <f t="shared" si="19"/>
        <v>-1</v>
      </c>
    </row>
    <row r="80" spans="1:26" s="68" customFormat="1" ht="15" customHeight="1" outlineLevel="1" collapsed="1" x14ac:dyDescent="0.25">
      <c r="A80" s="26"/>
      <c r="B80" s="14" t="str">
        <f>CONCATENATE("     ","General                                           ")</f>
        <v xml:space="preserve">     General                                           </v>
      </c>
      <c r="C80" s="14"/>
      <c r="D80" s="2">
        <f>SUM(OSRRefD22_6x_0)</f>
        <v>0</v>
      </c>
      <c r="E80" s="2"/>
      <c r="F80" s="6">
        <f t="shared" si="12"/>
        <v>0</v>
      </c>
      <c r="G80" s="2"/>
      <c r="H80" s="2">
        <f>SUM(OSRRefH22_6x_0)</f>
        <v>285</v>
      </c>
      <c r="I80" s="2"/>
      <c r="J80" s="6">
        <f t="shared" si="13"/>
        <v>1.9027831374690714E-3</v>
      </c>
      <c r="K80" s="2"/>
      <c r="L80" s="2">
        <f t="shared" si="14"/>
        <v>-285</v>
      </c>
      <c r="M80" s="2"/>
      <c r="N80" s="6">
        <f t="shared" si="15"/>
        <v>-1</v>
      </c>
      <c r="O80" s="14"/>
      <c r="P80" s="2">
        <f>SUM(OSRRefP22_6x_0)</f>
        <v>285</v>
      </c>
      <c r="Q80" s="2"/>
      <c r="R80" s="6">
        <f t="shared" si="16"/>
        <v>1.147156388292344E-4</v>
      </c>
      <c r="S80" s="2"/>
      <c r="T80" s="2">
        <f>SUM(OSRRefT22_6x_0)</f>
        <v>254.85</v>
      </c>
      <c r="U80" s="2"/>
      <c r="V80" s="6">
        <f t="shared" si="17"/>
        <v>9.9064571558847233E-5</v>
      </c>
      <c r="W80" s="2"/>
      <c r="X80" s="2">
        <f t="shared" si="18"/>
        <v>30.150000000000006</v>
      </c>
      <c r="Y80" s="2"/>
      <c r="Z80" s="6">
        <f t="shared" si="19"/>
        <v>0.11830488522660391</v>
      </c>
    </row>
    <row r="81" spans="1:26" s="69" customFormat="1" ht="15" hidden="1" customHeight="1" outlineLevel="2" x14ac:dyDescent="0.25">
      <c r="A81" s="25"/>
      <c r="B81" s="12" t="str">
        <f>CONCATENATE("          ","6279"," - ","GENERAL EXPENSE")</f>
        <v xml:space="preserve">          6279 - GENERAL EXPENSE</v>
      </c>
      <c r="C81" s="12"/>
      <c r="D81" s="7"/>
      <c r="E81" s="3"/>
      <c r="F81" s="8">
        <f t="shared" si="12"/>
        <v>0</v>
      </c>
      <c r="G81" s="3"/>
      <c r="H81" s="7">
        <v>285</v>
      </c>
      <c r="I81" s="3"/>
      <c r="J81" s="8">
        <f t="shared" si="13"/>
        <v>1.9027831374690714E-3</v>
      </c>
      <c r="K81" s="3"/>
      <c r="L81" s="7">
        <f t="shared" si="14"/>
        <v>-285</v>
      </c>
      <c r="M81" s="3"/>
      <c r="N81" s="8">
        <f t="shared" si="15"/>
        <v>-1</v>
      </c>
      <c r="O81" s="12"/>
      <c r="P81" s="7">
        <v>285</v>
      </c>
      <c r="Q81" s="3"/>
      <c r="R81" s="8">
        <f t="shared" si="16"/>
        <v>1.147156388292344E-4</v>
      </c>
      <c r="S81" s="3"/>
      <c r="T81" s="7">
        <v>254.85</v>
      </c>
      <c r="U81" s="3"/>
      <c r="V81" s="8">
        <f t="shared" si="17"/>
        <v>9.9064571558847233E-5</v>
      </c>
      <c r="W81" s="3"/>
      <c r="X81" s="7">
        <f t="shared" si="18"/>
        <v>30.150000000000006</v>
      </c>
      <c r="Y81" s="3"/>
      <c r="Z81" s="8">
        <f t="shared" si="19"/>
        <v>0.11830488522660391</v>
      </c>
    </row>
    <row r="82" spans="1:26" s="68" customFormat="1" ht="15" customHeight="1" outlineLevel="1" collapsed="1" x14ac:dyDescent="0.25">
      <c r="A82" s="26"/>
      <c r="B82" s="14" t="str">
        <f>CONCATENATE("     ","Inventory Adjustment                              ")</f>
        <v xml:space="preserve">     Inventory Adjustment                              </v>
      </c>
      <c r="C82" s="14"/>
      <c r="D82" s="2">
        <f>SUM(OSRRefD22_7x_0)</f>
        <v>2100</v>
      </c>
      <c r="E82" s="2"/>
      <c r="F82" s="6">
        <f t="shared" si="12"/>
        <v>5.0738536853779199E-3</v>
      </c>
      <c r="G82" s="2"/>
      <c r="H82" s="2">
        <f>SUM(OSRRefH22_7x_0)</f>
        <v>1250</v>
      </c>
      <c r="I82" s="2"/>
      <c r="J82" s="6">
        <f t="shared" si="13"/>
        <v>8.3455400766187342E-3</v>
      </c>
      <c r="K82" s="2"/>
      <c r="L82" s="2">
        <f t="shared" si="14"/>
        <v>850</v>
      </c>
      <c r="M82" s="2"/>
      <c r="N82" s="6">
        <f t="shared" si="15"/>
        <v>0.68</v>
      </c>
      <c r="O82" s="14"/>
      <c r="P82" s="2">
        <f>SUM(OSRRefP22_7x_0)</f>
        <v>10740</v>
      </c>
      <c r="Q82" s="2"/>
      <c r="R82" s="6">
        <f t="shared" si="16"/>
        <v>4.322968284301675E-3</v>
      </c>
      <c r="S82" s="2"/>
      <c r="T82" s="2">
        <f>SUM(OSRRefT22_7x_0)</f>
        <v>13750</v>
      </c>
      <c r="U82" s="2"/>
      <c r="V82" s="6">
        <f t="shared" si="17"/>
        <v>5.3448611298181261E-3</v>
      </c>
      <c r="W82" s="2"/>
      <c r="X82" s="2">
        <f t="shared" si="18"/>
        <v>-3010</v>
      </c>
      <c r="Y82" s="2"/>
      <c r="Z82" s="6">
        <f t="shared" si="19"/>
        <v>-0.21890909090909091</v>
      </c>
    </row>
    <row r="83" spans="1:26" s="69" customFormat="1" ht="15" hidden="1" customHeight="1" outlineLevel="2" x14ac:dyDescent="0.25">
      <c r="A83" s="25"/>
      <c r="B83" s="12" t="str">
        <f>CONCATENATE("          ","6408"," - ","INVENTORY ADJUSTMENT")</f>
        <v xml:space="preserve">          6408 - INVENTORY ADJUSTMENT</v>
      </c>
      <c r="C83" s="12"/>
      <c r="D83" s="7">
        <v>2100</v>
      </c>
      <c r="E83" s="3"/>
      <c r="F83" s="8">
        <f t="shared" si="12"/>
        <v>5.0738536853779199E-3</v>
      </c>
      <c r="G83" s="3"/>
      <c r="H83" s="7">
        <v>1250</v>
      </c>
      <c r="I83" s="3"/>
      <c r="J83" s="8">
        <f t="shared" si="13"/>
        <v>8.3455400766187342E-3</v>
      </c>
      <c r="K83" s="3"/>
      <c r="L83" s="7">
        <f t="shared" si="14"/>
        <v>850</v>
      </c>
      <c r="M83" s="3"/>
      <c r="N83" s="8">
        <f t="shared" si="15"/>
        <v>0.68</v>
      </c>
      <c r="O83" s="12"/>
      <c r="P83" s="7">
        <v>10740</v>
      </c>
      <c r="Q83" s="3"/>
      <c r="R83" s="8">
        <f t="shared" si="16"/>
        <v>4.322968284301675E-3</v>
      </c>
      <c r="S83" s="3"/>
      <c r="T83" s="7">
        <v>13750</v>
      </c>
      <c r="U83" s="3"/>
      <c r="V83" s="8">
        <f t="shared" si="17"/>
        <v>5.3448611298181261E-3</v>
      </c>
      <c r="W83" s="3"/>
      <c r="X83" s="7">
        <f t="shared" si="18"/>
        <v>-3010</v>
      </c>
      <c r="Y83" s="3"/>
      <c r="Z83" s="8">
        <f t="shared" si="19"/>
        <v>-0.21890909090909091</v>
      </c>
    </row>
    <row r="84" spans="1:26" s="68" customFormat="1" ht="15" customHeight="1" outlineLevel="1" collapsed="1" x14ac:dyDescent="0.25">
      <c r="A84" s="26"/>
      <c r="B84" s="14" t="str">
        <f>CONCATENATE("     ","Repair and Maintenance                            ")</f>
        <v xml:space="preserve">     Repair and Maintenance                            </v>
      </c>
      <c r="C84" s="14"/>
      <c r="D84" s="2">
        <f>SUM(OSRRefD22_8x_0)</f>
        <v>0</v>
      </c>
      <c r="E84" s="2"/>
      <c r="F84" s="6">
        <f t="shared" si="12"/>
        <v>0</v>
      </c>
      <c r="G84" s="2"/>
      <c r="H84" s="2">
        <f>SUM(OSRRefH22_8x_0)</f>
        <v>0</v>
      </c>
      <c r="I84" s="2"/>
      <c r="J84" s="6">
        <f t="shared" si="13"/>
        <v>0</v>
      </c>
      <c r="K84" s="2"/>
      <c r="L84" s="2">
        <f t="shared" si="14"/>
        <v>0</v>
      </c>
      <c r="M84" s="2"/>
      <c r="N84" s="6">
        <f t="shared" si="15"/>
        <v>0</v>
      </c>
      <c r="O84" s="14"/>
      <c r="P84" s="2">
        <f>SUM(OSRRefP22_8x_0)</f>
        <v>1550</v>
      </c>
      <c r="Q84" s="2"/>
      <c r="R84" s="6">
        <f t="shared" si="16"/>
        <v>6.2389207082566079E-4</v>
      </c>
      <c r="S84" s="2"/>
      <c r="T84" s="2">
        <f>SUM(OSRRefT22_8x_0)</f>
        <v>1550</v>
      </c>
      <c r="U84" s="2"/>
      <c r="V84" s="6">
        <f t="shared" si="17"/>
        <v>6.025116182704069E-4</v>
      </c>
      <c r="W84" s="2"/>
      <c r="X84" s="2">
        <f t="shared" si="18"/>
        <v>0</v>
      </c>
      <c r="Y84" s="2"/>
      <c r="Z84" s="6">
        <f t="shared" si="19"/>
        <v>0</v>
      </c>
    </row>
    <row r="85" spans="1:26" s="69" customFormat="1" ht="15" hidden="1" customHeight="1" outlineLevel="2" x14ac:dyDescent="0.25">
      <c r="A85" s="25"/>
      <c r="B85" s="12" t="str">
        <f>CONCATENATE("          ","6371"," - ","COMPUTER SOFTWARE MAINTENANCE")</f>
        <v xml:space="preserve">          6371 - COMPUTER SOFTWARE MAINTENANCE</v>
      </c>
      <c r="C85" s="12"/>
      <c r="D85" s="7"/>
      <c r="E85" s="3"/>
      <c r="F85" s="8">
        <f t="shared" si="12"/>
        <v>0</v>
      </c>
      <c r="G85" s="3"/>
      <c r="H85" s="7"/>
      <c r="I85" s="3"/>
      <c r="J85" s="8">
        <f t="shared" si="13"/>
        <v>0</v>
      </c>
      <c r="K85" s="3"/>
      <c r="L85" s="7">
        <f t="shared" si="14"/>
        <v>0</v>
      </c>
      <c r="M85" s="3"/>
      <c r="N85" s="8">
        <f t="shared" si="15"/>
        <v>0</v>
      </c>
      <c r="O85" s="12"/>
      <c r="P85" s="7">
        <v>1550</v>
      </c>
      <c r="Q85" s="3"/>
      <c r="R85" s="8">
        <f t="shared" si="16"/>
        <v>6.2389207082566079E-4</v>
      </c>
      <c r="S85" s="3"/>
      <c r="T85" s="7">
        <v>1550</v>
      </c>
      <c r="U85" s="3"/>
      <c r="V85" s="8">
        <f t="shared" si="17"/>
        <v>6.025116182704069E-4</v>
      </c>
      <c r="W85" s="3"/>
      <c r="X85" s="7">
        <f t="shared" si="18"/>
        <v>0</v>
      </c>
      <c r="Y85" s="3"/>
      <c r="Z85" s="8">
        <f t="shared" si="19"/>
        <v>0</v>
      </c>
    </row>
    <row r="86" spans="1:26" s="68" customFormat="1" ht="15" customHeight="1" outlineLevel="1" collapsed="1" x14ac:dyDescent="0.25">
      <c r="A86" s="26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2">
        <f>SUM(OSRRefD22_9x_0)</f>
        <v>0</v>
      </c>
      <c r="E86" s="2"/>
      <c r="F86" s="6">
        <f t="shared" si="12"/>
        <v>0</v>
      </c>
      <c r="G86" s="2"/>
      <c r="H86" s="2">
        <f>SUM(OSRRefH22_9x_0)</f>
        <v>0</v>
      </c>
      <c r="I86" s="2"/>
      <c r="J86" s="6">
        <f t="shared" si="13"/>
        <v>0</v>
      </c>
      <c r="K86" s="2"/>
      <c r="L86" s="2">
        <f t="shared" si="14"/>
        <v>0</v>
      </c>
      <c r="M86" s="2"/>
      <c r="N86" s="6">
        <f t="shared" si="15"/>
        <v>0</v>
      </c>
      <c r="O86" s="14"/>
      <c r="P86" s="2">
        <f>SUM(OSRRefP22_9x_0)</f>
        <v>0</v>
      </c>
      <c r="Q86" s="2"/>
      <c r="R86" s="6">
        <f t="shared" si="16"/>
        <v>0</v>
      </c>
      <c r="S86" s="2"/>
      <c r="T86" s="2">
        <f>SUM(OSRRefT22_9x_0)</f>
        <v>142.22</v>
      </c>
      <c r="U86" s="2"/>
      <c r="V86" s="6">
        <f t="shared" si="17"/>
        <v>5.5283356355107917E-5</v>
      </c>
      <c r="W86" s="2"/>
      <c r="X86" s="2">
        <f t="shared" si="18"/>
        <v>-142.22</v>
      </c>
      <c r="Y86" s="2"/>
      <c r="Z86" s="6">
        <f t="shared" si="19"/>
        <v>-1</v>
      </c>
    </row>
    <row r="87" spans="1:26" s="69" customFormat="1" ht="15" hidden="1" customHeight="1" outlineLevel="2" x14ac:dyDescent="0.25">
      <c r="A87" s="25"/>
      <c r="B87" s="12" t="str">
        <f>CONCATENATE("          ","6275"," - ","SUBSCRIPTIONS")</f>
        <v xml:space="preserve">          6275 - SUBSCRIPTIONS</v>
      </c>
      <c r="C87" s="12"/>
      <c r="D87" s="7"/>
      <c r="E87" s="3"/>
      <c r="F87" s="8">
        <f t="shared" si="12"/>
        <v>0</v>
      </c>
      <c r="G87" s="3"/>
      <c r="H87" s="7"/>
      <c r="I87" s="3"/>
      <c r="J87" s="8">
        <f t="shared" si="13"/>
        <v>0</v>
      </c>
      <c r="K87" s="3"/>
      <c r="L87" s="7">
        <f t="shared" si="14"/>
        <v>0</v>
      </c>
      <c r="M87" s="3"/>
      <c r="N87" s="8">
        <f t="shared" si="15"/>
        <v>0</v>
      </c>
      <c r="O87" s="12"/>
      <c r="P87" s="7"/>
      <c r="Q87" s="3"/>
      <c r="R87" s="8">
        <f t="shared" si="16"/>
        <v>0</v>
      </c>
      <c r="S87" s="3"/>
      <c r="T87" s="7">
        <v>142.22</v>
      </c>
      <c r="U87" s="3"/>
      <c r="V87" s="8">
        <f t="shared" si="17"/>
        <v>5.5283356355107917E-5</v>
      </c>
      <c r="W87" s="3"/>
      <c r="X87" s="7">
        <f t="shared" si="18"/>
        <v>-142.22</v>
      </c>
      <c r="Y87" s="3"/>
      <c r="Z87" s="8">
        <f t="shared" si="19"/>
        <v>-1</v>
      </c>
    </row>
    <row r="88" spans="1:26" s="68" customFormat="1" ht="15" customHeight="1" outlineLevel="1" collapsed="1" x14ac:dyDescent="0.25">
      <c r="A88" s="26"/>
      <c r="B88" s="14" t="str">
        <f>CONCATENATE("     ","Supplies                                          ")</f>
        <v xml:space="preserve">     Supplies                                          </v>
      </c>
      <c r="C88" s="14"/>
      <c r="D88" s="2">
        <f>SUM(OSRRefD22_10x_0)</f>
        <v>180.57</v>
      </c>
      <c r="E88" s="2"/>
      <c r="F88" s="6">
        <f t="shared" si="12"/>
        <v>4.3627893331842429E-4</v>
      </c>
      <c r="G88" s="2"/>
      <c r="H88" s="2">
        <f>SUM(OSRRefH22_10x_0)</f>
        <v>200.67</v>
      </c>
      <c r="I88" s="2"/>
      <c r="J88" s="6">
        <f t="shared" si="13"/>
        <v>1.3397596217400651E-3</v>
      </c>
      <c r="K88" s="2"/>
      <c r="L88" s="2">
        <f t="shared" si="14"/>
        <v>-20.099999999999994</v>
      </c>
      <c r="M88" s="2"/>
      <c r="N88" s="6">
        <f t="shared" si="15"/>
        <v>-0.10016444909552995</v>
      </c>
      <c r="O88" s="14"/>
      <c r="P88" s="2">
        <f>SUM(OSRRefP22_10x_0)</f>
        <v>5111.4699999999993</v>
      </c>
      <c r="Q88" s="2"/>
      <c r="R88" s="6">
        <f t="shared" si="16"/>
        <v>2.0574229698472513E-3</v>
      </c>
      <c r="S88" s="2"/>
      <c r="T88" s="2">
        <f>SUM(OSRRefT22_10x_0)</f>
        <v>4032.32</v>
      </c>
      <c r="U88" s="2"/>
      <c r="V88" s="6">
        <f t="shared" si="17"/>
        <v>1.5674320313445983E-3</v>
      </c>
      <c r="W88" s="2"/>
      <c r="X88" s="2">
        <f t="shared" si="18"/>
        <v>1079.1499999999992</v>
      </c>
      <c r="Y88" s="2"/>
      <c r="Z88" s="6">
        <f t="shared" si="19"/>
        <v>0.26762508927862849</v>
      </c>
    </row>
    <row r="89" spans="1:26" s="69" customFormat="1" ht="15" hidden="1" customHeight="1" outlineLevel="2" x14ac:dyDescent="0.25">
      <c r="A89" s="25"/>
      <c r="B89" s="12" t="str">
        <f>CONCATENATE("          ","6234"," - ","EXPENDABLE SUPPLIES &amp; EQUIPMEN")</f>
        <v xml:space="preserve">          6234 - EXPENDABLE SUPPLIES &amp; EQUIPMEN</v>
      </c>
      <c r="C89" s="12"/>
      <c r="D89" s="7"/>
      <c r="E89" s="3"/>
      <c r="F89" s="8">
        <f t="shared" si="12"/>
        <v>0</v>
      </c>
      <c r="G89" s="3"/>
      <c r="H89" s="7"/>
      <c r="I89" s="3"/>
      <c r="J89" s="8">
        <f t="shared" si="13"/>
        <v>0</v>
      </c>
      <c r="K89" s="3"/>
      <c r="L89" s="7">
        <f t="shared" si="14"/>
        <v>0</v>
      </c>
      <c r="M89" s="3"/>
      <c r="N89" s="8">
        <f t="shared" si="15"/>
        <v>0</v>
      </c>
      <c r="O89" s="12"/>
      <c r="P89" s="7"/>
      <c r="Q89" s="3"/>
      <c r="R89" s="8">
        <f t="shared" si="16"/>
        <v>0</v>
      </c>
      <c r="S89" s="3"/>
      <c r="T89" s="7">
        <v>1733.49</v>
      </c>
      <c r="U89" s="3"/>
      <c r="V89" s="8">
        <f t="shared" si="17"/>
        <v>6.7383733235843075E-4</v>
      </c>
      <c r="W89" s="3"/>
      <c r="X89" s="7">
        <f t="shared" si="18"/>
        <v>-1733.49</v>
      </c>
      <c r="Y89" s="3"/>
      <c r="Z89" s="8">
        <f t="shared" si="19"/>
        <v>-1</v>
      </c>
    </row>
    <row r="90" spans="1:26" s="69" customFormat="1" ht="15" hidden="1" customHeight="1" outlineLevel="2" x14ac:dyDescent="0.25">
      <c r="A90" s="25"/>
      <c r="B90" s="12" t="str">
        <f>CONCATENATE("          ","6235"," - ","COVID-19 EXPENSES")</f>
        <v xml:space="preserve">          6235 - COVID-19 EXPENSES</v>
      </c>
      <c r="C90" s="12"/>
      <c r="D90" s="7"/>
      <c r="E90" s="3"/>
      <c r="F90" s="8">
        <f t="shared" si="12"/>
        <v>0</v>
      </c>
      <c r="G90" s="3"/>
      <c r="H90" s="7"/>
      <c r="I90" s="3"/>
      <c r="J90" s="8">
        <f t="shared" si="13"/>
        <v>0</v>
      </c>
      <c r="K90" s="3"/>
      <c r="L90" s="7">
        <f t="shared" si="14"/>
        <v>0</v>
      </c>
      <c r="M90" s="3"/>
      <c r="N90" s="8">
        <f t="shared" si="15"/>
        <v>0</v>
      </c>
      <c r="O90" s="12"/>
      <c r="P90" s="7"/>
      <c r="Q90" s="3"/>
      <c r="R90" s="8">
        <f t="shared" si="16"/>
        <v>0</v>
      </c>
      <c r="S90" s="3"/>
      <c r="T90" s="7">
        <v>668.12</v>
      </c>
      <c r="U90" s="3"/>
      <c r="V90" s="8">
        <f t="shared" si="17"/>
        <v>2.5970971767666083E-4</v>
      </c>
      <c r="W90" s="3"/>
      <c r="X90" s="7">
        <f t="shared" si="18"/>
        <v>-668.12</v>
      </c>
      <c r="Y90" s="3"/>
      <c r="Z90" s="8">
        <f t="shared" si="19"/>
        <v>-1</v>
      </c>
    </row>
    <row r="91" spans="1:26" s="69" customFormat="1" ht="15" hidden="1" customHeight="1" outlineLevel="2" x14ac:dyDescent="0.25">
      <c r="A91" s="25"/>
      <c r="B91" s="12" t="str">
        <f>CONCATENATE("          ","6241"," - ","OFFICE EXPENSE")</f>
        <v xml:space="preserve">          6241 - OFFICE EXPENSE</v>
      </c>
      <c r="C91" s="12"/>
      <c r="D91" s="7">
        <v>180.57</v>
      </c>
      <c r="E91" s="3"/>
      <c r="F91" s="8">
        <f t="shared" si="12"/>
        <v>4.3627893331842429E-4</v>
      </c>
      <c r="G91" s="3"/>
      <c r="H91" s="7">
        <v>200.67</v>
      </c>
      <c r="I91" s="3"/>
      <c r="J91" s="8">
        <f t="shared" si="13"/>
        <v>1.3397596217400651E-3</v>
      </c>
      <c r="K91" s="3"/>
      <c r="L91" s="7">
        <f t="shared" si="14"/>
        <v>-20.099999999999994</v>
      </c>
      <c r="M91" s="3"/>
      <c r="N91" s="8">
        <f t="shared" si="15"/>
        <v>-0.10016444909552995</v>
      </c>
      <c r="O91" s="12"/>
      <c r="P91" s="7">
        <v>2199.4699999999998</v>
      </c>
      <c r="Q91" s="3"/>
      <c r="R91" s="8">
        <f t="shared" si="16"/>
        <v>8.8531089872188125E-4</v>
      </c>
      <c r="S91" s="3"/>
      <c r="T91" s="7">
        <v>1630.71</v>
      </c>
      <c r="U91" s="3"/>
      <c r="V91" s="8">
        <f t="shared" si="17"/>
        <v>6.3388498130950667E-4</v>
      </c>
      <c r="W91" s="3"/>
      <c r="X91" s="7">
        <f t="shared" si="18"/>
        <v>568.75999999999976</v>
      </c>
      <c r="Y91" s="3"/>
      <c r="Z91" s="8">
        <f t="shared" si="19"/>
        <v>0.34878059250265209</v>
      </c>
    </row>
    <row r="92" spans="1:26" s="69" customFormat="1" ht="15" hidden="1" customHeight="1" outlineLevel="2" x14ac:dyDescent="0.25">
      <c r="A92" s="25"/>
      <c r="B92" s="12" t="str">
        <f>CONCATENATE("          ","6247"," - ","STORE SUPPLIES")</f>
        <v xml:space="preserve">          6247 - STORE SUPPLIES</v>
      </c>
      <c r="C92" s="12"/>
      <c r="D92" s="7"/>
      <c r="E92" s="3"/>
      <c r="F92" s="8">
        <f t="shared" si="12"/>
        <v>0</v>
      </c>
      <c r="G92" s="3"/>
      <c r="H92" s="7"/>
      <c r="I92" s="3"/>
      <c r="J92" s="8">
        <f t="shared" si="13"/>
        <v>0</v>
      </c>
      <c r="K92" s="3"/>
      <c r="L92" s="7">
        <f t="shared" si="14"/>
        <v>0</v>
      </c>
      <c r="M92" s="3"/>
      <c r="N92" s="8">
        <f t="shared" si="15"/>
        <v>0</v>
      </c>
      <c r="O92" s="12"/>
      <c r="P92" s="7">
        <v>2912</v>
      </c>
      <c r="Q92" s="3"/>
      <c r="R92" s="8">
        <f t="shared" si="16"/>
        <v>1.1721120711253705E-3</v>
      </c>
      <c r="S92" s="3"/>
      <c r="T92" s="7"/>
      <c r="U92" s="3"/>
      <c r="V92" s="8">
        <f t="shared" si="17"/>
        <v>0</v>
      </c>
      <c r="W92" s="3"/>
      <c r="X92" s="7">
        <f t="shared" si="18"/>
        <v>2912</v>
      </c>
      <c r="Y92" s="3"/>
      <c r="Z92" s="8">
        <f t="shared" si="19"/>
        <v>0</v>
      </c>
    </row>
    <row r="93" spans="1:26" s="68" customFormat="1" ht="15" customHeight="1" outlineLevel="1" collapsed="1" x14ac:dyDescent="0.25">
      <c r="A93" s="26"/>
      <c r="B93" s="14" t="str">
        <f>CONCATENATE("     ","Telephone/Data Lines                              ")</f>
        <v xml:space="preserve">     Telephone/Data Lines                              </v>
      </c>
      <c r="C93" s="14"/>
      <c r="D93" s="2">
        <f>SUM(OSRRefD22_11x_0)</f>
        <v>96.45</v>
      </c>
      <c r="E93" s="2"/>
      <c r="F93" s="6">
        <f t="shared" si="12"/>
        <v>2.3303485140700018E-4</v>
      </c>
      <c r="G93" s="2"/>
      <c r="H93" s="2">
        <f>SUM(OSRRefH22_11x_0)</f>
        <v>383.2</v>
      </c>
      <c r="I93" s="2"/>
      <c r="J93" s="6">
        <f t="shared" si="13"/>
        <v>2.558408765888239E-3</v>
      </c>
      <c r="K93" s="2"/>
      <c r="L93" s="2">
        <f t="shared" si="14"/>
        <v>-286.75</v>
      </c>
      <c r="M93" s="2"/>
      <c r="N93" s="6">
        <f t="shared" si="15"/>
        <v>-0.74830375782881009</v>
      </c>
      <c r="O93" s="14"/>
      <c r="P93" s="2">
        <f>SUM(OSRRefP22_11x_0)</f>
        <v>2011.66</v>
      </c>
      <c r="Q93" s="2"/>
      <c r="R93" s="6">
        <f t="shared" si="16"/>
        <v>8.097153052884831E-4</v>
      </c>
      <c r="S93" s="2"/>
      <c r="T93" s="2">
        <f>SUM(OSRRefT22_11x_0)</f>
        <v>3260.75</v>
      </c>
      <c r="U93" s="2"/>
      <c r="V93" s="6">
        <f t="shared" si="17"/>
        <v>1.2675095221130511E-3</v>
      </c>
      <c r="W93" s="2"/>
      <c r="X93" s="2">
        <f t="shared" si="18"/>
        <v>-1249.0899999999999</v>
      </c>
      <c r="Y93" s="2"/>
      <c r="Z93" s="6">
        <f t="shared" si="19"/>
        <v>-0.38306831250479184</v>
      </c>
    </row>
    <row r="94" spans="1:26" s="69" customFormat="1" ht="15" hidden="1" customHeight="1" outlineLevel="2" x14ac:dyDescent="0.25">
      <c r="A94" s="25"/>
      <c r="B94" s="12" t="str">
        <f>CONCATENATE("          ","6309"," - ","TELEPHONE")</f>
        <v xml:space="preserve">          6309 - TELEPHONE</v>
      </c>
      <c r="C94" s="12"/>
      <c r="D94" s="7">
        <v>96.45</v>
      </c>
      <c r="E94" s="3"/>
      <c r="F94" s="8">
        <f t="shared" si="12"/>
        <v>2.3303485140700018E-4</v>
      </c>
      <c r="G94" s="3"/>
      <c r="H94" s="7">
        <v>383.2</v>
      </c>
      <c r="I94" s="3"/>
      <c r="J94" s="8">
        <f t="shared" si="13"/>
        <v>2.558408765888239E-3</v>
      </c>
      <c r="K94" s="3"/>
      <c r="L94" s="7">
        <f t="shared" si="14"/>
        <v>-286.75</v>
      </c>
      <c r="M94" s="3"/>
      <c r="N94" s="8">
        <f t="shared" si="15"/>
        <v>-0.74830375782881009</v>
      </c>
      <c r="O94" s="12"/>
      <c r="P94" s="7">
        <v>2011.66</v>
      </c>
      <c r="Q94" s="3"/>
      <c r="R94" s="8">
        <f t="shared" si="16"/>
        <v>8.097153052884831E-4</v>
      </c>
      <c r="S94" s="3"/>
      <c r="T94" s="7">
        <v>3260.75</v>
      </c>
      <c r="U94" s="3"/>
      <c r="V94" s="8">
        <f t="shared" si="17"/>
        <v>1.2675095221130511E-3</v>
      </c>
      <c r="W94" s="3"/>
      <c r="X94" s="7">
        <f t="shared" si="18"/>
        <v>-1249.0899999999999</v>
      </c>
      <c r="Y94" s="3"/>
      <c r="Z94" s="8">
        <f t="shared" si="19"/>
        <v>-0.38306831250479184</v>
      </c>
    </row>
    <row r="95" spans="1:26" s="68" customFormat="1" ht="15" customHeight="1" outlineLevel="1" collapsed="1" x14ac:dyDescent="0.25">
      <c r="A95" s="26"/>
      <c r="B95" s="14" t="str">
        <f>CONCATENATE("     ","Training                                          ")</f>
        <v xml:space="preserve">     Training                                          </v>
      </c>
      <c r="C95" s="14"/>
      <c r="D95" s="2">
        <f>SUM(OSRRefD22_12x_0)</f>
        <v>0</v>
      </c>
      <c r="E95" s="2"/>
      <c r="F95" s="6">
        <f t="shared" si="12"/>
        <v>0</v>
      </c>
      <c r="G95" s="2"/>
      <c r="H95" s="2">
        <f>SUM(OSRRefH22_12x_0)</f>
        <v>0</v>
      </c>
      <c r="I95" s="2"/>
      <c r="J95" s="6">
        <f t="shared" si="13"/>
        <v>0</v>
      </c>
      <c r="K95" s="2"/>
      <c r="L95" s="2">
        <f t="shared" si="14"/>
        <v>0</v>
      </c>
      <c r="M95" s="2"/>
      <c r="N95" s="6">
        <f t="shared" si="15"/>
        <v>0</v>
      </c>
      <c r="O95" s="14"/>
      <c r="P95" s="2">
        <f>SUM(OSRRefP22_12x_0)</f>
        <v>0</v>
      </c>
      <c r="Q95" s="2"/>
      <c r="R95" s="6">
        <f t="shared" si="16"/>
        <v>0</v>
      </c>
      <c r="S95" s="2"/>
      <c r="T95" s="2">
        <f>SUM(OSRRefT22_12x_0)</f>
        <v>100</v>
      </c>
      <c r="U95" s="2"/>
      <c r="V95" s="6">
        <f t="shared" si="17"/>
        <v>3.8871717307768191E-5</v>
      </c>
      <c r="W95" s="2"/>
      <c r="X95" s="2">
        <f t="shared" si="18"/>
        <v>-100</v>
      </c>
      <c r="Y95" s="2"/>
      <c r="Z95" s="6">
        <f t="shared" si="19"/>
        <v>-1</v>
      </c>
    </row>
    <row r="96" spans="1:26" s="69" customFormat="1" ht="15" hidden="1" customHeight="1" outlineLevel="2" x14ac:dyDescent="0.25">
      <c r="A96" s="25"/>
      <c r="B96" s="12" t="str">
        <f>CONCATENATE("          ","6376"," - ","TRAINING")</f>
        <v xml:space="preserve">          6376 - TRAINING</v>
      </c>
      <c r="C96" s="12"/>
      <c r="D96" s="7"/>
      <c r="E96" s="3"/>
      <c r="F96" s="8">
        <f t="shared" si="12"/>
        <v>0</v>
      </c>
      <c r="G96" s="3"/>
      <c r="H96" s="7"/>
      <c r="I96" s="3"/>
      <c r="J96" s="8">
        <f t="shared" si="13"/>
        <v>0</v>
      </c>
      <c r="K96" s="3"/>
      <c r="L96" s="7">
        <f t="shared" si="14"/>
        <v>0</v>
      </c>
      <c r="M96" s="3"/>
      <c r="N96" s="8">
        <f t="shared" si="15"/>
        <v>0</v>
      </c>
      <c r="O96" s="12"/>
      <c r="P96" s="7"/>
      <c r="Q96" s="3"/>
      <c r="R96" s="8">
        <f t="shared" si="16"/>
        <v>0</v>
      </c>
      <c r="S96" s="3"/>
      <c r="T96" s="7">
        <v>100</v>
      </c>
      <c r="U96" s="3"/>
      <c r="V96" s="8">
        <f t="shared" si="17"/>
        <v>3.8871717307768191E-5</v>
      </c>
      <c r="W96" s="3"/>
      <c r="X96" s="7">
        <f t="shared" si="18"/>
        <v>-100</v>
      </c>
      <c r="Y96" s="3"/>
      <c r="Z96" s="8">
        <f t="shared" si="19"/>
        <v>-1</v>
      </c>
    </row>
    <row r="97" spans="1:26" s="64" customFormat="1" ht="15" customHeight="1" x14ac:dyDescent="0.25">
      <c r="A97" s="36"/>
      <c r="B97" s="36"/>
      <c r="C97" s="36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36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62" customFormat="1" ht="15" customHeight="1" collapsed="1" x14ac:dyDescent="0.25">
      <c r="A98" s="11"/>
      <c r="B98" s="28" t="s">
        <v>290</v>
      </c>
      <c r="C98" s="11"/>
      <c r="D98" s="5">
        <f>SUM(OSRRefD25x_0)</f>
        <v>-1073.31</v>
      </c>
      <c r="E98" s="5"/>
      <c r="F98" s="13">
        <f>IF(D$12=0,0,D98/D$12)</f>
        <v>-2.5932466185966548E-3</v>
      </c>
      <c r="G98" s="5"/>
      <c r="H98" s="5">
        <f>SUM(OSRRefH25x_0)</f>
        <v>296.52000000000004</v>
      </c>
      <c r="I98" s="5"/>
      <c r="J98" s="13">
        <f>IF(H$12=0,0,H98/H$12)</f>
        <v>1.9796956348151901E-3</v>
      </c>
      <c r="K98" s="5"/>
      <c r="L98" s="5">
        <f>+D98-H98</f>
        <v>-1369.83</v>
      </c>
      <c r="M98" s="5"/>
      <c r="N98" s="13">
        <f>IF(H98=0,0,L98/H98)</f>
        <v>-4.6196883852691206</v>
      </c>
      <c r="O98" s="11"/>
      <c r="P98" s="5">
        <f>SUM(OSRRefP25x_0)</f>
        <v>3764.77</v>
      </c>
      <c r="Q98" s="5"/>
      <c r="R98" s="13">
        <f>IF(P$12=0,0,P98/P$12)</f>
        <v>1.5153613880531116E-3</v>
      </c>
      <c r="S98" s="5"/>
      <c r="T98" s="5">
        <f>SUM(OSRRefT25x_0)</f>
        <v>4032.78</v>
      </c>
      <c r="U98" s="5"/>
      <c r="V98" s="13">
        <f>IF(T$12=0,0,T98/T$12)</f>
        <v>1.5676108412442141E-3</v>
      </c>
      <c r="W98" s="5"/>
      <c r="X98" s="5">
        <f>+P98-T98</f>
        <v>-268.01000000000022</v>
      </c>
      <c r="Y98" s="5"/>
      <c r="Z98" s="13">
        <f>IF(T98=0,0,X98/T98)</f>
        <v>-6.6457877692311554E-2</v>
      </c>
    </row>
    <row r="99" spans="1:26" s="69" customFormat="1" ht="15" hidden="1" customHeight="1" outlineLevel="1" x14ac:dyDescent="0.25">
      <c r="A99" s="42"/>
      <c r="B99" s="12" t="str">
        <f>CONCATENATE("          ","4187"," - ","NON-TAXABLE SALES-COMPUTER REP")</f>
        <v xml:space="preserve">          4187 - NON-TAXABLE SALES-COMPUTER REP</v>
      </c>
      <c r="C99" s="12"/>
      <c r="D99" s="3">
        <f>0</f>
        <v>0</v>
      </c>
      <c r="E99" s="3"/>
      <c r="F99" s="20">
        <f>IF(D$12=0,0,D99/D$12)</f>
        <v>0</v>
      </c>
      <c r="G99" s="3"/>
      <c r="H99" s="3">
        <f>--264.48</f>
        <v>264.48</v>
      </c>
      <c r="I99" s="3"/>
      <c r="J99" s="20">
        <f>IF(H$12=0,0,H99/H$12)</f>
        <v>1.7657827515712983E-3</v>
      </c>
      <c r="K99" s="3"/>
      <c r="L99" s="3">
        <f>+D99-H99</f>
        <v>-264.48</v>
      </c>
      <c r="M99" s="3"/>
      <c r="N99" s="20">
        <f>IF(H99=0,0,L99/H99)</f>
        <v>-1</v>
      </c>
      <c r="O99" s="12"/>
      <c r="P99" s="3">
        <f>0</f>
        <v>0</v>
      </c>
      <c r="Q99" s="3"/>
      <c r="R99" s="20">
        <f>IF(P$12=0,0,P99/P$12)</f>
        <v>0</v>
      </c>
      <c r="S99" s="3"/>
      <c r="T99" s="3">
        <f>--3580.44</f>
        <v>3580.44</v>
      </c>
      <c r="U99" s="3"/>
      <c r="V99" s="20">
        <f>IF(T$12=0,0,T99/T$12)</f>
        <v>1.3917785151742555E-3</v>
      </c>
      <c r="W99" s="3"/>
      <c r="X99" s="3">
        <f>+P99-T99</f>
        <v>-3580.44</v>
      </c>
      <c r="Y99" s="3"/>
      <c r="Z99" s="20">
        <f>IF(T99=0,0,X99/T99)</f>
        <v>-1</v>
      </c>
    </row>
    <row r="100" spans="1:26" s="69" customFormat="1" ht="15" hidden="1" customHeight="1" outlineLevel="1" x14ac:dyDescent="0.25">
      <c r="A100" s="42"/>
      <c r="B100" s="12" t="str">
        <f>CONCATENATE("          ","9087"," - ","")</f>
        <v xml:space="preserve">          9087 - </v>
      </c>
      <c r="C100" s="12"/>
      <c r="D100" s="3">
        <f>-1290.36</f>
        <v>-1290.3599999999999</v>
      </c>
      <c r="E100" s="3"/>
      <c r="F100" s="20">
        <f>IF(D$12=0,0,D100/D$12)</f>
        <v>-3.117665638792501E-3</v>
      </c>
      <c r="G100" s="3"/>
      <c r="H100" s="3">
        <f>0</f>
        <v>0</v>
      </c>
      <c r="I100" s="3"/>
      <c r="J100" s="20">
        <f>IF(H$12=0,0,H100/H$12)</f>
        <v>0</v>
      </c>
      <c r="K100" s="3"/>
      <c r="L100" s="3">
        <f>+D100-H100</f>
        <v>-1290.3599999999999</v>
      </c>
      <c r="M100" s="3"/>
      <c r="N100" s="20">
        <f>IF(H100=0,0,L100/H100)</f>
        <v>0</v>
      </c>
      <c r="O100" s="12"/>
      <c r="P100" s="3">
        <f>--705.64</f>
        <v>705.64</v>
      </c>
      <c r="Q100" s="3"/>
      <c r="R100" s="20">
        <f>IF(P$12=0,0,P100/P$12)</f>
        <v>2.8402787152091561E-4</v>
      </c>
      <c r="S100" s="3"/>
      <c r="T100" s="3">
        <f>0</f>
        <v>0</v>
      </c>
      <c r="U100" s="3"/>
      <c r="V100" s="20">
        <f>IF(T$12=0,0,T100/T$12)</f>
        <v>0</v>
      </c>
      <c r="W100" s="3"/>
      <c r="X100" s="3">
        <f>+P100-T100</f>
        <v>705.64</v>
      </c>
      <c r="Y100" s="3"/>
      <c r="Z100" s="20">
        <f>IF(T100=0,0,X100/T100)</f>
        <v>0</v>
      </c>
    </row>
    <row r="101" spans="1:26" s="69" customFormat="1" ht="15" hidden="1" customHeight="1" outlineLevel="1" x14ac:dyDescent="0.25">
      <c r="A101" s="42"/>
      <c r="B101" s="12" t="str">
        <f>CONCATENATE("          ","9150"," - ","MISC. INCOME")</f>
        <v xml:space="preserve">          9150 - MISC. INCOME</v>
      </c>
      <c r="C101" s="12"/>
      <c r="D101" s="3">
        <f>--217.05</f>
        <v>217.05</v>
      </c>
      <c r="E101" s="3"/>
      <c r="F101" s="20">
        <f>IF(D$12=0,0,D101/D$12)</f>
        <v>5.2441902019584644E-4</v>
      </c>
      <c r="G101" s="3"/>
      <c r="H101" s="3">
        <f>--32.04</f>
        <v>32.04</v>
      </c>
      <c r="I101" s="3"/>
      <c r="J101" s="20">
        <f>IF(H$12=0,0,H101/H$12)</f>
        <v>2.1391288324389138E-4</v>
      </c>
      <c r="K101" s="3"/>
      <c r="L101" s="3">
        <f>+D101-H101</f>
        <v>185.01000000000002</v>
      </c>
      <c r="M101" s="3"/>
      <c r="N101" s="20">
        <f>IF(H101=0,0,L101/H101)</f>
        <v>5.7743445692883899</v>
      </c>
      <c r="O101" s="12"/>
      <c r="P101" s="3">
        <f>--3059.13</f>
        <v>3059.13</v>
      </c>
      <c r="Q101" s="3"/>
      <c r="R101" s="20">
        <f>IF(P$12=0,0,P101/P$12)</f>
        <v>1.231333516532196E-3</v>
      </c>
      <c r="S101" s="3"/>
      <c r="T101" s="3">
        <f>--452.34</f>
        <v>452.34</v>
      </c>
      <c r="U101" s="3"/>
      <c r="V101" s="20">
        <f>IF(T$12=0,0,T101/T$12)</f>
        <v>1.7583232606995861E-4</v>
      </c>
      <c r="W101" s="3"/>
      <c r="X101" s="3">
        <f>+P101-T101</f>
        <v>2606.79</v>
      </c>
      <c r="Y101" s="3"/>
      <c r="Z101" s="20">
        <f>IF(T101=0,0,X101/T101)</f>
        <v>5.7628995888048813</v>
      </c>
    </row>
    <row r="102" spans="1:26" ht="15" customHeight="1" x14ac:dyDescent="0.25">
      <c r="A102" s="10"/>
      <c r="B102" s="11"/>
      <c r="C102" s="11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O102" s="11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25">
      <c r="A103" s="11"/>
      <c r="B103" s="27" t="s">
        <v>291</v>
      </c>
      <c r="C103" s="27"/>
      <c r="D103" s="22">
        <f>+D52-D54+D98</f>
        <v>54141.979999999996</v>
      </c>
      <c r="E103" s="15"/>
      <c r="F103" s="23">
        <f>IF(D$12=0,0,D103/D$12)</f>
        <v>0.13081356416983697</v>
      </c>
      <c r="G103" s="15"/>
      <c r="H103" s="22">
        <f>+H52-H54+H98</f>
        <v>79773.48000000001</v>
      </c>
      <c r="I103" s="15"/>
      <c r="J103" s="23">
        <f>IF(H$12=0,0,H103/H$12)</f>
        <v>0.53260221951307452</v>
      </c>
      <c r="K103" s="16"/>
      <c r="L103" s="22">
        <f>+D103-H103</f>
        <v>-25631.500000000015</v>
      </c>
      <c r="M103" s="16"/>
      <c r="N103" s="23">
        <f>IF(H103=0,0,L103/H103)</f>
        <v>-0.32130352091948366</v>
      </c>
      <c r="O103" s="28"/>
      <c r="P103" s="22">
        <f>+P52-P54+P98</f>
        <v>207475.48000000068</v>
      </c>
      <c r="Q103" s="15"/>
      <c r="R103" s="23">
        <f>IF(P$12=0,0,P103/P$12)</f>
        <v>8.351116571790218E-2</v>
      </c>
      <c r="S103" s="15"/>
      <c r="T103" s="22">
        <f>+T52-T54+T98</f>
        <v>134663.01999999923</v>
      </c>
      <c r="U103" s="15"/>
      <c r="V103" s="23">
        <f>IF(T$12=0,0,T103/T$12)</f>
        <v>5.2345828452503039E-2</v>
      </c>
      <c r="W103" s="16"/>
      <c r="X103" s="22">
        <f>+P103-T103</f>
        <v>72812.460000001447</v>
      </c>
      <c r="Y103" s="16"/>
      <c r="Z103" s="23">
        <f>IF(T103=0,0,X103/T103)</f>
        <v>0.54070122591934933</v>
      </c>
    </row>
    <row r="104" spans="1:26" ht="15" customHeight="1" x14ac:dyDescent="0.25">
      <c r="A104" s="10"/>
      <c r="B104" s="11"/>
      <c r="C104" s="10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2" customFormat="1" ht="15" customHeight="1" x14ac:dyDescent="0.25">
      <c r="A105" s="48"/>
      <c r="B105" s="11" t="s">
        <v>292</v>
      </c>
      <c r="C105" s="11"/>
      <c r="D105" s="5">
        <v>44753.760000000002</v>
      </c>
      <c r="E105" s="5"/>
      <c r="F105" s="13">
        <f>IF(D$12=0,0,D105/D$12)</f>
        <v>0.10813049052881855</v>
      </c>
      <c r="G105" s="5"/>
      <c r="H105" s="5">
        <v>42876.41</v>
      </c>
      <c r="I105" s="5"/>
      <c r="J105" s="13">
        <f>IF(H$12=0,0,H105/H$12)</f>
        <v>0.28626143839722901</v>
      </c>
      <c r="K105" s="5"/>
      <c r="L105" s="5">
        <f>+D105-H105</f>
        <v>1877.3499999999985</v>
      </c>
      <c r="M105" s="5"/>
      <c r="N105" s="13">
        <f>IF(H105=0,0,L105/H105)</f>
        <v>4.3785148989852425E-2</v>
      </c>
      <c r="O105" s="11"/>
      <c r="P105" s="5">
        <v>279310.01</v>
      </c>
      <c r="Q105" s="5"/>
      <c r="R105" s="13">
        <f>IF(P$12=0,0,P105/P$12)</f>
        <v>0.1124253551878942</v>
      </c>
      <c r="S105" s="5"/>
      <c r="T105" s="5">
        <v>549732.64</v>
      </c>
      <c r="U105" s="5"/>
      <c r="V105" s="13">
        <f>IF(T$12=0,0,T105/T$12)</f>
        <v>0.21369051776933098</v>
      </c>
      <c r="W105" s="5"/>
      <c r="X105" s="5">
        <f>+P105-T105</f>
        <v>-270422.63</v>
      </c>
      <c r="Y105" s="5"/>
      <c r="Z105" s="13">
        <f>IF(T105=0,0,X105/T105)</f>
        <v>-0.49191663423878196</v>
      </c>
    </row>
    <row r="106" spans="1:26" ht="15" customHeight="1" x14ac:dyDescent="0.25">
      <c r="A106" s="10"/>
      <c r="B106" s="11"/>
      <c r="C106" s="11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O106" s="11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x14ac:dyDescent="0.25">
      <c r="A107" s="11"/>
      <c r="B107" s="27" t="s">
        <v>293</v>
      </c>
      <c r="C107" s="27"/>
      <c r="D107" s="35">
        <f>+D103-D105</f>
        <v>9388.2199999999939</v>
      </c>
      <c r="E107" s="15"/>
      <c r="F107" s="30">
        <f>IF(D$12=0,0,D107/D$12)</f>
        <v>2.2683073641018413E-2</v>
      </c>
      <c r="G107" s="15"/>
      <c r="H107" s="35">
        <f>+H103-H105</f>
        <v>36897.070000000007</v>
      </c>
      <c r="I107" s="15"/>
      <c r="J107" s="30">
        <f>IF(H$12=0,0,H107/H$12)</f>
        <v>0.24634078111584548</v>
      </c>
      <c r="K107" s="16"/>
      <c r="L107" s="35">
        <f>D107-H107</f>
        <v>-27508.850000000013</v>
      </c>
      <c r="M107" s="16"/>
      <c r="N107" s="30">
        <f>IF(H107=0,0,L107/H107)</f>
        <v>-0.74555648998687452</v>
      </c>
      <c r="O107" s="28"/>
      <c r="P107" s="35">
        <f>+P103-P105</f>
        <v>-71834.529999999329</v>
      </c>
      <c r="Q107" s="15"/>
      <c r="R107" s="30">
        <f>IF(P$12=0,0,P107/P$12)</f>
        <v>-2.8914189469992021E-2</v>
      </c>
      <c r="S107" s="15"/>
      <c r="T107" s="35">
        <f>+T103-T105</f>
        <v>-415069.62000000081</v>
      </c>
      <c r="U107" s="15"/>
      <c r="V107" s="30">
        <f>IF(T$12=0,0,T107/T$12)</f>
        <v>-0.16134468931682797</v>
      </c>
      <c r="W107" s="16"/>
      <c r="X107" s="35">
        <f>P107-T107</f>
        <v>343235.09000000148</v>
      </c>
      <c r="Y107" s="16"/>
      <c r="Z107" s="30">
        <f>IF(T107=0,0,X107/T107)</f>
        <v>-0.82693378041014132</v>
      </c>
    </row>
    <row r="108" spans="1:26" ht="15" customHeight="1" x14ac:dyDescent="0.25">
      <c r="A108" s="10"/>
      <c r="B108" s="10"/>
      <c r="C108" s="10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ht="15" customHeight="1" x14ac:dyDescent="0.25">
      <c r="A109" s="10"/>
      <c r="B109" s="10"/>
      <c r="C109" s="10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25">
      <c r="A110" s="11"/>
      <c r="B110" s="27" t="s">
        <v>296</v>
      </c>
      <c r="C110" s="27"/>
      <c r="D110" s="32">
        <f>SUM(D107:D109)</f>
        <v>9388.2199999999939</v>
      </c>
      <c r="E110" s="15"/>
      <c r="F110" s="34">
        <f>IF(D$12=0,0,D110/D$12)</f>
        <v>2.2683073641018413E-2</v>
      </c>
      <c r="G110" s="15"/>
      <c r="H110" s="32">
        <f>SUM(H107:H109)</f>
        <v>36897.070000000007</v>
      </c>
      <c r="I110" s="15"/>
      <c r="J110" s="34">
        <f>IF(H$12=0,0,H110/H$12)</f>
        <v>0.24634078111584548</v>
      </c>
      <c r="K110" s="16"/>
      <c r="L110" s="32">
        <f>+D110-H110</f>
        <v>-27508.850000000013</v>
      </c>
      <c r="M110" s="16"/>
      <c r="N110" s="34">
        <f>IF(H110=0,0,L110/H110)</f>
        <v>-0.74555648998687452</v>
      </c>
      <c r="O110" s="28"/>
      <c r="P110" s="32">
        <f>SUM(P107:P109)</f>
        <v>-71834.529999999329</v>
      </c>
      <c r="Q110" s="15"/>
      <c r="R110" s="34">
        <f>IF(P$12=0,0,P110/P$12)</f>
        <v>-2.8914189469992021E-2</v>
      </c>
      <c r="S110" s="15"/>
      <c r="T110" s="32">
        <f>SUM(T107:T109)</f>
        <v>-415069.62000000081</v>
      </c>
      <c r="U110" s="15"/>
      <c r="V110" s="34">
        <f>IF(T$12=0,0,T110/T$12)</f>
        <v>-0.16134468931682797</v>
      </c>
      <c r="W110" s="16"/>
      <c r="X110" s="32">
        <f>+P110-T110</f>
        <v>343235.09000000148</v>
      </c>
      <c r="Y110" s="16"/>
      <c r="Z110" s="34">
        <f>IF(T110=0,0,X110/T110)</f>
        <v>-0.82693378041014132</v>
      </c>
    </row>
    <row r="111" spans="1:26" ht="15" customHeight="1" x14ac:dyDescent="0.25">
      <c r="A111" s="10"/>
      <c r="C111" s="10"/>
      <c r="D111" s="18"/>
      <c r="E111" s="18"/>
      <c r="G111" s="18"/>
      <c r="H111" s="18"/>
      <c r="I111" s="18"/>
      <c r="J111" s="41"/>
      <c r="K111" s="18"/>
      <c r="L111" s="18"/>
      <c r="M111" s="18"/>
      <c r="P111" s="18"/>
      <c r="Q111" s="18"/>
      <c r="R111" s="41"/>
      <c r="S111" s="18"/>
      <c r="T111" s="18"/>
      <c r="U111" s="18"/>
      <c r="V111" s="41"/>
      <c r="W111" s="18"/>
      <c r="X111" s="18"/>
    </row>
    <row r="112" spans="1:26" ht="15" customHeight="1" x14ac:dyDescent="0.25">
      <c r="A112" s="10"/>
      <c r="B112" s="50">
        <v>44727.879654085649</v>
      </c>
      <c r="D112" s="18"/>
      <c r="E112" s="18"/>
      <c r="G112" s="18"/>
      <c r="H112" s="18"/>
      <c r="I112" s="18"/>
      <c r="J112" s="41"/>
      <c r="K112" s="18"/>
      <c r="L112" s="18"/>
      <c r="M112" s="18"/>
      <c r="P112" s="18"/>
      <c r="Q112" s="18"/>
      <c r="R112" s="41"/>
      <c r="S112" s="18"/>
      <c r="T112" s="18"/>
      <c r="U112" s="18"/>
      <c r="V112" s="41"/>
      <c r="W112" s="18"/>
      <c r="X112" s="18"/>
    </row>
    <row r="113" spans="1:24" ht="15" customHeight="1" x14ac:dyDescent="0.25">
      <c r="A113" s="10"/>
      <c r="B113" s="53" t="s">
        <v>297</v>
      </c>
      <c r="D113" s="18"/>
      <c r="E113" s="18"/>
      <c r="G113" s="18"/>
      <c r="H113" s="18"/>
      <c r="I113" s="18"/>
      <c r="J113" s="41"/>
      <c r="K113" s="18"/>
      <c r="L113" s="18"/>
      <c r="M113" s="18"/>
      <c r="P113" s="18"/>
      <c r="Q113" s="18"/>
      <c r="R113" s="41"/>
      <c r="S113" s="18"/>
      <c r="T113" s="18"/>
      <c r="U113" s="18"/>
      <c r="V113" s="41"/>
      <c r="W113" s="18"/>
      <c r="X113" s="18"/>
    </row>
    <row r="114" spans="1:24" ht="15" customHeight="1" x14ac:dyDescent="0.25">
      <c r="A114" s="10"/>
      <c r="B114" s="55"/>
      <c r="D114" s="18"/>
      <c r="E114" s="18"/>
      <c r="G114" s="18"/>
      <c r="H114" s="18"/>
      <c r="I114" s="18"/>
      <c r="J114" s="41"/>
      <c r="K114" s="18"/>
      <c r="L114" s="18"/>
      <c r="M114" s="18"/>
      <c r="P114" s="18"/>
      <c r="Q114" s="18"/>
      <c r="R114" s="41"/>
      <c r="S114" s="18"/>
      <c r="T114" s="18"/>
      <c r="U114" s="18"/>
      <c r="V114" s="41"/>
      <c r="W114" s="18"/>
      <c r="X114" s="18"/>
    </row>
    <row r="115" spans="1:24" ht="15" customHeight="1" x14ac:dyDescent="0.25">
      <c r="D115" s="18"/>
      <c r="E115" s="18"/>
      <c r="G115" s="18"/>
      <c r="H115" s="18"/>
      <c r="I115" s="18"/>
      <c r="J115" s="41"/>
      <c r="K115" s="18"/>
      <c r="L115" s="18"/>
      <c r="M115" s="18"/>
      <c r="P115" s="18"/>
      <c r="Q115" s="18"/>
      <c r="R115" s="41"/>
      <c r="S115" s="18"/>
      <c r="T115" s="18"/>
      <c r="U115" s="18"/>
      <c r="V115" s="41"/>
      <c r="W115" s="18"/>
      <c r="X11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79933-0DA4-815B-4E14-64961A7BED9E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","320"," - ","Customer Service (old)")</f>
        <v>Department 320 - Customer Service (old)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25">
      <c r="A14" s="11"/>
      <c r="B14" s="28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69" customFormat="1" ht="15" hidden="1" customHeight="1" outlineLevel="1" x14ac:dyDescent="0.25">
      <c r="A15" s="42"/>
      <c r="B15" s="12" t="str">
        <f>CONCATENATE("          ","5092"," - ","PURCHASES @ COST-GRAD MERCH")</f>
        <v xml:space="preserve">          5092 - PURCHASES @ COST-GRAD MERCH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/>
      <c r="Q15" s="3"/>
      <c r="R15" s="20">
        <f>IF(P$12=0,0,P15/P$12)</f>
        <v>0</v>
      </c>
      <c r="S15" s="3"/>
      <c r="T15" s="3">
        <v>0</v>
      </c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s="69" customFormat="1" ht="15" hidden="1" customHeight="1" outlineLevel="1" x14ac:dyDescent="0.25">
      <c r="A16" s="42"/>
      <c r="B16" s="12" t="str">
        <f>CONCATENATE("          ","5592"," - ","FREIGHT-IN-GRAD MERCH")</f>
        <v xml:space="preserve">          5592 - FREIGHT-IN-GRAD MERCH</v>
      </c>
      <c r="C16" s="12"/>
      <c r="D16" s="3"/>
      <c r="E16" s="3"/>
      <c r="F16" s="20">
        <f>IF(D$12=0,0,D16/D$12)</f>
        <v>0</v>
      </c>
      <c r="G16" s="3"/>
      <c r="H16" s="3"/>
      <c r="I16" s="3"/>
      <c r="J16" s="20">
        <f>IF(H$12=0,0,H16/H$12)</f>
        <v>0</v>
      </c>
      <c r="K16" s="3"/>
      <c r="L16" s="3">
        <f>+D16-H16</f>
        <v>0</v>
      </c>
      <c r="M16" s="3"/>
      <c r="N16" s="20">
        <f>IF(H16=0,0,L16/H16)</f>
        <v>0</v>
      </c>
      <c r="O16" s="12"/>
      <c r="P16" s="3"/>
      <c r="Q16" s="3"/>
      <c r="R16" s="20">
        <f>IF(P$12=0,0,P16/P$12)</f>
        <v>0</v>
      </c>
      <c r="S16" s="3"/>
      <c r="T16" s="3">
        <v>0</v>
      </c>
      <c r="U16" s="3"/>
      <c r="V16" s="20">
        <f>IF(T$12=0,0,T16/T$12)</f>
        <v>0</v>
      </c>
      <c r="W16" s="3"/>
      <c r="X16" s="3">
        <f>+P16-T16</f>
        <v>0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>
        <f>D12-D14</f>
        <v>0</v>
      </c>
      <c r="E18" s="15"/>
      <c r="F18" s="23">
        <f>IF(D$12=0,0,D18/D$12)</f>
        <v>0</v>
      </c>
      <c r="G18" s="15"/>
      <c r="H18" s="22">
        <f>H12-H14</f>
        <v>0</v>
      </c>
      <c r="I18" s="15"/>
      <c r="J18" s="23">
        <f>IF(H$12=0,0,H18/H$12)</f>
        <v>0</v>
      </c>
      <c r="K18" s="16"/>
      <c r="L18" s="22">
        <f>+D18-H18</f>
        <v>0</v>
      </c>
      <c r="M18" s="16"/>
      <c r="N18" s="23">
        <f>IF(H18=0,0,L18/H18)</f>
        <v>0</v>
      </c>
      <c r="O18" s="28"/>
      <c r="P18" s="22">
        <f>P12-P14</f>
        <v>0</v>
      </c>
      <c r="Q18" s="15"/>
      <c r="R18" s="23">
        <f>IF(P$12=0,0,P18/P$12)</f>
        <v>0</v>
      </c>
      <c r="S18" s="15"/>
      <c r="T18" s="22">
        <f>T12-T14</f>
        <v>0</v>
      </c>
      <c r="U18" s="15"/>
      <c r="V18" s="23">
        <f>IF(T$12=0,0,T18/T$12)</f>
        <v>0</v>
      </c>
      <c r="W18" s="16"/>
      <c r="X18" s="22">
        <f>+P18-T18</f>
        <v>0</v>
      </c>
      <c r="Y18" s="16"/>
      <c r="Z18" s="23">
        <f>IF(T18=0,0,X18/T18)</f>
        <v>0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cm="1">
        <f t="array" ref="D20">SUM(OSRRefD22x_0)</f>
        <v>0</v>
      </c>
      <c r="E20" s="21"/>
      <c r="F20" s="31">
        <f t="shared" ref="F20:F27" si="0">IF(D$12=0,0,D20/D$12)</f>
        <v>0</v>
      </c>
      <c r="G20" s="21"/>
      <c r="H20" s="21" cm="1">
        <f t="array" ref="H20">SUM(OSRRefH22x_0)</f>
        <v>0</v>
      </c>
      <c r="I20" s="21"/>
      <c r="J20" s="31">
        <f t="shared" ref="J20:J27" si="1">IF(H$12=0,0,H20/H$12)</f>
        <v>0</v>
      </c>
      <c r="K20" s="5"/>
      <c r="L20" s="21">
        <f t="shared" ref="L20:L27" si="2">+D20-H20</f>
        <v>0</v>
      </c>
      <c r="M20" s="5"/>
      <c r="N20" s="31">
        <f t="shared" ref="N20:N27" si="3">IF(H20=0,0,L20/H20)</f>
        <v>0</v>
      </c>
      <c r="O20" s="11"/>
      <c r="P20" s="21" cm="1">
        <f t="array" ref="P20">SUM(OSRRefP22x_0)</f>
        <v>0</v>
      </c>
      <c r="Q20" s="21"/>
      <c r="R20" s="31">
        <f t="shared" ref="R20:R27" si="4">IF(P$12=0,0,P20/P$12)</f>
        <v>0</v>
      </c>
      <c r="S20" s="21"/>
      <c r="T20" s="21" cm="1">
        <f t="array" ref="T20">SUM(OSRRefT22x_0)</f>
        <v>0</v>
      </c>
      <c r="U20" s="21"/>
      <c r="V20" s="31">
        <f t="shared" ref="V20:V27" si="5">IF(T$12=0,0,T20/T$12)</f>
        <v>0</v>
      </c>
      <c r="W20" s="5"/>
      <c r="X20" s="21">
        <f t="shared" ref="X20:X27" si="6">+P20-T20</f>
        <v>0</v>
      </c>
      <c r="Y20" s="5"/>
      <c r="Z20" s="31">
        <f t="shared" ref="Z20:Z27" si="7">IF(T20=0,0,X20/T20)</f>
        <v>0</v>
      </c>
    </row>
    <row r="21" spans="1:26" s="68" customFormat="1" ht="15" customHeight="1" outlineLevel="1" collapsed="1" x14ac:dyDescent="0.25">
      <c r="A21" s="26"/>
      <c r="B21" s="14" t="str">
        <f>CONCATENATE("     ","Freight out/Postage                               ")</f>
        <v xml:space="preserve">     Freight out/Postage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0</v>
      </c>
      <c r="U21" s="2"/>
      <c r="V21" s="6">
        <f t="shared" si="5"/>
        <v>0</v>
      </c>
      <c r="W21" s="2"/>
      <c r="X21" s="2">
        <f t="shared" si="6"/>
        <v>0</v>
      </c>
      <c r="Y21" s="2"/>
      <c r="Z21" s="6">
        <f t="shared" si="7"/>
        <v>0</v>
      </c>
    </row>
    <row r="22" spans="1:26" s="69" customFormat="1" ht="15" hidden="1" customHeight="1" outlineLevel="2" x14ac:dyDescent="0.25">
      <c r="A22" s="25"/>
      <c r="B22" s="12" t="str">
        <f>CONCATENATE("          ","6305"," - ","FREIGHT OUT")</f>
        <v xml:space="preserve">          6305 - FREIGHT OUT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/>
      <c r="Q22" s="3"/>
      <c r="R22" s="8">
        <f t="shared" si="4"/>
        <v>0</v>
      </c>
      <c r="S22" s="3"/>
      <c r="T22" s="7">
        <v>0</v>
      </c>
      <c r="U22" s="3"/>
      <c r="V22" s="8">
        <f t="shared" si="5"/>
        <v>0</v>
      </c>
      <c r="W22" s="3"/>
      <c r="X22" s="7">
        <f t="shared" si="6"/>
        <v>0</v>
      </c>
      <c r="Y22" s="3"/>
      <c r="Z22" s="8">
        <f t="shared" si="7"/>
        <v>0</v>
      </c>
    </row>
    <row r="23" spans="1:26" s="69" customFormat="1" ht="15" hidden="1" customHeight="1" outlineLevel="2" x14ac:dyDescent="0.25">
      <c r="A23" s="25"/>
      <c r="B23" s="12" t="str">
        <f>CONCATENATE("          ","6307"," - ","POSTAGE")</f>
        <v xml:space="preserve">          6307 - POSTAGE</v>
      </c>
      <c r="C23" s="12"/>
      <c r="D23" s="7"/>
      <c r="E23" s="3"/>
      <c r="F23" s="8">
        <f t="shared" si="0"/>
        <v>0</v>
      </c>
      <c r="G23" s="3"/>
      <c r="H23" s="7"/>
      <c r="I23" s="3"/>
      <c r="J23" s="8">
        <f t="shared" si="1"/>
        <v>0</v>
      </c>
      <c r="K23" s="3"/>
      <c r="L23" s="7">
        <f t="shared" si="2"/>
        <v>0</v>
      </c>
      <c r="M23" s="3"/>
      <c r="N23" s="8">
        <f t="shared" si="3"/>
        <v>0</v>
      </c>
      <c r="O23" s="12"/>
      <c r="P23" s="7"/>
      <c r="Q23" s="3"/>
      <c r="R23" s="8">
        <f t="shared" si="4"/>
        <v>0</v>
      </c>
      <c r="S23" s="3"/>
      <c r="T23" s="7">
        <v>0</v>
      </c>
      <c r="U23" s="3"/>
      <c r="V23" s="8">
        <f t="shared" si="5"/>
        <v>0</v>
      </c>
      <c r="W23" s="3"/>
      <c r="X23" s="7">
        <f t="shared" si="6"/>
        <v>0</v>
      </c>
      <c r="Y23" s="3"/>
      <c r="Z23" s="8">
        <f t="shared" si="7"/>
        <v>0</v>
      </c>
    </row>
    <row r="24" spans="1:26" s="68" customFormat="1" ht="15" customHeight="1" outlineLevel="1" collapsed="1" x14ac:dyDescent="0.25">
      <c r="A24" s="26"/>
      <c r="B24" s="14" t="str">
        <f>CONCATENATE("     ","Supplies                                          ")</f>
        <v xml:space="preserve">     Supplies                                          </v>
      </c>
      <c r="C24" s="14"/>
      <c r="D24" s="2">
        <f>SUM(OSRRefD22_1x_0)</f>
        <v>0</v>
      </c>
      <c r="E24" s="2"/>
      <c r="F24" s="6">
        <f t="shared" si="0"/>
        <v>0</v>
      </c>
      <c r="G24" s="2"/>
      <c r="H24" s="2">
        <f>SUM(OSRRefH22_1x_0)</f>
        <v>0</v>
      </c>
      <c r="I24" s="2"/>
      <c r="J24" s="6">
        <f t="shared" si="1"/>
        <v>0</v>
      </c>
      <c r="K24" s="2"/>
      <c r="L24" s="2">
        <f t="shared" si="2"/>
        <v>0</v>
      </c>
      <c r="M24" s="2"/>
      <c r="N24" s="6">
        <f t="shared" si="3"/>
        <v>0</v>
      </c>
      <c r="O24" s="14"/>
      <c r="P24" s="2">
        <f>SUM(OSRRefP22_1x_0)</f>
        <v>0</v>
      </c>
      <c r="Q24" s="2"/>
      <c r="R24" s="6">
        <f t="shared" si="4"/>
        <v>0</v>
      </c>
      <c r="S24" s="2"/>
      <c r="T24" s="2">
        <f>SUM(OSRRefT22_1x_0)</f>
        <v>0</v>
      </c>
      <c r="U24" s="2"/>
      <c r="V24" s="6">
        <f t="shared" si="5"/>
        <v>0</v>
      </c>
      <c r="W24" s="2"/>
      <c r="X24" s="2">
        <f t="shared" si="6"/>
        <v>0</v>
      </c>
      <c r="Y24" s="2"/>
      <c r="Z24" s="6">
        <f t="shared" si="7"/>
        <v>0</v>
      </c>
    </row>
    <row r="25" spans="1:26" s="69" customFormat="1" ht="15" hidden="1" customHeight="1" outlineLevel="2" x14ac:dyDescent="0.25">
      <c r="A25" s="25"/>
      <c r="B25" s="12" t="str">
        <f>CONCATENATE("          ","6247"," - ","STORE SUPPLIES")</f>
        <v xml:space="preserve">          6247 - STORE SUPPLIES</v>
      </c>
      <c r="C25" s="12"/>
      <c r="D25" s="7"/>
      <c r="E25" s="3"/>
      <c r="F25" s="8">
        <f t="shared" si="0"/>
        <v>0</v>
      </c>
      <c r="G25" s="3"/>
      <c r="H25" s="7"/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68" customFormat="1" ht="15" customHeight="1" outlineLevel="1" collapsed="1" x14ac:dyDescent="0.25">
      <c r="A26" s="26"/>
      <c r="B26" s="14" t="str">
        <f>CONCATENATE("     ","Telephone/Data Lines                              ")</f>
        <v xml:space="preserve">     Telephone/Data Lines                              </v>
      </c>
      <c r="C26" s="14"/>
      <c r="D26" s="2">
        <f>SUM(OSRRefD22_2x_0)</f>
        <v>0</v>
      </c>
      <c r="E26" s="2"/>
      <c r="F26" s="6">
        <f t="shared" si="0"/>
        <v>0</v>
      </c>
      <c r="G26" s="2"/>
      <c r="H26" s="2">
        <f>SUM(OSRRefH22_2x_0)</f>
        <v>0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SUM(OSRRefP22_2x_0)</f>
        <v>0</v>
      </c>
      <c r="Q26" s="2"/>
      <c r="R26" s="6">
        <f t="shared" si="4"/>
        <v>0</v>
      </c>
      <c r="S26" s="2"/>
      <c r="T26" s="2">
        <f>SUM(OSRRefT22_2x_0)</f>
        <v>0</v>
      </c>
      <c r="U26" s="2"/>
      <c r="V26" s="6">
        <f t="shared" si="5"/>
        <v>0</v>
      </c>
      <c r="W26" s="2"/>
      <c r="X26" s="2">
        <f t="shared" si="6"/>
        <v>0</v>
      </c>
      <c r="Y26" s="2"/>
      <c r="Z26" s="6">
        <f t="shared" si="7"/>
        <v>0</v>
      </c>
    </row>
    <row r="27" spans="1:26" s="69" customFormat="1" ht="15" hidden="1" customHeight="1" outlineLevel="2" x14ac:dyDescent="0.25">
      <c r="A27" s="25"/>
      <c r="B27" s="12" t="str">
        <f>CONCATENATE("          ","6309"," - ","TELEPHONE")</f>
        <v xml:space="preserve">          6309 - TELEPHONE</v>
      </c>
      <c r="C27" s="12"/>
      <c r="D27" s="7"/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0</v>
      </c>
      <c r="U27" s="3"/>
      <c r="V27" s="8">
        <f t="shared" si="5"/>
        <v>0</v>
      </c>
      <c r="W27" s="3"/>
      <c r="X27" s="7">
        <f t="shared" si="6"/>
        <v>0</v>
      </c>
      <c r="Y27" s="3"/>
      <c r="Z27" s="8">
        <f t="shared" si="7"/>
        <v>0</v>
      </c>
    </row>
    <row r="28" spans="1:26" s="64" customFormat="1" ht="15" customHeight="1" x14ac:dyDescent="0.25">
      <c r="A28" s="36"/>
      <c r="B28" s="36"/>
      <c r="C28" s="36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2" customFormat="1" ht="15" customHeight="1" collapsed="1" x14ac:dyDescent="0.25">
      <c r="A29" s="11"/>
      <c r="B29" s="28" t="s">
        <v>290</v>
      </c>
      <c r="C29" s="11"/>
      <c r="D29" s="5">
        <f>SUM(OSRRefD25x_0)</f>
        <v>0</v>
      </c>
      <c r="E29" s="5"/>
      <c r="F29" s="13">
        <f>IF(D$12=0,0,D29/D$12)</f>
        <v>0</v>
      </c>
      <c r="G29" s="5"/>
      <c r="H29" s="5">
        <f>SUM(OSRRefH25x_0)</f>
        <v>0</v>
      </c>
      <c r="I29" s="5"/>
      <c r="J29" s="13">
        <f>IF(H$12=0,0,H29/H$12)</f>
        <v>0</v>
      </c>
      <c r="K29" s="5"/>
      <c r="L29" s="5">
        <f>+D29-H29</f>
        <v>0</v>
      </c>
      <c r="M29" s="5"/>
      <c r="N29" s="13">
        <f>IF(H29=0,0,L29/H29)</f>
        <v>0</v>
      </c>
      <c r="O29" s="11"/>
      <c r="P29" s="5">
        <f>SUM(OSRRefP25x_0)</f>
        <v>0</v>
      </c>
      <c r="Q29" s="5"/>
      <c r="R29" s="13">
        <f>IF(P$12=0,0,P29/P$12)</f>
        <v>0</v>
      </c>
      <c r="S29" s="5"/>
      <c r="T29" s="5">
        <f>SUM(OSRRefT25x_0)</f>
        <v>0</v>
      </c>
      <c r="U29" s="5"/>
      <c r="V29" s="13">
        <f>IF(T$12=0,0,T29/T$12)</f>
        <v>0</v>
      </c>
      <c r="W29" s="5"/>
      <c r="X29" s="5">
        <f>+P29-T29</f>
        <v>0</v>
      </c>
      <c r="Y29" s="5"/>
      <c r="Z29" s="13">
        <f>IF(T29=0,0,X29/T29)</f>
        <v>0</v>
      </c>
    </row>
    <row r="30" spans="1:26" s="69" customFormat="1" ht="15" hidden="1" customHeight="1" outlineLevel="1" x14ac:dyDescent="0.25">
      <c r="A30" s="42"/>
      <c r="B30" s="12" t="str">
        <f>CONCATENATE("          ","9163"," - ","MISC. INCOME")</f>
        <v xml:space="preserve">          9163 - MISC. INCOME</v>
      </c>
      <c r="C30" s="12"/>
      <c r="D30" s="3">
        <f>0</f>
        <v>0</v>
      </c>
      <c r="E30" s="3"/>
      <c r="F30" s="20">
        <f>IF(D$12=0,0,D30/D$12)</f>
        <v>0</v>
      </c>
      <c r="G30" s="3"/>
      <c r="H30" s="3">
        <f>0</f>
        <v>0</v>
      </c>
      <c r="I30" s="3"/>
      <c r="J30" s="20">
        <f>IF(H$12=0,0,H30/H$12)</f>
        <v>0</v>
      </c>
      <c r="K30" s="3"/>
      <c r="L30" s="3">
        <f>+D30-H30</f>
        <v>0</v>
      </c>
      <c r="M30" s="3"/>
      <c r="N30" s="20">
        <f>IF(H30=0,0,L30/H30)</f>
        <v>0</v>
      </c>
      <c r="O30" s="12"/>
      <c r="P30" s="3">
        <f>0</f>
        <v>0</v>
      </c>
      <c r="Q30" s="3"/>
      <c r="R30" s="20">
        <f>IF(P$12=0,0,P30/P$12)</f>
        <v>0</v>
      </c>
      <c r="S30" s="3"/>
      <c r="T30" s="3">
        <f>0</f>
        <v>0</v>
      </c>
      <c r="U30" s="3"/>
      <c r="V30" s="20">
        <f>IF(T$12=0,0,T30/T$12)</f>
        <v>0</v>
      </c>
      <c r="W30" s="3"/>
      <c r="X30" s="3">
        <f>+P30-T30</f>
        <v>0</v>
      </c>
      <c r="Y30" s="3"/>
      <c r="Z30" s="20">
        <f>IF(T30=0,0,X30/T30)</f>
        <v>0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25">
      <c r="A32" s="11"/>
      <c r="B32" s="27" t="s">
        <v>291</v>
      </c>
      <c r="C32" s="27"/>
      <c r="D32" s="22">
        <f>+D18-D20+D29</f>
        <v>0</v>
      </c>
      <c r="E32" s="15"/>
      <c r="F32" s="23">
        <f>IF(D$12=0,0,D32/D$12)</f>
        <v>0</v>
      </c>
      <c r="G32" s="15"/>
      <c r="H32" s="22">
        <f>+H18-H20+H29</f>
        <v>0</v>
      </c>
      <c r="I32" s="15"/>
      <c r="J32" s="23">
        <f>IF(H$12=0,0,H32/H$12)</f>
        <v>0</v>
      </c>
      <c r="K32" s="16"/>
      <c r="L32" s="22">
        <f>+D32-H32</f>
        <v>0</v>
      </c>
      <c r="M32" s="16"/>
      <c r="N32" s="23">
        <f>IF(H32=0,0,L32/H32)</f>
        <v>0</v>
      </c>
      <c r="O32" s="28"/>
      <c r="P32" s="22">
        <f>+P18-P20+P29</f>
        <v>0</v>
      </c>
      <c r="Q32" s="15"/>
      <c r="R32" s="23">
        <f>IF(P$12=0,0,P32/P$12)</f>
        <v>0</v>
      </c>
      <c r="S32" s="15"/>
      <c r="T32" s="22">
        <f>+T18-T20+T29</f>
        <v>0</v>
      </c>
      <c r="U32" s="15"/>
      <c r="V32" s="23">
        <f>IF(T$12=0,0,T32/T$12)</f>
        <v>0</v>
      </c>
      <c r="W32" s="16"/>
      <c r="X32" s="22">
        <f>+P32-T32</f>
        <v>0</v>
      </c>
      <c r="Y32" s="16"/>
      <c r="Z32" s="23">
        <f>IF(T32=0,0,X32/T32)</f>
        <v>0</v>
      </c>
    </row>
    <row r="33" spans="1:26" ht="15" customHeight="1" x14ac:dyDescent="0.25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25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25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293</v>
      </c>
      <c r="C36" s="27"/>
      <c r="D36" s="35">
        <f>+D32-D34</f>
        <v>0</v>
      </c>
      <c r="E36" s="15"/>
      <c r="F36" s="30">
        <f>IF(D$12=0,0,D36/D$12)</f>
        <v>0</v>
      </c>
      <c r="G36" s="15"/>
      <c r="H36" s="35">
        <f>+H32-H34</f>
        <v>0</v>
      </c>
      <c r="I36" s="15"/>
      <c r="J36" s="30">
        <f>IF(H$12=0,0,H36/H$12)</f>
        <v>0</v>
      </c>
      <c r="K36" s="16"/>
      <c r="L36" s="35">
        <f>D36-H36</f>
        <v>0</v>
      </c>
      <c r="M36" s="16"/>
      <c r="N36" s="30">
        <f>IF(H36=0,0,L36/H36)</f>
        <v>0</v>
      </c>
      <c r="O36" s="28"/>
      <c r="P36" s="35">
        <f>+P32-P34</f>
        <v>0</v>
      </c>
      <c r="Q36" s="15"/>
      <c r="R36" s="30">
        <f>IF(P$12=0,0,P36/P$12)</f>
        <v>0</v>
      </c>
      <c r="S36" s="15"/>
      <c r="T36" s="35">
        <f>+T32-T34</f>
        <v>0</v>
      </c>
      <c r="U36" s="15"/>
      <c r="V36" s="30">
        <f>IF(T$12=0,0,T36/T$12)</f>
        <v>0</v>
      </c>
      <c r="W36" s="16"/>
      <c r="X36" s="35">
        <f>P36-T36</f>
        <v>0</v>
      </c>
      <c r="Y36" s="16"/>
      <c r="Z36" s="30">
        <f>IF(T36=0,0,X36/T36)</f>
        <v>0</v>
      </c>
    </row>
    <row r="37" spans="1:26" ht="15" customHeight="1" x14ac:dyDescent="0.25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25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25">
      <c r="A39" s="11"/>
      <c r="B39" s="27" t="s">
        <v>296</v>
      </c>
      <c r="C39" s="27"/>
      <c r="D39" s="32">
        <f>SUM(D36:D38)</f>
        <v>0</v>
      </c>
      <c r="E39" s="15"/>
      <c r="F39" s="34">
        <f>IF(D$12=0,0,D39/D$12)</f>
        <v>0</v>
      </c>
      <c r="G39" s="15"/>
      <c r="H39" s="32">
        <f>SUM(H36:H38)</f>
        <v>0</v>
      </c>
      <c r="I39" s="15"/>
      <c r="J39" s="34">
        <f>IF(H$12=0,0,H39/H$12)</f>
        <v>0</v>
      </c>
      <c r="K39" s="16"/>
      <c r="L39" s="32">
        <f>+D39-H39</f>
        <v>0</v>
      </c>
      <c r="M39" s="16"/>
      <c r="N39" s="34">
        <f>IF(H39=0,0,L39/H39)</f>
        <v>0</v>
      </c>
      <c r="O39" s="28"/>
      <c r="P39" s="32">
        <f>SUM(P36:P38)</f>
        <v>0</v>
      </c>
      <c r="Q39" s="15"/>
      <c r="R39" s="34">
        <f>IF(P$12=0,0,P39/P$12)</f>
        <v>0</v>
      </c>
      <c r="S39" s="15"/>
      <c r="T39" s="32">
        <f>SUM(T36:T38)</f>
        <v>0</v>
      </c>
      <c r="U39" s="15"/>
      <c r="V39" s="34">
        <f>IF(T$12=0,0,T39/T$12)</f>
        <v>0</v>
      </c>
      <c r="W39" s="16"/>
      <c r="X39" s="32">
        <f>+P39-T39</f>
        <v>0</v>
      </c>
      <c r="Y39" s="16"/>
      <c r="Z39" s="34">
        <f>IF(T39=0,0,X39/T39)</f>
        <v>0</v>
      </c>
    </row>
    <row r="40" spans="1:26" ht="15" customHeight="1" x14ac:dyDescent="0.25">
      <c r="A40" s="10"/>
      <c r="C40" s="10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A41" s="10"/>
      <c r="B41" s="50">
        <v>44727.879654085649</v>
      </c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25">
      <c r="A42" s="10"/>
      <c r="B42" s="53" t="s">
        <v>297</v>
      </c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  <row r="43" spans="1:26" ht="15" customHeight="1" x14ac:dyDescent="0.25">
      <c r="A43" s="10"/>
      <c r="B43" s="55"/>
      <c r="D43" s="18"/>
      <c r="E43" s="18"/>
      <c r="G43" s="18"/>
      <c r="H43" s="18"/>
      <c r="I43" s="18"/>
      <c r="J43" s="41"/>
      <c r="K43" s="18"/>
      <c r="L43" s="18"/>
      <c r="M43" s="18"/>
      <c r="P43" s="18"/>
      <c r="Q43" s="18"/>
      <c r="R43" s="41"/>
      <c r="S43" s="18"/>
      <c r="T43" s="18"/>
      <c r="U43" s="18"/>
      <c r="V43" s="41"/>
      <c r="W43" s="18"/>
      <c r="X43" s="18"/>
    </row>
    <row r="44" spans="1:26" ht="15" customHeight="1" x14ac:dyDescent="0.25">
      <c r="D44" s="18"/>
      <c r="E44" s="18"/>
      <c r="G44" s="18"/>
      <c r="H44" s="18"/>
      <c r="I44" s="18"/>
      <c r="J44" s="41"/>
      <c r="K44" s="18"/>
      <c r="L44" s="18"/>
      <c r="M44" s="18"/>
      <c r="P44" s="18"/>
      <c r="Q44" s="18"/>
      <c r="R44" s="41"/>
      <c r="S44" s="18"/>
      <c r="T44" s="18"/>
      <c r="U44" s="18"/>
      <c r="V44" s="41"/>
      <c r="W44" s="18"/>
      <c r="X4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267D3-7EE8-B08F-D4E3-8B1AEC0EF464}">
  <sheetPr>
    <tabColor rgb="FFFFFF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303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86419.26</v>
      </c>
      <c r="E12" s="5"/>
      <c r="F12" s="13"/>
      <c r="G12" s="5"/>
      <c r="H12" s="5">
        <f>SUM(OSRRefH13x_0)</f>
        <v>4</v>
      </c>
      <c r="I12" s="5"/>
      <c r="J12" s="13"/>
      <c r="K12" s="5"/>
      <c r="L12" s="5">
        <f t="shared" ref="L12:L23" si="0">+D12-H12</f>
        <v>86415.26</v>
      </c>
      <c r="M12" s="5"/>
      <c r="N12" s="13">
        <f t="shared" ref="N12:N23" si="1">IF(H12=0,0,L12/H12)</f>
        <v>21603.814999999999</v>
      </c>
      <c r="O12" s="11"/>
      <c r="P12" s="5">
        <f>SUM(OSRRefP13x_0)</f>
        <v>497963.9</v>
      </c>
      <c r="Q12" s="5"/>
      <c r="R12" s="13"/>
      <c r="S12" s="5"/>
      <c r="T12" s="5">
        <f>SUM(OSRRefT13x_0)</f>
        <v>2876.92</v>
      </c>
      <c r="U12" s="5"/>
      <c r="V12" s="13"/>
      <c r="W12" s="5"/>
      <c r="X12" s="5">
        <f t="shared" ref="X12:X23" si="2">+P12-T12</f>
        <v>495086.98000000004</v>
      </c>
      <c r="Y12" s="5"/>
      <c r="Z12" s="13">
        <f t="shared" ref="Z12:Z23" si="3">IF(T12=0,0,X12/T12)</f>
        <v>172.0892412719158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--13320.29</f>
        <v>13320.29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13320.29</v>
      </c>
      <c r="M13" s="3"/>
      <c r="N13" s="20">
        <f t="shared" si="1"/>
        <v>0</v>
      </c>
      <c r="O13" s="12"/>
      <c r="P13" s="3">
        <f>--75732.04</f>
        <v>75732.039999999994</v>
      </c>
      <c r="Q13" s="3"/>
      <c r="R13" s="20"/>
      <c r="S13" s="3"/>
      <c r="T13" s="3">
        <f>0</f>
        <v>0</v>
      </c>
      <c r="U13" s="3"/>
      <c r="V13" s="20"/>
      <c r="W13" s="3"/>
      <c r="X13" s="3">
        <f t="shared" si="2"/>
        <v>75732.039999999994</v>
      </c>
      <c r="Y13" s="3"/>
      <c r="Z13" s="20">
        <f t="shared" si="3"/>
        <v>0</v>
      </c>
    </row>
    <row r="14" spans="1:26" s="69" customFormat="1" ht="15" hidden="1" customHeight="1" outlineLevel="1" x14ac:dyDescent="0.25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 t="shared" si="2"/>
        <v>-444.59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","4034"," - ","TAXABLE SALES-SODA")</f>
        <v xml:space="preserve">          4034 - 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69" customFormat="1" ht="15" hidden="1" customHeight="1" outlineLevel="1" x14ac:dyDescent="0.25">
      <c r="A16" s="42"/>
      <c r="B16" s="12" t="str">
        <f>CONCATENATE("          ","4051"," - ","TAXABLE SALES-FOOD")</f>
        <v xml:space="preserve">          4051 - 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--25.17</f>
        <v>25.17</v>
      </c>
      <c r="Q16" s="3"/>
      <c r="R16" s="20"/>
      <c r="S16" s="3"/>
      <c r="T16" s="3">
        <f>0</f>
        <v>0</v>
      </c>
      <c r="U16" s="3"/>
      <c r="V16" s="20"/>
      <c r="W16" s="3"/>
      <c r="X16" s="3">
        <f t="shared" si="2"/>
        <v>25.17</v>
      </c>
      <c r="Y16" s="3"/>
      <c r="Z16" s="20">
        <f t="shared" si="3"/>
        <v>0</v>
      </c>
    </row>
    <row r="17" spans="1:26" s="69" customFormat="1" ht="15" hidden="1" customHeight="1" outlineLevel="1" x14ac:dyDescent="0.25">
      <c r="A17" s="42"/>
      <c r="B17" s="12" t="str">
        <f>CONCATENATE("          ","4053"," - ","TAXABLE SALES-FOOD")</f>
        <v xml:space="preserve">          4053 - TAXABLE SALES-FOOD</v>
      </c>
      <c r="C17" s="12"/>
      <c r="D17" s="3">
        <f>--275.74</f>
        <v>275.74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275.74</v>
      </c>
      <c r="M17" s="3"/>
      <c r="N17" s="20">
        <f t="shared" si="1"/>
        <v>0</v>
      </c>
      <c r="O17" s="12"/>
      <c r="P17" s="3">
        <f>--1827.05</f>
        <v>1827.05</v>
      </c>
      <c r="Q17" s="3"/>
      <c r="R17" s="20"/>
      <c r="S17" s="3"/>
      <c r="T17" s="3">
        <f>0</f>
        <v>0</v>
      </c>
      <c r="U17" s="3"/>
      <c r="V17" s="20"/>
      <c r="W17" s="3"/>
      <c r="X17" s="3">
        <f t="shared" si="2"/>
        <v>1827.05</v>
      </c>
      <c r="Y17" s="3"/>
      <c r="Z17" s="20">
        <f t="shared" si="3"/>
        <v>0</v>
      </c>
    </row>
    <row r="18" spans="1:26" s="69" customFormat="1" ht="15" hidden="1" customHeight="1" outlineLevel="1" x14ac:dyDescent="0.25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--72823.23</f>
        <v>72823.23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72823.23</v>
      </c>
      <c r="M18" s="3"/>
      <c r="N18" s="20">
        <f t="shared" si="1"/>
        <v>0</v>
      </c>
      <c r="O18" s="12"/>
      <c r="P18" s="3">
        <f>--420173.32</f>
        <v>420173.32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420173.32</v>
      </c>
      <c r="Y18" s="3"/>
      <c r="Z18" s="20">
        <f t="shared" si="3"/>
        <v>0</v>
      </c>
    </row>
    <row r="19" spans="1:26" s="69" customFormat="1" ht="15" hidden="1" customHeight="1" outlineLevel="1" x14ac:dyDescent="0.25">
      <c r="A19" s="42"/>
      <c r="B19" s="12" t="str">
        <f>CONCATENATE("          ","4132"," - ","NON-TAXABLE SALES-JUICE")</f>
        <v xml:space="preserve">          4132 - NON-TAXABLE SALES-JUICE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--2031.88</f>
        <v>2031.88</v>
      </c>
      <c r="U19" s="3"/>
      <c r="V19" s="20"/>
      <c r="W19" s="3"/>
      <c r="X19" s="3">
        <f t="shared" si="2"/>
        <v>-2031.88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","4134"," - ","NON-TAXABLE SALES-SODA")</f>
        <v xml:space="preserve">          4134 - NON-TAXABLE SALES-SODA</v>
      </c>
      <c r="C20" s="12"/>
      <c r="D20" s="3">
        <f>0</f>
        <v>0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0</v>
      </c>
      <c r="Y20" s="3"/>
      <c r="Z20" s="20">
        <f t="shared" si="3"/>
        <v>0</v>
      </c>
    </row>
    <row r="21" spans="1:26" s="69" customFormat="1" ht="15" hidden="1" customHeight="1" outlineLevel="1" x14ac:dyDescent="0.25">
      <c r="A21" s="42"/>
      <c r="B21" s="12" t="str">
        <f>CONCATENATE("          ","4137"," - ","NON-TAXABLE SALES-WATER")</f>
        <v xml:space="preserve">          4137 - NON-TAXABLE SALES-WATER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0</v>
      </c>
      <c r="Y21" s="3"/>
      <c r="Z21" s="20">
        <f t="shared" si="3"/>
        <v>0</v>
      </c>
    </row>
    <row r="22" spans="1:26" s="69" customFormat="1" ht="15" hidden="1" customHeight="1" outlineLevel="1" x14ac:dyDescent="0.25">
      <c r="A22" s="42"/>
      <c r="B22" s="12" t="str">
        <f>CONCATENATE("          ","4151"," - ","NON-TAXABLE SALES-FOOD")</f>
        <v xml:space="preserve">          4151 - NON-TAXABLE SALES-FOOD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--206.32</f>
        <v>206.32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206.32</v>
      </c>
      <c r="Y22" s="3"/>
      <c r="Z22" s="20">
        <f t="shared" si="3"/>
        <v>0</v>
      </c>
    </row>
    <row r="23" spans="1:26" s="69" customFormat="1" ht="15" hidden="1" customHeight="1" outlineLevel="1" x14ac:dyDescent="0.25">
      <c r="A23" s="42"/>
      <c r="B23" s="12" t="str">
        <f>CONCATENATE("          ","4153"," - ","NON-TAXABLE SALES-FOOD")</f>
        <v xml:space="preserve">          4153 - NON-TAXABLE SALES-FOOD</v>
      </c>
      <c r="C23" s="12"/>
      <c r="D23" s="3">
        <f>0</f>
        <v>0</v>
      </c>
      <c r="E23" s="3"/>
      <c r="F23" s="20"/>
      <c r="G23" s="3"/>
      <c r="H23" s="3">
        <f>--4</f>
        <v>4</v>
      </c>
      <c r="I23" s="3"/>
      <c r="J23" s="20"/>
      <c r="K23" s="3"/>
      <c r="L23" s="3">
        <f t="shared" si="0"/>
        <v>-4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--400.45</f>
        <v>400.45</v>
      </c>
      <c r="U23" s="3"/>
      <c r="V23" s="20"/>
      <c r="W23" s="3"/>
      <c r="X23" s="3">
        <f t="shared" si="2"/>
        <v>-400.45</v>
      </c>
      <c r="Y23" s="3"/>
      <c r="Z23" s="20">
        <f t="shared" si="3"/>
        <v>-1</v>
      </c>
    </row>
    <row r="24" spans="1:26" ht="15" customHeight="1" x14ac:dyDescent="0.25">
      <c r="A24" s="10"/>
      <c r="B24" s="11"/>
      <c r="C24" s="10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2" customFormat="1" ht="15" customHeight="1" collapsed="1" x14ac:dyDescent="0.25">
      <c r="A25" s="11"/>
      <c r="B25" s="28" t="s">
        <v>287</v>
      </c>
      <c r="C25" s="11"/>
      <c r="D25" s="5">
        <f>SUM(OSRRefD16x_0)</f>
        <v>38092</v>
      </c>
      <c r="E25" s="5"/>
      <c r="F25" s="13">
        <f>IF(D$12=0,0,D25/D$12)</f>
        <v>0.44078137211542895</v>
      </c>
      <c r="G25" s="5"/>
      <c r="H25" s="5">
        <f>SUM(OSRRefH16x_0)</f>
        <v>-29</v>
      </c>
      <c r="I25" s="5"/>
      <c r="J25" s="13">
        <f>IF(H$12=0,0,H25/H$12)</f>
        <v>-7.25</v>
      </c>
      <c r="K25" s="5"/>
      <c r="L25" s="5">
        <f>+D25-H25</f>
        <v>38121</v>
      </c>
      <c r="M25" s="5"/>
      <c r="N25" s="13">
        <f>IF(H25=0,0,L25/H25)</f>
        <v>-1314.5172413793102</v>
      </c>
      <c r="O25" s="11"/>
      <c r="P25" s="5">
        <f>SUM(OSRRefP16x_0)</f>
        <v>226016.95</v>
      </c>
      <c r="Q25" s="5"/>
      <c r="R25" s="13">
        <f>IF(P$12=0,0,P25/P$12)</f>
        <v>0.45388219909113892</v>
      </c>
      <c r="S25" s="5"/>
      <c r="T25" s="5">
        <f>SUM(OSRRefT16x_0)</f>
        <v>28390.84</v>
      </c>
      <c r="U25" s="5"/>
      <c r="V25" s="13">
        <f>IF(T$12=0,0,T25/T$12)</f>
        <v>9.868484351320161</v>
      </c>
      <c r="W25" s="5"/>
      <c r="X25" s="5">
        <f>+P25-T25</f>
        <v>197626.11000000002</v>
      </c>
      <c r="Y25" s="5"/>
      <c r="Z25" s="13">
        <f>IF(T25=0,0,X25/T25)</f>
        <v>6.9609109839652517</v>
      </c>
    </row>
    <row r="26" spans="1:26" s="69" customFormat="1" ht="15" hidden="1" customHeight="1" outlineLevel="1" x14ac:dyDescent="0.25">
      <c r="A26" s="42"/>
      <c r="B26" s="12" t="str">
        <f>CONCATENATE("          ","5000"," - ","PURCHASES @ COST")</f>
        <v xml:space="preserve">          5000 - PURCHASES @ COST</v>
      </c>
      <c r="C26" s="12"/>
      <c r="D26" s="3">
        <v>0</v>
      </c>
      <c r="E26" s="3"/>
      <c r="F26" s="20">
        <f>IF(D$12=0,0,D26/D$12)</f>
        <v>0</v>
      </c>
      <c r="G26" s="3"/>
      <c r="H26" s="3"/>
      <c r="I26" s="3"/>
      <c r="J26" s="20">
        <f>IF(H$12=0,0,H26/H$12)</f>
        <v>0</v>
      </c>
      <c r="K26" s="3"/>
      <c r="L26" s="3">
        <f>+D26-H26</f>
        <v>0</v>
      </c>
      <c r="M26" s="3"/>
      <c r="N26" s="20">
        <f>IF(H26=0,0,L26/H26)</f>
        <v>0</v>
      </c>
      <c r="O26" s="12"/>
      <c r="P26" s="3">
        <v>-8062</v>
      </c>
      <c r="Q26" s="3"/>
      <c r="R26" s="20">
        <f>IF(P$12=0,0,P26/P$12)</f>
        <v>-1.6189928627356319E-2</v>
      </c>
      <c r="S26" s="3"/>
      <c r="T26" s="3"/>
      <c r="U26" s="3"/>
      <c r="V26" s="20">
        <f>IF(T$12=0,0,T26/T$12)</f>
        <v>0</v>
      </c>
      <c r="W26" s="3"/>
      <c r="X26" s="3">
        <f>+P26-T26</f>
        <v>-8062</v>
      </c>
      <c r="Y26" s="3"/>
      <c r="Z26" s="20">
        <f>IF(T26=0,0,X26/T26)</f>
        <v>0</v>
      </c>
    </row>
    <row r="27" spans="1:26" s="69" customFormat="1" ht="15" hidden="1" customHeight="1" outlineLevel="1" x14ac:dyDescent="0.25">
      <c r="A27" s="42"/>
      <c r="B27" s="12" t="str">
        <f>CONCATENATE("          ","5053"," - ","PURCHASES @ COST-FOOD")</f>
        <v xml:space="preserve">          5053 - PURCHASES @ COST-FOOD</v>
      </c>
      <c r="C27" s="12"/>
      <c r="D27" s="3">
        <v>18738.490000000002</v>
      </c>
      <c r="E27" s="3"/>
      <c r="F27" s="20">
        <f>IF(D$12=0,0,D27/D$12)</f>
        <v>0.21683233575478433</v>
      </c>
      <c r="G27" s="3"/>
      <c r="H27" s="3">
        <v>-29</v>
      </c>
      <c r="I27" s="3"/>
      <c r="J27" s="20">
        <f>IF(H$12=0,0,H27/H$12)</f>
        <v>-7.25</v>
      </c>
      <c r="K27" s="3"/>
      <c r="L27" s="3">
        <f>+D27-H27</f>
        <v>18767.490000000002</v>
      </c>
      <c r="M27" s="3"/>
      <c r="N27" s="20">
        <f>IF(H27=0,0,L27/H27)</f>
        <v>-647.15482758620692</v>
      </c>
      <c r="O27" s="12"/>
      <c r="P27" s="3">
        <v>47142.63</v>
      </c>
      <c r="Q27" s="3"/>
      <c r="R27" s="20">
        <f>IF(P$12=0,0,P27/P$12)</f>
        <v>9.4670778343570683E-2</v>
      </c>
      <c r="S27" s="3"/>
      <c r="T27" s="3">
        <v>-2499.15</v>
      </c>
      <c r="U27" s="3"/>
      <c r="V27" s="20">
        <f>IF(T$12=0,0,T27/T$12)</f>
        <v>-0.86868943175340296</v>
      </c>
      <c r="W27" s="3"/>
      <c r="X27" s="3">
        <f>+P27-T27</f>
        <v>49641.78</v>
      </c>
      <c r="Y27" s="3"/>
      <c r="Z27" s="20">
        <f>IF(T27=0,0,X27/T27)</f>
        <v>-19.863465578296619</v>
      </c>
    </row>
    <row r="28" spans="1:26" s="69" customFormat="1" ht="15" hidden="1" customHeight="1" outlineLevel="1" x14ac:dyDescent="0.25">
      <c r="A28" s="42"/>
      <c r="B28" s="12" t="str">
        <f>CONCATENATE("          ","5059"," - ","PURCHASES @ COST-FOOD")</f>
        <v xml:space="preserve">          5059 - PURCHASES @ COST-FOOD</v>
      </c>
      <c r="C28" s="12"/>
      <c r="D28" s="3">
        <v>19353.509999999998</v>
      </c>
      <c r="E28" s="3"/>
      <c r="F28" s="20">
        <f>IF(D$12=0,0,D28/D$12)</f>
        <v>0.22394903636064459</v>
      </c>
      <c r="G28" s="3"/>
      <c r="H28" s="3"/>
      <c r="I28" s="3"/>
      <c r="J28" s="20">
        <f>IF(H$12=0,0,H28/H$12)</f>
        <v>0</v>
      </c>
      <c r="K28" s="3"/>
      <c r="L28" s="3">
        <f>+D28-H28</f>
        <v>19353.509999999998</v>
      </c>
      <c r="M28" s="3"/>
      <c r="N28" s="20">
        <f>IF(H28=0,0,L28/H28)</f>
        <v>0</v>
      </c>
      <c r="O28" s="12"/>
      <c r="P28" s="3">
        <v>186936.32000000001</v>
      </c>
      <c r="Q28" s="3"/>
      <c r="R28" s="20">
        <f>IF(P$12=0,0,P28/P$12)</f>
        <v>0.37540134937492459</v>
      </c>
      <c r="S28" s="3"/>
      <c r="T28" s="3">
        <v>30889.99</v>
      </c>
      <c r="U28" s="3"/>
      <c r="V28" s="20">
        <f>IF(T$12=0,0,T28/T$12)</f>
        <v>10.737173783073565</v>
      </c>
      <c r="W28" s="3"/>
      <c r="X28" s="3">
        <f>+P28-T28</f>
        <v>156046.33000000002</v>
      </c>
      <c r="Y28" s="3"/>
      <c r="Z28" s="20">
        <f>IF(T28=0,0,X28/T28)</f>
        <v>5.0516795246615489</v>
      </c>
    </row>
    <row r="29" spans="1:26" ht="15" customHeight="1" x14ac:dyDescent="0.25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25">
      <c r="A30" s="11"/>
      <c r="B30" s="27" t="s">
        <v>288</v>
      </c>
      <c r="C30" s="27"/>
      <c r="D30" s="22">
        <f>D12-D25</f>
        <v>48327.259999999995</v>
      </c>
      <c r="E30" s="15"/>
      <c r="F30" s="23">
        <f>IF(D$12=0,0,D30/D$12)</f>
        <v>0.55921862788457111</v>
      </c>
      <c r="G30" s="15"/>
      <c r="H30" s="22">
        <f>H12-H25</f>
        <v>33</v>
      </c>
      <c r="I30" s="15"/>
      <c r="J30" s="23">
        <f>IF(H$12=0,0,H30/H$12)</f>
        <v>8.25</v>
      </c>
      <c r="K30" s="16"/>
      <c r="L30" s="22">
        <f>+D30-H30</f>
        <v>48294.259999999995</v>
      </c>
      <c r="M30" s="16"/>
      <c r="N30" s="23">
        <f>IF(H30=0,0,L30/H30)</f>
        <v>1463.462424242424</v>
      </c>
      <c r="O30" s="28"/>
      <c r="P30" s="22">
        <f>P12-P25</f>
        <v>271946.95</v>
      </c>
      <c r="Q30" s="15"/>
      <c r="R30" s="23">
        <f>IF(P$12=0,0,P30/P$12)</f>
        <v>0.54611780090886108</v>
      </c>
      <c r="S30" s="15"/>
      <c r="T30" s="22">
        <f>T12-T25</f>
        <v>-25513.919999999998</v>
      </c>
      <c r="U30" s="15"/>
      <c r="V30" s="23">
        <f>IF(T$12=0,0,T30/T$12)</f>
        <v>-8.868484351320161</v>
      </c>
      <c r="W30" s="16"/>
      <c r="X30" s="22">
        <f>+P30-T30</f>
        <v>297460.87</v>
      </c>
      <c r="Y30" s="16"/>
      <c r="Z30" s="23">
        <f>IF(T30=0,0,X30/T30)</f>
        <v>-11.658767841241174</v>
      </c>
    </row>
    <row r="31" spans="1:26" ht="15" customHeight="1" x14ac:dyDescent="0.25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2" customFormat="1" ht="15" customHeight="1" x14ac:dyDescent="0.25">
      <c r="A32" s="11"/>
      <c r="B32" s="28" t="s">
        <v>289</v>
      </c>
      <c r="C32" s="11"/>
      <c r="D32" s="21" cm="1">
        <f t="array" ref="D32">SUM(OSRRefD22x_0)</f>
        <v>42842.140000000007</v>
      </c>
      <c r="E32" s="21"/>
      <c r="F32" s="31">
        <f t="shared" ref="F32:F63" si="4">IF(D$12=0,0,D32/D$12)</f>
        <v>0.49574759145125763</v>
      </c>
      <c r="G32" s="21"/>
      <c r="H32" s="21" cm="1">
        <f t="array" ref="H32">SUM(OSRRefH22x_0)</f>
        <v>14923.33</v>
      </c>
      <c r="I32" s="21"/>
      <c r="J32" s="31">
        <f t="shared" ref="J32:J63" si="5">IF(H$12=0,0,H32/H$12)</f>
        <v>3730.8325</v>
      </c>
      <c r="K32" s="5"/>
      <c r="L32" s="21">
        <f t="shared" ref="L32:L63" si="6">+D32-H32</f>
        <v>27918.810000000005</v>
      </c>
      <c r="M32" s="5"/>
      <c r="N32" s="31">
        <f t="shared" ref="N32:N63" si="7">IF(H32=0,0,L32/H32)</f>
        <v>1.8708163660523494</v>
      </c>
      <c r="O32" s="11"/>
      <c r="P32" s="21" cm="1">
        <f t="array" ref="P32">SUM(OSRRefP22x_0)</f>
        <v>370833.64000000013</v>
      </c>
      <c r="Q32" s="21"/>
      <c r="R32" s="31">
        <f t="shared" ref="R32:R63" si="8">IF(P$12=0,0,P32/P$12)</f>
        <v>0.74469984671579625</v>
      </c>
      <c r="S32" s="21"/>
      <c r="T32" s="21" cm="1">
        <f t="array" ref="T32">SUM(OSRRefT22x_0)</f>
        <v>248028.43000000002</v>
      </c>
      <c r="U32" s="21"/>
      <c r="V32" s="31">
        <f t="shared" ref="V32:V63" si="9">IF(T$12=0,0,T32/T$12)</f>
        <v>86.21318284832391</v>
      </c>
      <c r="W32" s="5"/>
      <c r="X32" s="21">
        <f t="shared" ref="X32:X63" si="10">+P32-T32</f>
        <v>122805.21000000011</v>
      </c>
      <c r="Y32" s="5"/>
      <c r="Z32" s="31">
        <f t="shared" ref="Z32:Z63" si="11">IF(T32=0,0,X32/T32)</f>
        <v>0.49512553863280956</v>
      </c>
    </row>
    <row r="33" spans="1:26" s="68" customFormat="1" ht="15" customHeight="1" outlineLevel="1" collapsed="1" x14ac:dyDescent="0.25">
      <c r="A33" s="26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6969.4500000000016</v>
      </c>
      <c r="E33" s="2"/>
      <c r="F33" s="6">
        <f t="shared" si="4"/>
        <v>8.0646953005614738E-2</v>
      </c>
      <c r="G33" s="2"/>
      <c r="H33" s="2">
        <f>SUM(OSRRefH22_0x_0)</f>
        <v>0</v>
      </c>
      <c r="I33" s="2"/>
      <c r="J33" s="6">
        <f t="shared" si="5"/>
        <v>0</v>
      </c>
      <c r="K33" s="2"/>
      <c r="L33" s="2">
        <f t="shared" si="6"/>
        <v>6969.4500000000016</v>
      </c>
      <c r="M33" s="2"/>
      <c r="N33" s="6">
        <f t="shared" si="7"/>
        <v>0</v>
      </c>
      <c r="O33" s="14"/>
      <c r="P33" s="2">
        <f>SUM(OSRRefP22_0x_0)</f>
        <v>37955.230000000003</v>
      </c>
      <c r="Q33" s="2"/>
      <c r="R33" s="6">
        <f t="shared" si="8"/>
        <v>7.6220846531244543E-2</v>
      </c>
      <c r="S33" s="2"/>
      <c r="T33" s="2">
        <f>SUM(OSRRefT22_0x_0)</f>
        <v>35025.26</v>
      </c>
      <c r="U33" s="2"/>
      <c r="V33" s="6">
        <f t="shared" si="9"/>
        <v>12.174568635902284</v>
      </c>
      <c r="W33" s="2"/>
      <c r="X33" s="2">
        <f t="shared" si="10"/>
        <v>2929.9700000000012</v>
      </c>
      <c r="Y33" s="2"/>
      <c r="Z33" s="6">
        <f t="shared" si="11"/>
        <v>8.3653054966615556E-2</v>
      </c>
    </row>
    <row r="34" spans="1:26" s="69" customFormat="1" ht="15" hidden="1" customHeight="1" outlineLevel="2" x14ac:dyDescent="0.25">
      <c r="A34" s="25"/>
      <c r="B34" s="12" t="str">
        <f>CONCATENATE("          ","6111"," - ","F.I.C.A.")</f>
        <v xml:space="preserve">          6111 - F.I.C.A.</v>
      </c>
      <c r="C34" s="12"/>
      <c r="D34" s="7">
        <v>1061.31</v>
      </c>
      <c r="E34" s="3"/>
      <c r="F34" s="8">
        <f t="shared" si="4"/>
        <v>1.2280942928694367E-2</v>
      </c>
      <c r="G34" s="3"/>
      <c r="H34" s="7"/>
      <c r="I34" s="3"/>
      <c r="J34" s="8">
        <f t="shared" si="5"/>
        <v>0</v>
      </c>
      <c r="K34" s="3"/>
      <c r="L34" s="7">
        <f t="shared" si="6"/>
        <v>1061.31</v>
      </c>
      <c r="M34" s="3"/>
      <c r="N34" s="8">
        <f t="shared" si="7"/>
        <v>0</v>
      </c>
      <c r="O34" s="12"/>
      <c r="P34" s="7">
        <v>7220.14</v>
      </c>
      <c r="Q34" s="3"/>
      <c r="R34" s="8">
        <f t="shared" si="8"/>
        <v>1.4499324147794649E-2</v>
      </c>
      <c r="S34" s="3"/>
      <c r="T34" s="7">
        <v>3909.68</v>
      </c>
      <c r="U34" s="3"/>
      <c r="V34" s="8">
        <f t="shared" si="9"/>
        <v>1.3589811326001418</v>
      </c>
      <c r="W34" s="3"/>
      <c r="X34" s="7">
        <f t="shared" si="10"/>
        <v>3310.4600000000005</v>
      </c>
      <c r="Y34" s="3"/>
      <c r="Z34" s="8">
        <f t="shared" si="11"/>
        <v>0.84673425958134696</v>
      </c>
    </row>
    <row r="35" spans="1:26" s="69" customFormat="1" ht="15" hidden="1" customHeight="1" outlineLevel="2" x14ac:dyDescent="0.25">
      <c r="A35" s="25"/>
      <c r="B35" s="12" t="str">
        <f>CONCATENATE("          ","6112"," - ","COMPENSATION INSURANCE")</f>
        <v xml:space="preserve">          6112 - COMPENSATION INSURANCE</v>
      </c>
      <c r="C35" s="12"/>
      <c r="D35" s="7">
        <v>554.01</v>
      </c>
      <c r="E35" s="3"/>
      <c r="F35" s="8">
        <f t="shared" si="4"/>
        <v>6.4107237206150573E-3</v>
      </c>
      <c r="G35" s="3"/>
      <c r="H35" s="7"/>
      <c r="I35" s="3"/>
      <c r="J35" s="8">
        <f t="shared" si="5"/>
        <v>0</v>
      </c>
      <c r="K35" s="3"/>
      <c r="L35" s="7">
        <f t="shared" si="6"/>
        <v>554.01</v>
      </c>
      <c r="M35" s="3"/>
      <c r="N35" s="8">
        <f t="shared" si="7"/>
        <v>0</v>
      </c>
      <c r="O35" s="12"/>
      <c r="P35" s="7">
        <v>2470.21</v>
      </c>
      <c r="Q35" s="3"/>
      <c r="R35" s="8">
        <f t="shared" si="8"/>
        <v>4.9606206393676324E-3</v>
      </c>
      <c r="S35" s="3"/>
      <c r="T35" s="7">
        <v>830.67</v>
      </c>
      <c r="U35" s="3"/>
      <c r="V35" s="8">
        <f t="shared" si="9"/>
        <v>0.2887358703057436</v>
      </c>
      <c r="W35" s="3"/>
      <c r="X35" s="7">
        <f t="shared" si="10"/>
        <v>1639.54</v>
      </c>
      <c r="Y35" s="3"/>
      <c r="Z35" s="8">
        <f t="shared" si="11"/>
        <v>1.9737561245741391</v>
      </c>
    </row>
    <row r="36" spans="1:26" s="69" customFormat="1" ht="15" hidden="1" customHeight="1" outlineLevel="2" x14ac:dyDescent="0.25">
      <c r="A36" s="25"/>
      <c r="B36" s="12" t="str">
        <f>CONCATENATE("          ","6113"," - ","GROUP INSURANCE")</f>
        <v xml:space="preserve">          6113 - GROUP INSURANCE</v>
      </c>
      <c r="C36" s="12"/>
      <c r="D36" s="7">
        <v>3036.65</v>
      </c>
      <c r="E36" s="3"/>
      <c r="F36" s="8">
        <f t="shared" si="4"/>
        <v>3.513857906212111E-2</v>
      </c>
      <c r="G36" s="3"/>
      <c r="H36" s="7"/>
      <c r="I36" s="3"/>
      <c r="J36" s="8">
        <f t="shared" si="5"/>
        <v>0</v>
      </c>
      <c r="K36" s="3"/>
      <c r="L36" s="7">
        <f t="shared" si="6"/>
        <v>3036.65</v>
      </c>
      <c r="M36" s="3"/>
      <c r="N36" s="8">
        <f t="shared" si="7"/>
        <v>0</v>
      </c>
      <c r="O36" s="12"/>
      <c r="P36" s="7">
        <v>15217.09</v>
      </c>
      <c r="Q36" s="3"/>
      <c r="R36" s="8">
        <f t="shared" si="8"/>
        <v>3.0558620815685635E-2</v>
      </c>
      <c r="S36" s="3"/>
      <c r="T36" s="7">
        <v>18067.72</v>
      </c>
      <c r="U36" s="3"/>
      <c r="V36" s="8">
        <f t="shared" si="9"/>
        <v>6.2802302462355577</v>
      </c>
      <c r="W36" s="3"/>
      <c r="X36" s="7">
        <f t="shared" si="10"/>
        <v>-2850.630000000001</v>
      </c>
      <c r="Y36" s="3"/>
      <c r="Z36" s="8">
        <f t="shared" si="11"/>
        <v>-0.15777474966404179</v>
      </c>
    </row>
    <row r="37" spans="1:26" s="69" customFormat="1" ht="15" hidden="1" customHeight="1" outlineLevel="2" x14ac:dyDescent="0.25">
      <c r="A37" s="25"/>
      <c r="B37" s="12" t="str">
        <f>CONCATENATE("          ","6114"," - ","STATE UNEMPLOYMENT INSURANCE")</f>
        <v xml:space="preserve">          6114 - STATE UNEMPLOYMENT INSURANCE</v>
      </c>
      <c r="C37" s="12"/>
      <c r="D37" s="7">
        <v>97.33</v>
      </c>
      <c r="E37" s="3"/>
      <c r="F37" s="8">
        <f t="shared" si="4"/>
        <v>1.1262535689382206E-3</v>
      </c>
      <c r="G37" s="3"/>
      <c r="H37" s="7"/>
      <c r="I37" s="3"/>
      <c r="J37" s="8">
        <f t="shared" si="5"/>
        <v>0</v>
      </c>
      <c r="K37" s="3"/>
      <c r="L37" s="7">
        <f t="shared" si="6"/>
        <v>97.33</v>
      </c>
      <c r="M37" s="3"/>
      <c r="N37" s="8">
        <f t="shared" si="7"/>
        <v>0</v>
      </c>
      <c r="O37" s="12"/>
      <c r="P37" s="7">
        <v>411.54</v>
      </c>
      <c r="Q37" s="3"/>
      <c r="R37" s="8">
        <f t="shared" si="8"/>
        <v>8.2644545116623911E-4</v>
      </c>
      <c r="S37" s="3"/>
      <c r="T37" s="7">
        <v>132.15</v>
      </c>
      <c r="U37" s="3"/>
      <c r="V37" s="8">
        <f t="shared" si="9"/>
        <v>4.5934541106461078E-2</v>
      </c>
      <c r="W37" s="3"/>
      <c r="X37" s="7">
        <f t="shared" si="10"/>
        <v>279.39</v>
      </c>
      <c r="Y37" s="3"/>
      <c r="Z37" s="8">
        <f t="shared" si="11"/>
        <v>2.1141884222474459</v>
      </c>
    </row>
    <row r="38" spans="1:26" s="69" customFormat="1" ht="15" hidden="1" customHeight="1" outlineLevel="2" x14ac:dyDescent="0.25">
      <c r="A38" s="25"/>
      <c r="B38" s="12" t="str">
        <f>CONCATENATE("          ","6115"," - ","P.E.R.S.")</f>
        <v xml:space="preserve">          6115 - P.E.R.S.</v>
      </c>
      <c r="C38" s="12"/>
      <c r="D38" s="7">
        <v>548.17999999999995</v>
      </c>
      <c r="E38" s="3"/>
      <c r="F38" s="8">
        <f t="shared" si="4"/>
        <v>6.3432619071257957E-3</v>
      </c>
      <c r="G38" s="3"/>
      <c r="H38" s="7"/>
      <c r="I38" s="3"/>
      <c r="J38" s="8">
        <f t="shared" si="5"/>
        <v>0</v>
      </c>
      <c r="K38" s="3"/>
      <c r="L38" s="7">
        <f t="shared" si="6"/>
        <v>548.17999999999995</v>
      </c>
      <c r="M38" s="3"/>
      <c r="N38" s="8">
        <f t="shared" si="7"/>
        <v>0</v>
      </c>
      <c r="O38" s="12"/>
      <c r="P38" s="7">
        <v>2987.59</v>
      </c>
      <c r="Q38" s="3"/>
      <c r="R38" s="8">
        <f t="shared" si="8"/>
        <v>5.9996116184325814E-3</v>
      </c>
      <c r="S38" s="3"/>
      <c r="T38" s="7">
        <v>5525.49</v>
      </c>
      <c r="U38" s="3"/>
      <c r="V38" s="8">
        <f t="shared" si="9"/>
        <v>1.9206269204565993</v>
      </c>
      <c r="W38" s="3"/>
      <c r="X38" s="7">
        <f t="shared" si="10"/>
        <v>-2537.8999999999996</v>
      </c>
      <c r="Y38" s="3"/>
      <c r="Z38" s="8">
        <f t="shared" si="11"/>
        <v>-0.45930768130971183</v>
      </c>
    </row>
    <row r="39" spans="1:26" s="69" customFormat="1" ht="15" hidden="1" customHeight="1" outlineLevel="2" x14ac:dyDescent="0.25">
      <c r="A39" s="25"/>
      <c r="B39" s="12" t="str">
        <f>CONCATENATE("          ","6117"," - ","RETIREMENT STAFF HOURLY")</f>
        <v xml:space="preserve">          6117 - RETIREMENT STAFF HOURLY</v>
      </c>
      <c r="C39" s="12"/>
      <c r="D39" s="7">
        <v>211.83</v>
      </c>
      <c r="E39" s="3"/>
      <c r="F39" s="8">
        <f t="shared" si="4"/>
        <v>2.4511897000738035E-3</v>
      </c>
      <c r="G39" s="3"/>
      <c r="H39" s="7"/>
      <c r="I39" s="3"/>
      <c r="J39" s="8">
        <f t="shared" si="5"/>
        <v>0</v>
      </c>
      <c r="K39" s="3"/>
      <c r="L39" s="7">
        <f t="shared" si="6"/>
        <v>211.83</v>
      </c>
      <c r="M39" s="3"/>
      <c r="N39" s="8">
        <f t="shared" si="7"/>
        <v>0</v>
      </c>
      <c r="O39" s="12"/>
      <c r="P39" s="7">
        <v>1180.49</v>
      </c>
      <c r="Q39" s="3"/>
      <c r="R39" s="8">
        <f t="shared" si="8"/>
        <v>2.3706336945308686E-3</v>
      </c>
      <c r="S39" s="3"/>
      <c r="T39" s="7"/>
      <c r="U39" s="3"/>
      <c r="V39" s="8">
        <f t="shared" si="9"/>
        <v>0</v>
      </c>
      <c r="W39" s="3"/>
      <c r="X39" s="7">
        <f t="shared" si="10"/>
        <v>1180.49</v>
      </c>
      <c r="Y39" s="3"/>
      <c r="Z39" s="8">
        <f t="shared" si="11"/>
        <v>0</v>
      </c>
    </row>
    <row r="40" spans="1:26" s="69" customFormat="1" ht="15" hidden="1" customHeight="1" outlineLevel="2" x14ac:dyDescent="0.25">
      <c r="A40" s="25"/>
      <c r="B40" s="12" t="str">
        <f>CONCATENATE("          ","6118"," - ","VACATION")</f>
        <v xml:space="preserve">          6118 - VACATION</v>
      </c>
      <c r="C40" s="12"/>
      <c r="D40" s="7">
        <v>570.1</v>
      </c>
      <c r="E40" s="3"/>
      <c r="F40" s="8">
        <f t="shared" si="4"/>
        <v>6.5969090686497436E-3</v>
      </c>
      <c r="G40" s="3"/>
      <c r="H40" s="7"/>
      <c r="I40" s="3"/>
      <c r="J40" s="8">
        <f t="shared" si="5"/>
        <v>0</v>
      </c>
      <c r="K40" s="3"/>
      <c r="L40" s="7">
        <f t="shared" si="6"/>
        <v>570.1</v>
      </c>
      <c r="M40" s="3"/>
      <c r="N40" s="8">
        <f t="shared" si="7"/>
        <v>0</v>
      </c>
      <c r="O40" s="12"/>
      <c r="P40" s="7">
        <v>3207.52</v>
      </c>
      <c r="Q40" s="3"/>
      <c r="R40" s="8">
        <f t="shared" si="8"/>
        <v>6.4412701402651873E-3</v>
      </c>
      <c r="S40" s="3"/>
      <c r="T40" s="7">
        <v>3386</v>
      </c>
      <c r="U40" s="3"/>
      <c r="V40" s="8">
        <f t="shared" si="9"/>
        <v>1.1769531304311556</v>
      </c>
      <c r="W40" s="3"/>
      <c r="X40" s="7">
        <f t="shared" si="10"/>
        <v>-178.48000000000002</v>
      </c>
      <c r="Y40" s="3"/>
      <c r="Z40" s="8">
        <f t="shared" si="11"/>
        <v>-5.2711163614884822E-2</v>
      </c>
    </row>
    <row r="41" spans="1:26" s="69" customFormat="1" ht="15" hidden="1" customHeight="1" outlineLevel="2" x14ac:dyDescent="0.25">
      <c r="A41" s="25"/>
      <c r="B41" s="12" t="str">
        <f>CONCATENATE("          ","6119"," - ","SICK LEAVE")</f>
        <v xml:space="preserve">          6119 - SICK LEAVE</v>
      </c>
      <c r="C41" s="12"/>
      <c r="D41" s="7">
        <v>427.98</v>
      </c>
      <c r="E41" s="3"/>
      <c r="F41" s="8">
        <f t="shared" si="4"/>
        <v>4.9523682567983113E-3</v>
      </c>
      <c r="G41" s="3"/>
      <c r="H41" s="7"/>
      <c r="I41" s="3"/>
      <c r="J41" s="8">
        <f t="shared" si="5"/>
        <v>0</v>
      </c>
      <c r="K41" s="3"/>
      <c r="L41" s="7">
        <f t="shared" si="6"/>
        <v>427.98</v>
      </c>
      <c r="M41" s="3"/>
      <c r="N41" s="8">
        <f t="shared" si="7"/>
        <v>0</v>
      </c>
      <c r="O41" s="12"/>
      <c r="P41" s="7">
        <v>2647.26</v>
      </c>
      <c r="Q41" s="3"/>
      <c r="R41" s="8">
        <f t="shared" si="8"/>
        <v>5.3161685013712844E-3</v>
      </c>
      <c r="S41" s="3"/>
      <c r="T41" s="7">
        <v>2447.1799999999998</v>
      </c>
      <c r="U41" s="3"/>
      <c r="V41" s="8">
        <f t="shared" si="9"/>
        <v>0.85062497393045333</v>
      </c>
      <c r="W41" s="3"/>
      <c r="X41" s="7">
        <f t="shared" si="10"/>
        <v>200.08000000000038</v>
      </c>
      <c r="Y41" s="3"/>
      <c r="Z41" s="8">
        <f t="shared" si="11"/>
        <v>8.1759412875227977E-2</v>
      </c>
    </row>
    <row r="42" spans="1:26" s="69" customFormat="1" ht="15" hidden="1" customHeight="1" outlineLevel="2" x14ac:dyDescent="0.25">
      <c r="A42" s="25"/>
      <c r="B42" s="12" t="str">
        <f>CONCATENATE("          ","6156"," - ","EMPLOYEE MEALS")</f>
        <v xml:space="preserve">          6156 - EMPLOYEE MEALS</v>
      </c>
      <c r="C42" s="12"/>
      <c r="D42" s="7">
        <v>462.06</v>
      </c>
      <c r="E42" s="3"/>
      <c r="F42" s="8">
        <f t="shared" si="4"/>
        <v>5.3467247925983166E-3</v>
      </c>
      <c r="G42" s="3"/>
      <c r="H42" s="7"/>
      <c r="I42" s="3"/>
      <c r="J42" s="8">
        <f t="shared" si="5"/>
        <v>0</v>
      </c>
      <c r="K42" s="3"/>
      <c r="L42" s="7">
        <f t="shared" si="6"/>
        <v>462.06</v>
      </c>
      <c r="M42" s="3"/>
      <c r="N42" s="8">
        <f t="shared" si="7"/>
        <v>0</v>
      </c>
      <c r="O42" s="12"/>
      <c r="P42" s="7">
        <v>2613.39</v>
      </c>
      <c r="Q42" s="3"/>
      <c r="R42" s="8">
        <f t="shared" si="8"/>
        <v>5.2481515226304549E-3</v>
      </c>
      <c r="S42" s="3"/>
      <c r="T42" s="7">
        <v>726.37</v>
      </c>
      <c r="U42" s="3"/>
      <c r="V42" s="8">
        <f t="shared" si="9"/>
        <v>0.25248182083617199</v>
      </c>
      <c r="W42" s="3"/>
      <c r="X42" s="7">
        <f t="shared" si="10"/>
        <v>1887.02</v>
      </c>
      <c r="Y42" s="3"/>
      <c r="Z42" s="8">
        <f t="shared" si="11"/>
        <v>2.5978771149689552</v>
      </c>
    </row>
    <row r="43" spans="1:26" s="68" customFormat="1" ht="15" customHeight="1" outlineLevel="1" collapsed="1" x14ac:dyDescent="0.25">
      <c r="A43" s="26"/>
      <c r="B43" s="14" t="str">
        <f>CONCATENATE("     ","*Payroll                                          ")</f>
        <v xml:space="preserve">     *Payroll                                          </v>
      </c>
      <c r="C43" s="14"/>
      <c r="D43" s="2">
        <f>SUM(OSRRefD22_1x_0)</f>
        <v>20846.270000000004</v>
      </c>
      <c r="E43" s="2"/>
      <c r="F43" s="6">
        <f t="shared" si="4"/>
        <v>0.24122250063238224</v>
      </c>
      <c r="G43" s="2"/>
      <c r="H43" s="2">
        <f>SUM(OSRRefH22_1x_0)</f>
        <v>0</v>
      </c>
      <c r="I43" s="2"/>
      <c r="J43" s="6">
        <f t="shared" si="5"/>
        <v>0</v>
      </c>
      <c r="K43" s="2"/>
      <c r="L43" s="2">
        <f t="shared" si="6"/>
        <v>20846.270000000004</v>
      </c>
      <c r="M43" s="2"/>
      <c r="N43" s="6">
        <f t="shared" si="7"/>
        <v>0</v>
      </c>
      <c r="O43" s="14"/>
      <c r="P43" s="2">
        <f>SUM(OSRRefP22_1x_0)</f>
        <v>154803.63999999998</v>
      </c>
      <c r="Q43" s="2"/>
      <c r="R43" s="6">
        <f t="shared" si="8"/>
        <v>0.31087321791800565</v>
      </c>
      <c r="S43" s="2"/>
      <c r="T43" s="2">
        <f>SUM(OSRRefT22_1x_0)</f>
        <v>41960.38</v>
      </c>
      <c r="U43" s="2"/>
      <c r="V43" s="6">
        <f t="shared" si="9"/>
        <v>14.585174422646441</v>
      </c>
      <c r="W43" s="2"/>
      <c r="X43" s="2">
        <f t="shared" si="10"/>
        <v>112843.25999999998</v>
      </c>
      <c r="Y43" s="2"/>
      <c r="Z43" s="6">
        <f t="shared" si="11"/>
        <v>2.689281174288698</v>
      </c>
    </row>
    <row r="44" spans="1:26" s="69" customFormat="1" ht="15" hidden="1" customHeight="1" outlineLevel="2" x14ac:dyDescent="0.25">
      <c r="A44" s="25"/>
      <c r="B44" s="12" t="str">
        <f>CONCATENATE("          ","6002"," - ","STAFF SALARIES")</f>
        <v xml:space="preserve">          6002 - STAFF SALARIES</v>
      </c>
      <c r="C44" s="12"/>
      <c r="D44" s="7">
        <v>4786.54</v>
      </c>
      <c r="E44" s="3"/>
      <c r="F44" s="8">
        <f t="shared" si="4"/>
        <v>5.5387421739089185E-2</v>
      </c>
      <c r="G44" s="3"/>
      <c r="H44" s="7"/>
      <c r="I44" s="3"/>
      <c r="J44" s="8">
        <f t="shared" si="5"/>
        <v>0</v>
      </c>
      <c r="K44" s="3"/>
      <c r="L44" s="7">
        <f t="shared" si="6"/>
        <v>4786.54</v>
      </c>
      <c r="M44" s="3"/>
      <c r="N44" s="8">
        <f t="shared" si="7"/>
        <v>0</v>
      </c>
      <c r="O44" s="12"/>
      <c r="P44" s="7">
        <v>25948.080000000002</v>
      </c>
      <c r="Q44" s="3"/>
      <c r="R44" s="8">
        <f t="shared" si="8"/>
        <v>5.2108355645861075E-2</v>
      </c>
      <c r="S44" s="3"/>
      <c r="T44" s="7">
        <v>39828.42</v>
      </c>
      <c r="U44" s="3"/>
      <c r="V44" s="8">
        <f t="shared" si="9"/>
        <v>13.844118015099481</v>
      </c>
      <c r="W44" s="3"/>
      <c r="X44" s="7">
        <f t="shared" si="10"/>
        <v>-13880.339999999997</v>
      </c>
      <c r="Y44" s="3"/>
      <c r="Z44" s="8">
        <f t="shared" si="11"/>
        <v>-0.34850340535727997</v>
      </c>
    </row>
    <row r="45" spans="1:26" s="69" customFormat="1" ht="15" hidden="1" customHeight="1" outlineLevel="2" x14ac:dyDescent="0.25">
      <c r="A45" s="25"/>
      <c r="B45" s="12" t="str">
        <f>CONCATENATE("          ","6004"," - ","STAFF HOURLY")</f>
        <v xml:space="preserve">          6004 - STAFF HOURLY</v>
      </c>
      <c r="C45" s="12"/>
      <c r="D45" s="7">
        <v>3994.09</v>
      </c>
      <c r="E45" s="3"/>
      <c r="F45" s="8">
        <f t="shared" si="4"/>
        <v>4.6217590847225494E-2</v>
      </c>
      <c r="G45" s="3"/>
      <c r="H45" s="7"/>
      <c r="I45" s="3"/>
      <c r="J45" s="8">
        <f t="shared" si="5"/>
        <v>0</v>
      </c>
      <c r="K45" s="3"/>
      <c r="L45" s="7">
        <f t="shared" si="6"/>
        <v>3994.09</v>
      </c>
      <c r="M45" s="3"/>
      <c r="N45" s="8">
        <f t="shared" si="7"/>
        <v>0</v>
      </c>
      <c r="O45" s="12"/>
      <c r="P45" s="7">
        <v>28627.08</v>
      </c>
      <c r="Q45" s="3"/>
      <c r="R45" s="8">
        <f t="shared" si="8"/>
        <v>5.748826370746956E-2</v>
      </c>
      <c r="S45" s="3"/>
      <c r="T45" s="7"/>
      <c r="U45" s="3"/>
      <c r="V45" s="8">
        <f t="shared" si="9"/>
        <v>0</v>
      </c>
      <c r="W45" s="3"/>
      <c r="X45" s="7">
        <f t="shared" si="10"/>
        <v>28627.08</v>
      </c>
      <c r="Y45" s="3"/>
      <c r="Z45" s="8">
        <f t="shared" si="11"/>
        <v>0</v>
      </c>
    </row>
    <row r="46" spans="1:26" s="69" customFormat="1" ht="15" hidden="1" customHeight="1" outlineLevel="2" x14ac:dyDescent="0.25">
      <c r="A46" s="25"/>
      <c r="B46" s="12" t="str">
        <f>CONCATENATE("          ","6005"," - ","TEMPORARY WAGES-HOURLY")</f>
        <v xml:space="preserve">          6005 - TEMPORARY WAGES-HOURLY</v>
      </c>
      <c r="C46" s="12"/>
      <c r="D46" s="7">
        <v>2889.68</v>
      </c>
      <c r="E46" s="3"/>
      <c r="F46" s="8">
        <f t="shared" si="4"/>
        <v>3.3437916501483582E-2</v>
      </c>
      <c r="G46" s="3"/>
      <c r="H46" s="7"/>
      <c r="I46" s="3"/>
      <c r="J46" s="8">
        <f t="shared" si="5"/>
        <v>0</v>
      </c>
      <c r="K46" s="3"/>
      <c r="L46" s="7">
        <f t="shared" si="6"/>
        <v>2889.68</v>
      </c>
      <c r="M46" s="3"/>
      <c r="N46" s="8">
        <f t="shared" si="7"/>
        <v>0</v>
      </c>
      <c r="O46" s="12"/>
      <c r="P46" s="7">
        <v>29110.15</v>
      </c>
      <c r="Q46" s="3"/>
      <c r="R46" s="8">
        <f t="shared" si="8"/>
        <v>5.8458354109605135E-2</v>
      </c>
      <c r="S46" s="3"/>
      <c r="T46" s="7">
        <v>2131.96</v>
      </c>
      <c r="U46" s="3"/>
      <c r="V46" s="8">
        <f t="shared" si="9"/>
        <v>0.74105640754695989</v>
      </c>
      <c r="W46" s="3"/>
      <c r="X46" s="7">
        <f t="shared" si="10"/>
        <v>26978.190000000002</v>
      </c>
      <c r="Y46" s="3"/>
      <c r="Z46" s="8">
        <f t="shared" si="11"/>
        <v>12.654172686166721</v>
      </c>
    </row>
    <row r="47" spans="1:26" s="69" customFormat="1" ht="15" hidden="1" customHeight="1" outlineLevel="2" x14ac:dyDescent="0.25">
      <c r="A47" s="25"/>
      <c r="B47" s="12" t="str">
        <f>CONCATENATE("          ","6006"," - ","TEMPORARY PART TIME")</f>
        <v xml:space="preserve">          6006 - TEMPORARY PART TIME</v>
      </c>
      <c r="C47" s="12"/>
      <c r="D47" s="7">
        <v>1589.04</v>
      </c>
      <c r="E47" s="3"/>
      <c r="F47" s="8">
        <f t="shared" si="4"/>
        <v>1.838756777135097E-2</v>
      </c>
      <c r="G47" s="3"/>
      <c r="H47" s="7"/>
      <c r="I47" s="3"/>
      <c r="J47" s="8">
        <f t="shared" si="5"/>
        <v>0</v>
      </c>
      <c r="K47" s="3"/>
      <c r="L47" s="7">
        <f t="shared" si="6"/>
        <v>1589.04</v>
      </c>
      <c r="M47" s="3"/>
      <c r="N47" s="8">
        <f t="shared" si="7"/>
        <v>0</v>
      </c>
      <c r="O47" s="12"/>
      <c r="P47" s="7">
        <v>6791.04</v>
      </c>
      <c r="Q47" s="3"/>
      <c r="R47" s="8">
        <f t="shared" si="8"/>
        <v>1.3637615096194723E-2</v>
      </c>
      <c r="S47" s="3"/>
      <c r="T47" s="7"/>
      <c r="U47" s="3"/>
      <c r="V47" s="8">
        <f t="shared" si="9"/>
        <v>0</v>
      </c>
      <c r="W47" s="3"/>
      <c r="X47" s="7">
        <f t="shared" si="10"/>
        <v>6791.04</v>
      </c>
      <c r="Y47" s="3"/>
      <c r="Z47" s="8">
        <f t="shared" si="11"/>
        <v>0</v>
      </c>
    </row>
    <row r="48" spans="1:26" s="69" customFormat="1" ht="15" hidden="1" customHeight="1" outlineLevel="2" x14ac:dyDescent="0.25">
      <c r="A48" s="25"/>
      <c r="B48" s="12" t="str">
        <f>CONCATENATE("          ","6007"," - ","STUDENT HOURLY")</f>
        <v xml:space="preserve">          6007 - STUDENT HOURLY</v>
      </c>
      <c r="C48" s="12"/>
      <c r="D48" s="7">
        <v>6153.22</v>
      </c>
      <c r="E48" s="3"/>
      <c r="F48" s="8">
        <f t="shared" si="4"/>
        <v>7.1201951972280256E-2</v>
      </c>
      <c r="G48" s="3"/>
      <c r="H48" s="7"/>
      <c r="I48" s="3"/>
      <c r="J48" s="8">
        <f t="shared" si="5"/>
        <v>0</v>
      </c>
      <c r="K48" s="3"/>
      <c r="L48" s="7">
        <f t="shared" si="6"/>
        <v>6153.22</v>
      </c>
      <c r="M48" s="3"/>
      <c r="N48" s="8">
        <f t="shared" si="7"/>
        <v>0</v>
      </c>
      <c r="O48" s="12"/>
      <c r="P48" s="7">
        <v>55278.73</v>
      </c>
      <c r="Q48" s="3"/>
      <c r="R48" s="8">
        <f t="shared" si="8"/>
        <v>0.11100951293858852</v>
      </c>
      <c r="S48" s="3"/>
      <c r="T48" s="7">
        <v>0</v>
      </c>
      <c r="U48" s="3"/>
      <c r="V48" s="8">
        <f t="shared" si="9"/>
        <v>0</v>
      </c>
      <c r="W48" s="3"/>
      <c r="X48" s="7">
        <f t="shared" si="10"/>
        <v>55278.73</v>
      </c>
      <c r="Y48" s="3"/>
      <c r="Z48" s="8">
        <f t="shared" si="11"/>
        <v>0</v>
      </c>
    </row>
    <row r="49" spans="1:26" s="69" customFormat="1" ht="15" hidden="1" customHeight="1" outlineLevel="2" x14ac:dyDescent="0.25">
      <c r="A49" s="25"/>
      <c r="B49" s="12" t="str">
        <f>CONCATENATE("          ","6008"," - ","STUDENT HOURLY-FICA EXEMPT")</f>
        <v xml:space="preserve">          6008 - STUDENT HOURLY-FICA EXEMPT</v>
      </c>
      <c r="C49" s="12"/>
      <c r="D49" s="7">
        <v>1433.7</v>
      </c>
      <c r="E49" s="3"/>
      <c r="F49" s="8">
        <f t="shared" si="4"/>
        <v>1.6590051800952705E-2</v>
      </c>
      <c r="G49" s="3"/>
      <c r="H49" s="7"/>
      <c r="I49" s="3"/>
      <c r="J49" s="8">
        <f t="shared" si="5"/>
        <v>0</v>
      </c>
      <c r="K49" s="3"/>
      <c r="L49" s="7">
        <f t="shared" si="6"/>
        <v>1433.7</v>
      </c>
      <c r="M49" s="3"/>
      <c r="N49" s="8">
        <f t="shared" si="7"/>
        <v>0</v>
      </c>
      <c r="O49" s="12"/>
      <c r="P49" s="7">
        <v>9048.56</v>
      </c>
      <c r="Q49" s="3"/>
      <c r="R49" s="8">
        <f t="shared" si="8"/>
        <v>1.8171116420286688E-2</v>
      </c>
      <c r="S49" s="3"/>
      <c r="T49" s="7"/>
      <c r="U49" s="3"/>
      <c r="V49" s="8">
        <f t="shared" si="9"/>
        <v>0</v>
      </c>
      <c r="W49" s="3"/>
      <c r="X49" s="7">
        <f t="shared" si="10"/>
        <v>9048.56</v>
      </c>
      <c r="Y49" s="3"/>
      <c r="Z49" s="8">
        <f t="shared" si="11"/>
        <v>0</v>
      </c>
    </row>
    <row r="50" spans="1:26" s="68" customFormat="1" ht="15" customHeight="1" outlineLevel="1" collapsed="1" x14ac:dyDescent="0.25">
      <c r="A50" s="26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0</v>
      </c>
      <c r="E50" s="2"/>
      <c r="F50" s="6">
        <f t="shared" si="4"/>
        <v>0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0</v>
      </c>
      <c r="M50" s="2"/>
      <c r="N50" s="6">
        <f t="shared" si="7"/>
        <v>0</v>
      </c>
      <c r="O50" s="14"/>
      <c r="P50" s="2">
        <f>SUM(OSRRefP22_2x_0)</f>
        <v>625.16999999999996</v>
      </c>
      <c r="Q50" s="2"/>
      <c r="R50" s="6">
        <f t="shared" si="8"/>
        <v>1.2554524534810654E-3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625.16999999999996</v>
      </c>
      <c r="Y50" s="2"/>
      <c r="Z50" s="6">
        <f t="shared" si="11"/>
        <v>0</v>
      </c>
    </row>
    <row r="51" spans="1:26" s="69" customFormat="1" ht="15" hidden="1" customHeight="1" outlineLevel="2" x14ac:dyDescent="0.25">
      <c r="A51" s="25"/>
      <c r="B51" s="12" t="str">
        <f>CONCATENATE("          ","6362"," - ","ADVERTISING EXPENSE")</f>
        <v xml:space="preserve">          6362 - ADVERTISING EXPENSE</v>
      </c>
      <c r="C51" s="12"/>
      <c r="D51" s="7"/>
      <c r="E51" s="3"/>
      <c r="F51" s="8">
        <f t="shared" si="4"/>
        <v>0</v>
      </c>
      <c r="G51" s="3"/>
      <c r="H51" s="7"/>
      <c r="I51" s="3"/>
      <c r="J51" s="8">
        <f t="shared" si="5"/>
        <v>0</v>
      </c>
      <c r="K51" s="3"/>
      <c r="L51" s="7">
        <f t="shared" si="6"/>
        <v>0</v>
      </c>
      <c r="M51" s="3"/>
      <c r="N51" s="8">
        <f t="shared" si="7"/>
        <v>0</v>
      </c>
      <c r="O51" s="12"/>
      <c r="P51" s="7">
        <v>625.16999999999996</v>
      </c>
      <c r="Q51" s="3"/>
      <c r="R51" s="8">
        <f t="shared" si="8"/>
        <v>1.2554524534810654E-3</v>
      </c>
      <c r="S51" s="3"/>
      <c r="T51" s="7"/>
      <c r="U51" s="3"/>
      <c r="V51" s="8">
        <f t="shared" si="9"/>
        <v>0</v>
      </c>
      <c r="W51" s="3"/>
      <c r="X51" s="7">
        <f t="shared" si="10"/>
        <v>625.16999999999996</v>
      </c>
      <c r="Y51" s="3"/>
      <c r="Z51" s="8">
        <f t="shared" si="11"/>
        <v>0</v>
      </c>
    </row>
    <row r="52" spans="1:26" s="68" customFormat="1" ht="15" customHeight="1" outlineLevel="1" collapsed="1" x14ac:dyDescent="0.25">
      <c r="A52" s="26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-34.130000000000003</v>
      </c>
      <c r="E52" s="2"/>
      <c r="F52" s="6">
        <f t="shared" si="4"/>
        <v>-3.9493511052975929E-4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-34.130000000000003</v>
      </c>
      <c r="M52" s="2"/>
      <c r="N52" s="6">
        <f t="shared" si="7"/>
        <v>0</v>
      </c>
      <c r="O52" s="14"/>
      <c r="P52" s="2">
        <f>SUM(OSRRefP22_3x_0)</f>
        <v>-25.36</v>
      </c>
      <c r="Q52" s="2"/>
      <c r="R52" s="6">
        <f t="shared" si="8"/>
        <v>-5.0927386503318813E-5</v>
      </c>
      <c r="S52" s="2"/>
      <c r="T52" s="2">
        <f>SUM(OSRRefT22_3x_0)</f>
        <v>3.31</v>
      </c>
      <c r="U52" s="2"/>
      <c r="V52" s="6">
        <f t="shared" si="9"/>
        <v>1.1505359898780641E-3</v>
      </c>
      <c r="W52" s="2"/>
      <c r="X52" s="2">
        <f t="shared" si="10"/>
        <v>-28.669999999999998</v>
      </c>
      <c r="Y52" s="2"/>
      <c r="Z52" s="6">
        <f t="shared" si="11"/>
        <v>-8.6616314199395763</v>
      </c>
    </row>
    <row r="53" spans="1:26" s="69" customFormat="1" ht="15" hidden="1" customHeight="1" outlineLevel="2" x14ac:dyDescent="0.25">
      <c r="A53" s="25"/>
      <c r="B53" s="12" t="str">
        <f>CONCATENATE("          ","6272"," - ","CASH (OVER/SHORT)")</f>
        <v xml:space="preserve">          6272 - CASH (OVER/SHORT)</v>
      </c>
      <c r="C53" s="12"/>
      <c r="D53" s="7">
        <v>-34.130000000000003</v>
      </c>
      <c r="E53" s="3"/>
      <c r="F53" s="8">
        <f t="shared" si="4"/>
        <v>-3.9493511052975929E-4</v>
      </c>
      <c r="G53" s="3"/>
      <c r="H53" s="7"/>
      <c r="I53" s="3"/>
      <c r="J53" s="8">
        <f t="shared" si="5"/>
        <v>0</v>
      </c>
      <c r="K53" s="3"/>
      <c r="L53" s="7">
        <f t="shared" si="6"/>
        <v>-34.130000000000003</v>
      </c>
      <c r="M53" s="3"/>
      <c r="N53" s="8">
        <f t="shared" si="7"/>
        <v>0</v>
      </c>
      <c r="O53" s="12"/>
      <c r="P53" s="7">
        <v>-25.36</v>
      </c>
      <c r="Q53" s="3"/>
      <c r="R53" s="8">
        <f t="shared" si="8"/>
        <v>-5.0927386503318813E-5</v>
      </c>
      <c r="S53" s="3"/>
      <c r="T53" s="7">
        <v>3.31</v>
      </c>
      <c r="U53" s="3"/>
      <c r="V53" s="8">
        <f t="shared" si="9"/>
        <v>1.1505359898780641E-3</v>
      </c>
      <c r="W53" s="3"/>
      <c r="X53" s="7">
        <f t="shared" si="10"/>
        <v>-28.669999999999998</v>
      </c>
      <c r="Y53" s="3"/>
      <c r="Z53" s="8">
        <f t="shared" si="11"/>
        <v>-8.6616314199395763</v>
      </c>
    </row>
    <row r="54" spans="1:26" s="68" customFormat="1" ht="15" customHeight="1" outlineLevel="1" collapsed="1" x14ac:dyDescent="0.25">
      <c r="A54" s="26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2202.2199999999998</v>
      </c>
      <c r="E54" s="2"/>
      <c r="F54" s="6">
        <f t="shared" si="4"/>
        <v>2.5482976827156355E-2</v>
      </c>
      <c r="G54" s="2"/>
      <c r="H54" s="2">
        <f>SUM(OSRRefH22_4x_0)</f>
        <v>142.99</v>
      </c>
      <c r="I54" s="2"/>
      <c r="J54" s="6">
        <f t="shared" si="5"/>
        <v>35.747500000000002</v>
      </c>
      <c r="K54" s="2"/>
      <c r="L54" s="2">
        <f t="shared" si="6"/>
        <v>2059.2299999999996</v>
      </c>
      <c r="M54" s="2"/>
      <c r="N54" s="6">
        <f t="shared" si="7"/>
        <v>14.401216868312465</v>
      </c>
      <c r="O54" s="14"/>
      <c r="P54" s="2">
        <f>SUM(OSRRefP22_4x_0)</f>
        <v>21872.61</v>
      </c>
      <c r="Q54" s="2"/>
      <c r="R54" s="6">
        <f t="shared" si="8"/>
        <v>4.3924087669808994E-2</v>
      </c>
      <c r="S54" s="2"/>
      <c r="T54" s="2">
        <f>SUM(OSRRefT22_4x_0)</f>
        <v>2467.71</v>
      </c>
      <c r="U54" s="2"/>
      <c r="V54" s="6">
        <f t="shared" si="9"/>
        <v>0.85776107781933453</v>
      </c>
      <c r="W54" s="2"/>
      <c r="X54" s="2">
        <f t="shared" si="10"/>
        <v>19404.900000000001</v>
      </c>
      <c r="Y54" s="2"/>
      <c r="Z54" s="6">
        <f t="shared" si="11"/>
        <v>7.8635252926802588</v>
      </c>
    </row>
    <row r="55" spans="1:26" s="69" customFormat="1" ht="15" hidden="1" customHeight="1" outlineLevel="2" x14ac:dyDescent="0.25">
      <c r="A55" s="25"/>
      <c r="B55" s="12" t="str">
        <f>CONCATENATE("          ","6381"," - ","BANK/CREDIT CARD FEES")</f>
        <v xml:space="preserve">          6381 - BANK/CREDIT CARD FEES</v>
      </c>
      <c r="C55" s="12"/>
      <c r="D55" s="7">
        <v>2202.2199999999998</v>
      </c>
      <c r="E55" s="3"/>
      <c r="F55" s="8">
        <f t="shared" si="4"/>
        <v>2.5482976827156355E-2</v>
      </c>
      <c r="G55" s="3"/>
      <c r="H55" s="7">
        <v>142.99</v>
      </c>
      <c r="I55" s="3"/>
      <c r="J55" s="8">
        <f t="shared" si="5"/>
        <v>35.747500000000002</v>
      </c>
      <c r="K55" s="3"/>
      <c r="L55" s="7">
        <f t="shared" si="6"/>
        <v>2059.2299999999996</v>
      </c>
      <c r="M55" s="3"/>
      <c r="N55" s="8">
        <f t="shared" si="7"/>
        <v>14.401216868312465</v>
      </c>
      <c r="O55" s="12"/>
      <c r="P55" s="7">
        <v>21872.61</v>
      </c>
      <c r="Q55" s="3"/>
      <c r="R55" s="8">
        <f t="shared" si="8"/>
        <v>4.3924087669808994E-2</v>
      </c>
      <c r="S55" s="3"/>
      <c r="T55" s="7">
        <v>2467.71</v>
      </c>
      <c r="U55" s="3"/>
      <c r="V55" s="8">
        <f t="shared" si="9"/>
        <v>0.85776107781933453</v>
      </c>
      <c r="W55" s="3"/>
      <c r="X55" s="7">
        <f t="shared" si="10"/>
        <v>19404.900000000001</v>
      </c>
      <c r="Y55" s="3"/>
      <c r="Z55" s="8">
        <f t="shared" si="11"/>
        <v>7.8635252926802588</v>
      </c>
    </row>
    <row r="56" spans="1:26" s="68" customFormat="1" ht="15" customHeight="1" outlineLevel="1" collapsed="1" x14ac:dyDescent="0.25">
      <c r="A56" s="26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6324.71</v>
      </c>
      <c r="E56" s="2"/>
      <c r="F56" s="6">
        <f t="shared" si="4"/>
        <v>7.3186347580388916E-2</v>
      </c>
      <c r="G56" s="2"/>
      <c r="H56" s="2">
        <f>SUM(OSRRefH22_5x_0)</f>
        <v>9152.09</v>
      </c>
      <c r="I56" s="2"/>
      <c r="J56" s="6">
        <f t="shared" si="5"/>
        <v>2288.0225</v>
      </c>
      <c r="K56" s="2"/>
      <c r="L56" s="2">
        <f t="shared" si="6"/>
        <v>-2827.38</v>
      </c>
      <c r="M56" s="2"/>
      <c r="N56" s="6">
        <f t="shared" si="7"/>
        <v>-0.30893271372986936</v>
      </c>
      <c r="O56" s="14"/>
      <c r="P56" s="2">
        <f>SUM(OSRRefP22_5x_0)</f>
        <v>72004.570000000007</v>
      </c>
      <c r="Q56" s="2"/>
      <c r="R56" s="6">
        <f t="shared" si="8"/>
        <v>0.14459797186101242</v>
      </c>
      <c r="S56" s="2"/>
      <c r="T56" s="2">
        <f>SUM(OSRRefT22_5x_0)</f>
        <v>100854.27</v>
      </c>
      <c r="U56" s="2"/>
      <c r="V56" s="6">
        <f t="shared" si="9"/>
        <v>35.056334552229465</v>
      </c>
      <c r="W56" s="2"/>
      <c r="X56" s="2">
        <f t="shared" si="10"/>
        <v>-28849.699999999997</v>
      </c>
      <c r="Y56" s="2"/>
      <c r="Z56" s="6">
        <f t="shared" si="11"/>
        <v>-0.28605333219902335</v>
      </c>
    </row>
    <row r="57" spans="1:26" s="69" customFormat="1" ht="15" hidden="1" customHeight="1" outlineLevel="2" x14ac:dyDescent="0.25">
      <c r="A57" s="25"/>
      <c r="B57" s="12" t="str">
        <f>CONCATENATE("          ","6321"," - ","BUILDING DEPRECIATION")</f>
        <v xml:space="preserve">          6321 - BUILDING DEPRECIATION</v>
      </c>
      <c r="C57" s="12"/>
      <c r="D57" s="7">
        <v>5080.51</v>
      </c>
      <c r="E57" s="3"/>
      <c r="F57" s="8">
        <f t="shared" si="4"/>
        <v>5.8789094005202089E-2</v>
      </c>
      <c r="G57" s="3"/>
      <c r="H57" s="7">
        <v>5080.51</v>
      </c>
      <c r="I57" s="3"/>
      <c r="J57" s="8">
        <f t="shared" si="5"/>
        <v>1270.1275000000001</v>
      </c>
      <c r="K57" s="3"/>
      <c r="L57" s="7">
        <f t="shared" si="6"/>
        <v>0</v>
      </c>
      <c r="M57" s="3"/>
      <c r="N57" s="8">
        <f t="shared" si="7"/>
        <v>0</v>
      </c>
      <c r="O57" s="12"/>
      <c r="P57" s="7">
        <v>55885.61</v>
      </c>
      <c r="Q57" s="3"/>
      <c r="R57" s="8">
        <f t="shared" si="8"/>
        <v>0.11222823582191399</v>
      </c>
      <c r="S57" s="3"/>
      <c r="T57" s="7">
        <v>55885.61</v>
      </c>
      <c r="U57" s="3"/>
      <c r="V57" s="8">
        <f t="shared" si="9"/>
        <v>19.425500187700735</v>
      </c>
      <c r="W57" s="3"/>
      <c r="X57" s="7">
        <f t="shared" si="10"/>
        <v>0</v>
      </c>
      <c r="Y57" s="3"/>
      <c r="Z57" s="8">
        <f t="shared" si="11"/>
        <v>0</v>
      </c>
    </row>
    <row r="58" spans="1:26" s="69" customFormat="1" ht="15" hidden="1" customHeight="1" outlineLevel="2" x14ac:dyDescent="0.25">
      <c r="A58" s="25"/>
      <c r="B58" s="12" t="str">
        <f>CONCATENATE("          ","6322"," - ","EQUIPMENT DEPRECIATION EXPENSE")</f>
        <v xml:space="preserve">          6322 - EQUIPMENT DEPRECIATION EXPENSE</v>
      </c>
      <c r="C58" s="12"/>
      <c r="D58" s="7">
        <v>1244.2</v>
      </c>
      <c r="E58" s="3"/>
      <c r="F58" s="8">
        <f t="shared" si="4"/>
        <v>1.4397253575186829E-2</v>
      </c>
      <c r="G58" s="3"/>
      <c r="H58" s="7">
        <v>4071.58</v>
      </c>
      <c r="I58" s="3"/>
      <c r="J58" s="8">
        <f t="shared" si="5"/>
        <v>1017.895</v>
      </c>
      <c r="K58" s="3"/>
      <c r="L58" s="7">
        <f t="shared" si="6"/>
        <v>-2827.38</v>
      </c>
      <c r="M58" s="3"/>
      <c r="N58" s="8">
        <f t="shared" si="7"/>
        <v>-0.69441838303557835</v>
      </c>
      <c r="O58" s="12"/>
      <c r="P58" s="7">
        <v>16118.96</v>
      </c>
      <c r="Q58" s="3"/>
      <c r="R58" s="8">
        <f t="shared" si="8"/>
        <v>3.2369736039098415E-2</v>
      </c>
      <c r="S58" s="3"/>
      <c r="T58" s="7">
        <v>44968.66</v>
      </c>
      <c r="U58" s="3"/>
      <c r="V58" s="8">
        <f t="shared" si="9"/>
        <v>15.630834364528733</v>
      </c>
      <c r="W58" s="3"/>
      <c r="X58" s="7">
        <f t="shared" si="10"/>
        <v>-28849.700000000004</v>
      </c>
      <c r="Y58" s="3"/>
      <c r="Z58" s="8">
        <f t="shared" si="11"/>
        <v>-0.64155124924780949</v>
      </c>
    </row>
    <row r="59" spans="1:26" s="68" customFormat="1" ht="15" customHeight="1" outlineLevel="1" collapsed="1" x14ac:dyDescent="0.25">
      <c r="A59" s="26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SUM(OSRRefD22_6x_0)</f>
        <v>16.2</v>
      </c>
      <c r="E59" s="2"/>
      <c r="F59" s="6">
        <f t="shared" si="4"/>
        <v>1.8745821244014357E-4</v>
      </c>
      <c r="G59" s="2"/>
      <c r="H59" s="2">
        <f>SUM(OSRRefH22_6x_0)</f>
        <v>0</v>
      </c>
      <c r="I59" s="2"/>
      <c r="J59" s="6">
        <f t="shared" si="5"/>
        <v>0</v>
      </c>
      <c r="K59" s="2"/>
      <c r="L59" s="2">
        <f t="shared" si="6"/>
        <v>16.2</v>
      </c>
      <c r="M59" s="2"/>
      <c r="N59" s="6">
        <f t="shared" si="7"/>
        <v>0</v>
      </c>
      <c r="O59" s="14"/>
      <c r="P59" s="2">
        <f>SUM(OSRRefP22_6x_0)</f>
        <v>16.2</v>
      </c>
      <c r="Q59" s="2"/>
      <c r="R59" s="6">
        <f t="shared" si="8"/>
        <v>3.2532478760006492E-5</v>
      </c>
      <c r="S59" s="2"/>
      <c r="T59" s="2">
        <f>SUM(OSRRefT22_6x_0)</f>
        <v>0</v>
      </c>
      <c r="U59" s="2"/>
      <c r="V59" s="6">
        <f t="shared" si="9"/>
        <v>0</v>
      </c>
      <c r="W59" s="2"/>
      <c r="X59" s="2">
        <f t="shared" si="10"/>
        <v>16.2</v>
      </c>
      <c r="Y59" s="2"/>
      <c r="Z59" s="6">
        <f t="shared" si="11"/>
        <v>0</v>
      </c>
    </row>
    <row r="60" spans="1:26" s="69" customFormat="1" ht="15" hidden="1" customHeight="1" outlineLevel="2" x14ac:dyDescent="0.25">
      <c r="A60" s="25"/>
      <c r="B60" s="12" t="str">
        <f>CONCATENATE("          ","6277"," - ","EMPLOYEE APPRECIATION")</f>
        <v xml:space="preserve">          6277 - EMPLOYEE APPRECIATION</v>
      </c>
      <c r="C60" s="12"/>
      <c r="D60" s="7">
        <v>16.2</v>
      </c>
      <c r="E60" s="3"/>
      <c r="F60" s="8">
        <f t="shared" si="4"/>
        <v>1.8745821244014357E-4</v>
      </c>
      <c r="G60" s="3"/>
      <c r="H60" s="7"/>
      <c r="I60" s="3"/>
      <c r="J60" s="8">
        <f t="shared" si="5"/>
        <v>0</v>
      </c>
      <c r="K60" s="3"/>
      <c r="L60" s="7">
        <f t="shared" si="6"/>
        <v>16.2</v>
      </c>
      <c r="M60" s="3"/>
      <c r="N60" s="8">
        <f t="shared" si="7"/>
        <v>0</v>
      </c>
      <c r="O60" s="12"/>
      <c r="P60" s="7">
        <v>16.2</v>
      </c>
      <c r="Q60" s="3"/>
      <c r="R60" s="8">
        <f t="shared" si="8"/>
        <v>3.2532478760006492E-5</v>
      </c>
      <c r="S60" s="3"/>
      <c r="T60" s="7"/>
      <c r="U60" s="3"/>
      <c r="V60" s="8">
        <f t="shared" si="9"/>
        <v>0</v>
      </c>
      <c r="W60" s="3"/>
      <c r="X60" s="7">
        <f t="shared" si="10"/>
        <v>16.2</v>
      </c>
      <c r="Y60" s="3"/>
      <c r="Z60" s="8">
        <f t="shared" si="11"/>
        <v>0</v>
      </c>
    </row>
    <row r="61" spans="1:26" s="68" customFormat="1" ht="15" customHeight="1" outlineLevel="1" collapsed="1" x14ac:dyDescent="0.25">
      <c r="A61" s="26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SUM(OSRRefD22_7x_0)</f>
        <v>0</v>
      </c>
      <c r="E61" s="2"/>
      <c r="F61" s="6">
        <f t="shared" si="4"/>
        <v>0</v>
      </c>
      <c r="G61" s="2"/>
      <c r="H61" s="2">
        <f>SUM(OSRRefH22_7x_0)</f>
        <v>0</v>
      </c>
      <c r="I61" s="2"/>
      <c r="J61" s="6">
        <f t="shared" si="5"/>
        <v>0</v>
      </c>
      <c r="K61" s="2"/>
      <c r="L61" s="2">
        <f t="shared" si="6"/>
        <v>0</v>
      </c>
      <c r="M61" s="2"/>
      <c r="N61" s="6">
        <f t="shared" si="7"/>
        <v>0</v>
      </c>
      <c r="O61" s="14"/>
      <c r="P61" s="2">
        <f>SUM(OSRRefP22_7x_0)</f>
        <v>30</v>
      </c>
      <c r="Q61" s="2"/>
      <c r="R61" s="6">
        <f t="shared" si="8"/>
        <v>6.0245331037049067E-5</v>
      </c>
      <c r="S61" s="2"/>
      <c r="T61" s="2">
        <f>SUM(OSRRefT22_7x_0)</f>
        <v>617.35</v>
      </c>
      <c r="U61" s="2"/>
      <c r="V61" s="6">
        <f t="shared" si="9"/>
        <v>0.21458712790067155</v>
      </c>
      <c r="W61" s="2"/>
      <c r="X61" s="2">
        <f t="shared" si="10"/>
        <v>-587.35</v>
      </c>
      <c r="Y61" s="2"/>
      <c r="Z61" s="6">
        <f t="shared" si="11"/>
        <v>-0.95140519964363812</v>
      </c>
    </row>
    <row r="62" spans="1:26" s="69" customFormat="1" ht="15" hidden="1" customHeight="1" outlineLevel="2" x14ac:dyDescent="0.25">
      <c r="A62" s="25"/>
      <c r="B62" s="12" t="str">
        <f>CONCATENATE("          ","6351"," - ","EQUIPMENT RENTAL")</f>
        <v xml:space="preserve">          6351 - EQUIPMENT RENTAL</v>
      </c>
      <c r="C62" s="12"/>
      <c r="D62" s="7"/>
      <c r="E62" s="3"/>
      <c r="F62" s="8">
        <f t="shared" si="4"/>
        <v>0</v>
      </c>
      <c r="G62" s="3"/>
      <c r="H62" s="7"/>
      <c r="I62" s="3"/>
      <c r="J62" s="8">
        <f t="shared" si="5"/>
        <v>0</v>
      </c>
      <c r="K62" s="3"/>
      <c r="L62" s="7">
        <f t="shared" si="6"/>
        <v>0</v>
      </c>
      <c r="M62" s="3"/>
      <c r="N62" s="8">
        <f t="shared" si="7"/>
        <v>0</v>
      </c>
      <c r="O62" s="12"/>
      <c r="P62" s="7">
        <v>30</v>
      </c>
      <c r="Q62" s="3"/>
      <c r="R62" s="8">
        <f t="shared" si="8"/>
        <v>6.0245331037049067E-5</v>
      </c>
      <c r="S62" s="3"/>
      <c r="T62" s="7">
        <v>617.35</v>
      </c>
      <c r="U62" s="3"/>
      <c r="V62" s="8">
        <f t="shared" si="9"/>
        <v>0.21458712790067155</v>
      </c>
      <c r="W62" s="3"/>
      <c r="X62" s="7">
        <f t="shared" si="10"/>
        <v>-587.35</v>
      </c>
      <c r="Y62" s="3"/>
      <c r="Z62" s="8">
        <f t="shared" si="11"/>
        <v>-0.95140519964363812</v>
      </c>
    </row>
    <row r="63" spans="1:26" s="68" customFormat="1" ht="15" customHeight="1" outlineLevel="1" collapsed="1" x14ac:dyDescent="0.25">
      <c r="A63" s="26"/>
      <c r="B63" s="14" t="str">
        <f>CONCATENATE("     ","Freight out/Postage                               ")</f>
        <v xml:space="preserve">     Freight out/Postage                               </v>
      </c>
      <c r="C63" s="14"/>
      <c r="D63" s="2">
        <f>SUM(OSRRefD22_8x_0)</f>
        <v>0</v>
      </c>
      <c r="E63" s="2"/>
      <c r="F63" s="6">
        <f t="shared" si="4"/>
        <v>0</v>
      </c>
      <c r="G63" s="2"/>
      <c r="H63" s="2">
        <f>SUM(OSRRefH22_8x_0)</f>
        <v>0</v>
      </c>
      <c r="I63" s="2"/>
      <c r="J63" s="6">
        <f t="shared" si="5"/>
        <v>0</v>
      </c>
      <c r="K63" s="2"/>
      <c r="L63" s="2">
        <f t="shared" si="6"/>
        <v>0</v>
      </c>
      <c r="M63" s="2"/>
      <c r="N63" s="6">
        <f t="shared" si="7"/>
        <v>0</v>
      </c>
      <c r="O63" s="14"/>
      <c r="P63" s="2">
        <f>SUM(OSRRefP22_8x_0)</f>
        <v>0</v>
      </c>
      <c r="Q63" s="2"/>
      <c r="R63" s="6">
        <f t="shared" si="8"/>
        <v>0</v>
      </c>
      <c r="S63" s="2"/>
      <c r="T63" s="2">
        <f>SUM(OSRRefT22_8x_0)</f>
        <v>280.10000000000002</v>
      </c>
      <c r="U63" s="2"/>
      <c r="V63" s="6">
        <f t="shared" si="9"/>
        <v>9.7361066696328019E-2</v>
      </c>
      <c r="W63" s="2"/>
      <c r="X63" s="2">
        <f t="shared" si="10"/>
        <v>-280.10000000000002</v>
      </c>
      <c r="Y63" s="2"/>
      <c r="Z63" s="6">
        <f t="shared" si="11"/>
        <v>-1</v>
      </c>
    </row>
    <row r="64" spans="1:26" s="69" customFormat="1" ht="15" hidden="1" customHeight="1" outlineLevel="2" x14ac:dyDescent="0.25">
      <c r="A64" s="25"/>
      <c r="B64" s="12" t="str">
        <f>CONCATENATE("          ","6305"," - ","FREIGHT OUT")</f>
        <v xml:space="preserve">          6305 - FREIGHT OUT</v>
      </c>
      <c r="C64" s="12"/>
      <c r="D64" s="7"/>
      <c r="E64" s="3"/>
      <c r="F64" s="8">
        <f t="shared" ref="F64:F93" si="12">IF(D$12=0,0,D64/D$12)</f>
        <v>0</v>
      </c>
      <c r="G64" s="3"/>
      <c r="H64" s="7"/>
      <c r="I64" s="3"/>
      <c r="J64" s="8">
        <f t="shared" ref="J64:J93" si="13">IF(H$12=0,0,H64/H$12)</f>
        <v>0</v>
      </c>
      <c r="K64" s="3"/>
      <c r="L64" s="7">
        <f t="shared" ref="L64:L93" si="14">+D64-H64</f>
        <v>0</v>
      </c>
      <c r="M64" s="3"/>
      <c r="N64" s="8">
        <f t="shared" ref="N64:N93" si="15">IF(H64=0,0,L64/H64)</f>
        <v>0</v>
      </c>
      <c r="O64" s="12"/>
      <c r="P64" s="7"/>
      <c r="Q64" s="3"/>
      <c r="R64" s="8">
        <f t="shared" ref="R64:R93" si="16">IF(P$12=0,0,P64/P$12)</f>
        <v>0</v>
      </c>
      <c r="S64" s="3"/>
      <c r="T64" s="7">
        <v>280.10000000000002</v>
      </c>
      <c r="U64" s="3"/>
      <c r="V64" s="8">
        <f t="shared" ref="V64:V93" si="17">IF(T$12=0,0,T64/T$12)</f>
        <v>9.7361066696328019E-2</v>
      </c>
      <c r="W64" s="3"/>
      <c r="X64" s="7">
        <f t="shared" ref="X64:X93" si="18">+P64-T64</f>
        <v>-280.10000000000002</v>
      </c>
      <c r="Y64" s="3"/>
      <c r="Z64" s="8">
        <f t="shared" ref="Z64:Z93" si="19">IF(T64=0,0,X64/T64)</f>
        <v>-1</v>
      </c>
    </row>
    <row r="65" spans="1:26" s="68" customFormat="1" ht="15" customHeight="1" outlineLevel="1" collapsed="1" x14ac:dyDescent="0.25">
      <c r="A65" s="26"/>
      <c r="B65" s="14" t="str">
        <f>CONCATENATE("     ","General                                           ")</f>
        <v xml:space="preserve">     General                                           </v>
      </c>
      <c r="C65" s="14"/>
      <c r="D65" s="2">
        <f>SUM(OSRRefD22_9x_0)</f>
        <v>256.79000000000002</v>
      </c>
      <c r="E65" s="2"/>
      <c r="F65" s="6">
        <f t="shared" si="12"/>
        <v>2.971444097068177E-3</v>
      </c>
      <c r="G65" s="2"/>
      <c r="H65" s="2">
        <f>SUM(OSRRefH22_9x_0)</f>
        <v>-646.37</v>
      </c>
      <c r="I65" s="2"/>
      <c r="J65" s="6">
        <f t="shared" si="13"/>
        <v>-161.5925</v>
      </c>
      <c r="K65" s="2"/>
      <c r="L65" s="2">
        <f t="shared" si="14"/>
        <v>903.16000000000008</v>
      </c>
      <c r="M65" s="2"/>
      <c r="N65" s="6">
        <f t="shared" si="15"/>
        <v>-1.3972801955536305</v>
      </c>
      <c r="O65" s="14"/>
      <c r="P65" s="2">
        <f>SUM(OSRRefP22_9x_0)</f>
        <v>4018.7</v>
      </c>
      <c r="Q65" s="2"/>
      <c r="R65" s="6">
        <f t="shared" si="16"/>
        <v>8.0702637279529699E-3</v>
      </c>
      <c r="S65" s="2"/>
      <c r="T65" s="2">
        <f>SUM(OSRRefT22_9x_0)</f>
        <v>2908.49</v>
      </c>
      <c r="U65" s="2"/>
      <c r="V65" s="6">
        <f t="shared" si="17"/>
        <v>1.0109735411481722</v>
      </c>
      <c r="W65" s="2"/>
      <c r="X65" s="2">
        <f t="shared" si="18"/>
        <v>1110.21</v>
      </c>
      <c r="Y65" s="2"/>
      <c r="Z65" s="6">
        <f t="shared" si="19"/>
        <v>0.38171353520211521</v>
      </c>
    </row>
    <row r="66" spans="1:26" s="69" customFormat="1" ht="15" hidden="1" customHeight="1" outlineLevel="2" x14ac:dyDescent="0.25">
      <c r="A66" s="25"/>
      <c r="B66" s="12" t="str">
        <f>CONCATENATE("          ","6279"," - ","GENERAL EXPENSE")</f>
        <v xml:space="preserve">          6279 - GENERAL EXPENSE</v>
      </c>
      <c r="C66" s="12"/>
      <c r="D66" s="7">
        <v>256.79000000000002</v>
      </c>
      <c r="E66" s="3"/>
      <c r="F66" s="8">
        <f t="shared" si="12"/>
        <v>2.971444097068177E-3</v>
      </c>
      <c r="G66" s="3"/>
      <c r="H66" s="7">
        <v>-646.37</v>
      </c>
      <c r="I66" s="3"/>
      <c r="J66" s="8">
        <f t="shared" si="13"/>
        <v>-161.5925</v>
      </c>
      <c r="K66" s="3"/>
      <c r="L66" s="7">
        <f t="shared" si="14"/>
        <v>903.16000000000008</v>
      </c>
      <c r="M66" s="3"/>
      <c r="N66" s="8">
        <f t="shared" si="15"/>
        <v>-1.3972801955536305</v>
      </c>
      <c r="O66" s="12"/>
      <c r="P66" s="7">
        <v>4018.7</v>
      </c>
      <c r="Q66" s="3"/>
      <c r="R66" s="8">
        <f t="shared" si="16"/>
        <v>8.0702637279529699E-3</v>
      </c>
      <c r="S66" s="3"/>
      <c r="T66" s="7">
        <v>2908.49</v>
      </c>
      <c r="U66" s="3"/>
      <c r="V66" s="8">
        <f t="shared" si="17"/>
        <v>1.0109735411481722</v>
      </c>
      <c r="W66" s="3"/>
      <c r="X66" s="7">
        <f t="shared" si="18"/>
        <v>1110.21</v>
      </c>
      <c r="Y66" s="3"/>
      <c r="Z66" s="8">
        <f t="shared" si="19"/>
        <v>0.38171353520211521</v>
      </c>
    </row>
    <row r="67" spans="1:26" s="68" customFormat="1" ht="15" customHeight="1" outlineLevel="1" collapsed="1" x14ac:dyDescent="0.25">
      <c r="A67" s="26"/>
      <c r="B67" s="14" t="str">
        <f>CONCATENATE("     ","Insurance                                         ")</f>
        <v xml:space="preserve">     Insurance                                         </v>
      </c>
      <c r="C67" s="14"/>
      <c r="D67" s="2">
        <f>SUM(OSRRefD22_10x_0)</f>
        <v>331.01</v>
      </c>
      <c r="E67" s="2"/>
      <c r="F67" s="6">
        <f t="shared" si="12"/>
        <v>3.8302804259143161E-3</v>
      </c>
      <c r="G67" s="2"/>
      <c r="H67" s="2">
        <f>SUM(OSRRefH22_10x_0)</f>
        <v>243.54</v>
      </c>
      <c r="I67" s="2"/>
      <c r="J67" s="6">
        <f t="shared" si="13"/>
        <v>60.884999999999998</v>
      </c>
      <c r="K67" s="2"/>
      <c r="L67" s="2">
        <f t="shared" si="14"/>
        <v>87.47</v>
      </c>
      <c r="M67" s="2"/>
      <c r="N67" s="6">
        <f t="shared" si="15"/>
        <v>0.35916071281924944</v>
      </c>
      <c r="O67" s="14"/>
      <c r="P67" s="2">
        <f>SUM(OSRRefP22_10x_0)</f>
        <v>3641.11</v>
      </c>
      <c r="Q67" s="2"/>
      <c r="R67" s="6">
        <f t="shared" si="16"/>
        <v>7.311995909743658E-3</v>
      </c>
      <c r="S67" s="2"/>
      <c r="T67" s="2">
        <f>SUM(OSRRefT22_10x_0)</f>
        <v>2678.94</v>
      </c>
      <c r="U67" s="2"/>
      <c r="V67" s="6">
        <f t="shared" si="17"/>
        <v>0.93118334885919662</v>
      </c>
      <c r="W67" s="2"/>
      <c r="X67" s="2">
        <f t="shared" si="18"/>
        <v>962.17000000000007</v>
      </c>
      <c r="Y67" s="2"/>
      <c r="Z67" s="6">
        <f t="shared" si="19"/>
        <v>0.35916071281924944</v>
      </c>
    </row>
    <row r="68" spans="1:26" s="69" customFormat="1" ht="15" hidden="1" customHeight="1" outlineLevel="2" x14ac:dyDescent="0.25">
      <c r="A68" s="25"/>
      <c r="B68" s="12" t="str">
        <f>CONCATENATE("          ","6314"," - ","LIABILITY INSURANCE")</f>
        <v xml:space="preserve">          6314 - LIABILITY INSURANCE</v>
      </c>
      <c r="C68" s="12"/>
      <c r="D68" s="7">
        <v>331.01</v>
      </c>
      <c r="E68" s="3"/>
      <c r="F68" s="8">
        <f t="shared" si="12"/>
        <v>3.8302804259143161E-3</v>
      </c>
      <c r="G68" s="3"/>
      <c r="H68" s="7">
        <v>243.54</v>
      </c>
      <c r="I68" s="3"/>
      <c r="J68" s="8">
        <f t="shared" si="13"/>
        <v>60.884999999999998</v>
      </c>
      <c r="K68" s="3"/>
      <c r="L68" s="7">
        <f t="shared" si="14"/>
        <v>87.47</v>
      </c>
      <c r="M68" s="3"/>
      <c r="N68" s="8">
        <f t="shared" si="15"/>
        <v>0.35916071281924944</v>
      </c>
      <c r="O68" s="12"/>
      <c r="P68" s="7">
        <v>3641.11</v>
      </c>
      <c r="Q68" s="3"/>
      <c r="R68" s="8">
        <f t="shared" si="16"/>
        <v>7.311995909743658E-3</v>
      </c>
      <c r="S68" s="3"/>
      <c r="T68" s="7">
        <v>2678.94</v>
      </c>
      <c r="U68" s="3"/>
      <c r="V68" s="8">
        <f t="shared" si="17"/>
        <v>0.93118334885919662</v>
      </c>
      <c r="W68" s="3"/>
      <c r="X68" s="7">
        <f t="shared" si="18"/>
        <v>962.17000000000007</v>
      </c>
      <c r="Y68" s="3"/>
      <c r="Z68" s="8">
        <f t="shared" si="19"/>
        <v>0.35916071281924944</v>
      </c>
    </row>
    <row r="69" spans="1:26" s="68" customFormat="1" ht="15" customHeight="1" outlineLevel="1" collapsed="1" x14ac:dyDescent="0.25">
      <c r="A69" s="26"/>
      <c r="B69" s="14" t="str">
        <f>CONCATENATE("     ","Interest                                          ")</f>
        <v xml:space="preserve">     Interest                                          </v>
      </c>
      <c r="C69" s="14"/>
      <c r="D69" s="2">
        <f>SUM(OSRRefD22_11x_0)</f>
        <v>3905</v>
      </c>
      <c r="E69" s="2"/>
      <c r="F69" s="6">
        <f t="shared" si="12"/>
        <v>4.5186686393750654E-2</v>
      </c>
      <c r="G69" s="2"/>
      <c r="H69" s="2">
        <f>SUM(OSRRefH22_11x_0)</f>
        <v>4044</v>
      </c>
      <c r="I69" s="2"/>
      <c r="J69" s="6">
        <f t="shared" si="13"/>
        <v>1011</v>
      </c>
      <c r="K69" s="2"/>
      <c r="L69" s="2">
        <f t="shared" si="14"/>
        <v>-139</v>
      </c>
      <c r="M69" s="2"/>
      <c r="N69" s="6">
        <f t="shared" si="15"/>
        <v>-3.4371909000989118E-2</v>
      </c>
      <c r="O69" s="14"/>
      <c r="P69" s="2">
        <f>SUM(OSRRefP22_11x_0)</f>
        <v>41805</v>
      </c>
      <c r="Q69" s="2"/>
      <c r="R69" s="6">
        <f t="shared" si="16"/>
        <v>8.395186880012788E-2</v>
      </c>
      <c r="S69" s="2"/>
      <c r="T69" s="2">
        <f>SUM(OSRRefT22_11x_0)</f>
        <v>43390.85</v>
      </c>
      <c r="U69" s="2"/>
      <c r="V69" s="6">
        <f t="shared" si="17"/>
        <v>15.08239714694882</v>
      </c>
      <c r="W69" s="2"/>
      <c r="X69" s="2">
        <f t="shared" si="18"/>
        <v>-1585.8499999999985</v>
      </c>
      <c r="Y69" s="2"/>
      <c r="Z69" s="6">
        <f t="shared" si="19"/>
        <v>-3.6548027982858104E-2</v>
      </c>
    </row>
    <row r="70" spans="1:26" s="69" customFormat="1" ht="15" hidden="1" customHeight="1" outlineLevel="2" x14ac:dyDescent="0.25">
      <c r="A70" s="25"/>
      <c r="B70" s="12" t="str">
        <f>CONCATENATE("          ","6401"," - ","INTEREST EXPENSE")</f>
        <v xml:space="preserve">          6401 - INTEREST EXPENSE</v>
      </c>
      <c r="C70" s="12"/>
      <c r="D70" s="7">
        <v>3905</v>
      </c>
      <c r="E70" s="3"/>
      <c r="F70" s="8">
        <f t="shared" si="12"/>
        <v>4.5186686393750654E-2</v>
      </c>
      <c r="G70" s="3"/>
      <c r="H70" s="7">
        <v>4044</v>
      </c>
      <c r="I70" s="3"/>
      <c r="J70" s="8">
        <f t="shared" si="13"/>
        <v>1011</v>
      </c>
      <c r="K70" s="3"/>
      <c r="L70" s="7">
        <f t="shared" si="14"/>
        <v>-139</v>
      </c>
      <c r="M70" s="3"/>
      <c r="N70" s="8">
        <f t="shared" si="15"/>
        <v>-3.4371909000989118E-2</v>
      </c>
      <c r="O70" s="12"/>
      <c r="P70" s="7">
        <v>41805</v>
      </c>
      <c r="Q70" s="3"/>
      <c r="R70" s="8">
        <f t="shared" si="16"/>
        <v>8.395186880012788E-2</v>
      </c>
      <c r="S70" s="3"/>
      <c r="T70" s="7">
        <v>43390.85</v>
      </c>
      <c r="U70" s="3"/>
      <c r="V70" s="8">
        <f t="shared" si="17"/>
        <v>15.08239714694882</v>
      </c>
      <c r="W70" s="3"/>
      <c r="X70" s="7">
        <f t="shared" si="18"/>
        <v>-1585.8499999999985</v>
      </c>
      <c r="Y70" s="3"/>
      <c r="Z70" s="8">
        <f t="shared" si="19"/>
        <v>-3.6548027982858104E-2</v>
      </c>
    </row>
    <row r="71" spans="1:26" s="68" customFormat="1" ht="15" customHeight="1" outlineLevel="1" collapsed="1" x14ac:dyDescent="0.25">
      <c r="A71" s="26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SUM(OSRRefD22_12x_0)</f>
        <v>467.96</v>
      </c>
      <c r="E71" s="2"/>
      <c r="F71" s="6">
        <f t="shared" si="12"/>
        <v>5.4149966107092332E-3</v>
      </c>
      <c r="G71" s="2"/>
      <c r="H71" s="2">
        <f>SUM(OSRRefH22_12x_0)</f>
        <v>205.13</v>
      </c>
      <c r="I71" s="2"/>
      <c r="J71" s="6">
        <f t="shared" si="13"/>
        <v>51.282499999999999</v>
      </c>
      <c r="K71" s="2"/>
      <c r="L71" s="2">
        <f t="shared" si="14"/>
        <v>262.83</v>
      </c>
      <c r="M71" s="2"/>
      <c r="N71" s="6">
        <f t="shared" si="15"/>
        <v>1.2812850387559109</v>
      </c>
      <c r="O71" s="14"/>
      <c r="P71" s="2">
        <f>SUM(OSRRefP22_12x_0)</f>
        <v>7126.35</v>
      </c>
      <c r="Q71" s="2"/>
      <c r="R71" s="6">
        <f t="shared" si="16"/>
        <v>1.4310977161195821E-2</v>
      </c>
      <c r="S71" s="2"/>
      <c r="T71" s="2">
        <f>SUM(OSRRefT22_12x_0)</f>
        <v>3031.4300000000003</v>
      </c>
      <c r="U71" s="2"/>
      <c r="V71" s="6">
        <f t="shared" si="17"/>
        <v>1.0537067419323445</v>
      </c>
      <c r="W71" s="2"/>
      <c r="X71" s="2">
        <f t="shared" si="18"/>
        <v>4094.92</v>
      </c>
      <c r="Y71" s="2"/>
      <c r="Z71" s="6">
        <f t="shared" si="19"/>
        <v>1.3508212295847173</v>
      </c>
    </row>
    <row r="72" spans="1:26" s="69" customFormat="1" ht="15" hidden="1" customHeight="1" outlineLevel="2" x14ac:dyDescent="0.25">
      <c r="A72" s="25"/>
      <c r="B72" s="12" t="str">
        <f>CONCATENATE("          ","6373"," - ","MAINTENANCE CONTRACTS")</f>
        <v xml:space="preserve">          6373 - MAINTENANCE CONTRACTS</v>
      </c>
      <c r="C72" s="12"/>
      <c r="D72" s="7">
        <v>384.19</v>
      </c>
      <c r="E72" s="3"/>
      <c r="F72" s="8">
        <f t="shared" si="12"/>
        <v>4.4456525084801699E-3</v>
      </c>
      <c r="G72" s="3"/>
      <c r="H72" s="7"/>
      <c r="I72" s="3"/>
      <c r="J72" s="8">
        <f t="shared" si="13"/>
        <v>0</v>
      </c>
      <c r="K72" s="3"/>
      <c r="L72" s="7">
        <f t="shared" si="14"/>
        <v>384.19</v>
      </c>
      <c r="M72" s="3"/>
      <c r="N72" s="8">
        <f t="shared" si="15"/>
        <v>0</v>
      </c>
      <c r="O72" s="12"/>
      <c r="P72" s="7">
        <v>1413.39</v>
      </c>
      <c r="Q72" s="3"/>
      <c r="R72" s="8">
        <f t="shared" si="16"/>
        <v>2.8383382811484931E-3</v>
      </c>
      <c r="S72" s="3"/>
      <c r="T72" s="7">
        <v>1258.05</v>
      </c>
      <c r="U72" s="3"/>
      <c r="V72" s="8">
        <f t="shared" si="17"/>
        <v>0.43729057464232579</v>
      </c>
      <c r="W72" s="3"/>
      <c r="X72" s="7">
        <f t="shared" si="18"/>
        <v>155.34000000000015</v>
      </c>
      <c r="Y72" s="3"/>
      <c r="Z72" s="8">
        <f t="shared" si="19"/>
        <v>0.12347680934780028</v>
      </c>
    </row>
    <row r="73" spans="1:26" s="69" customFormat="1" ht="15" hidden="1" customHeight="1" outlineLevel="2" x14ac:dyDescent="0.25">
      <c r="A73" s="25"/>
      <c r="B73" s="12" t="str">
        <f>CONCATENATE("          ","6375"," - ","OUTSIDE REPAIRS &amp; MAINTENANCE")</f>
        <v xml:space="preserve">          6375 - OUTSIDE REPAIRS &amp; MAINTENANCE</v>
      </c>
      <c r="C73" s="12"/>
      <c r="D73" s="7">
        <v>83.77</v>
      </c>
      <c r="E73" s="3"/>
      <c r="F73" s="8">
        <f t="shared" si="12"/>
        <v>9.6934410222906334E-4</v>
      </c>
      <c r="G73" s="3"/>
      <c r="H73" s="7">
        <v>205.13</v>
      </c>
      <c r="I73" s="3"/>
      <c r="J73" s="8">
        <f t="shared" si="13"/>
        <v>51.282499999999999</v>
      </c>
      <c r="K73" s="3"/>
      <c r="L73" s="7">
        <f t="shared" si="14"/>
        <v>-121.36</v>
      </c>
      <c r="M73" s="3"/>
      <c r="N73" s="8">
        <f t="shared" si="15"/>
        <v>-0.59162482328279631</v>
      </c>
      <c r="O73" s="12"/>
      <c r="P73" s="7">
        <v>5712.96</v>
      </c>
      <c r="Q73" s="3"/>
      <c r="R73" s="8">
        <f t="shared" si="16"/>
        <v>1.1472638880047329E-2</v>
      </c>
      <c r="S73" s="3"/>
      <c r="T73" s="7">
        <v>1773.38</v>
      </c>
      <c r="U73" s="3"/>
      <c r="V73" s="8">
        <f t="shared" si="17"/>
        <v>0.61641616729001847</v>
      </c>
      <c r="W73" s="3"/>
      <c r="X73" s="7">
        <f t="shared" si="18"/>
        <v>3939.58</v>
      </c>
      <c r="Y73" s="3"/>
      <c r="Z73" s="8">
        <f t="shared" si="19"/>
        <v>2.22150920840429</v>
      </c>
    </row>
    <row r="74" spans="1:26" s="68" customFormat="1" ht="15" customHeight="1" outlineLevel="1" collapsed="1" x14ac:dyDescent="0.25">
      <c r="A74" s="26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2">
        <f>SUM(OSRRefD22_13x_0)</f>
        <v>0</v>
      </c>
      <c r="E74" s="2"/>
      <c r="F74" s="6">
        <f t="shared" si="12"/>
        <v>0</v>
      </c>
      <c r="G74" s="2"/>
      <c r="H74" s="2">
        <f>SUM(OSRRefH22_13x_0)</f>
        <v>0</v>
      </c>
      <c r="I74" s="2"/>
      <c r="J74" s="6">
        <f t="shared" si="13"/>
        <v>0</v>
      </c>
      <c r="K74" s="2"/>
      <c r="L74" s="2">
        <f t="shared" si="14"/>
        <v>0</v>
      </c>
      <c r="M74" s="2"/>
      <c r="N74" s="6">
        <f t="shared" si="15"/>
        <v>0</v>
      </c>
      <c r="O74" s="14"/>
      <c r="P74" s="2">
        <f>SUM(OSRRefP22_13x_0)</f>
        <v>4367.51</v>
      </c>
      <c r="Q74" s="2"/>
      <c r="R74" s="6">
        <f t="shared" si="16"/>
        <v>8.7707361919207392E-3</v>
      </c>
      <c r="S74" s="2"/>
      <c r="T74" s="2">
        <f>SUM(OSRRefT22_13x_0)</f>
        <v>185.7</v>
      </c>
      <c r="U74" s="2"/>
      <c r="V74" s="6">
        <f t="shared" si="17"/>
        <v>6.4548197377751207E-2</v>
      </c>
      <c r="W74" s="2"/>
      <c r="X74" s="2">
        <f t="shared" si="18"/>
        <v>4181.8100000000004</v>
      </c>
      <c r="Y74" s="2"/>
      <c r="Z74" s="6">
        <f t="shared" si="19"/>
        <v>22.519170705438885</v>
      </c>
    </row>
    <row r="75" spans="1:26" s="69" customFormat="1" ht="15" hidden="1" customHeight="1" outlineLevel="2" x14ac:dyDescent="0.25">
      <c r="A75" s="25"/>
      <c r="B75" s="12" t="str">
        <f>CONCATENATE("          ","6254"," - ","ROYALTY &amp; COMMISSIONS")</f>
        <v xml:space="preserve">          6254 - ROYALTY &amp; COMMISSIONS</v>
      </c>
      <c r="C75" s="12"/>
      <c r="D75" s="7"/>
      <c r="E75" s="3"/>
      <c r="F75" s="8">
        <f t="shared" si="12"/>
        <v>0</v>
      </c>
      <c r="G75" s="3"/>
      <c r="H75" s="7"/>
      <c r="I75" s="3"/>
      <c r="J75" s="8">
        <f t="shared" si="13"/>
        <v>0</v>
      </c>
      <c r="K75" s="3"/>
      <c r="L75" s="7">
        <f t="shared" si="14"/>
        <v>0</v>
      </c>
      <c r="M75" s="3"/>
      <c r="N75" s="8">
        <f t="shared" si="15"/>
        <v>0</v>
      </c>
      <c r="O75" s="12"/>
      <c r="P75" s="7">
        <v>4367.51</v>
      </c>
      <c r="Q75" s="3"/>
      <c r="R75" s="8">
        <f t="shared" si="16"/>
        <v>8.7707361919207392E-3</v>
      </c>
      <c r="S75" s="3"/>
      <c r="T75" s="7">
        <v>185.7</v>
      </c>
      <c r="U75" s="3"/>
      <c r="V75" s="8">
        <f t="shared" si="17"/>
        <v>6.4548197377751207E-2</v>
      </c>
      <c r="W75" s="3"/>
      <c r="X75" s="7">
        <f t="shared" si="18"/>
        <v>4181.8100000000004</v>
      </c>
      <c r="Y75" s="3"/>
      <c r="Z75" s="8">
        <f t="shared" si="19"/>
        <v>22.519170705438885</v>
      </c>
    </row>
    <row r="76" spans="1:26" s="68" customFormat="1" ht="15" customHeight="1" outlineLevel="1" collapsed="1" x14ac:dyDescent="0.25">
      <c r="A76" s="26"/>
      <c r="B76" s="14" t="str">
        <f>CONCATENATE("     ","Services                                          ")</f>
        <v xml:space="preserve">     Services                                          </v>
      </c>
      <c r="C76" s="14"/>
      <c r="D76" s="2">
        <f>SUM(OSRRefD22_14x_0)</f>
        <v>222.03</v>
      </c>
      <c r="E76" s="2"/>
      <c r="F76" s="6">
        <f t="shared" si="12"/>
        <v>2.569218944943523E-3</v>
      </c>
      <c r="G76" s="2"/>
      <c r="H76" s="2">
        <f>SUM(OSRRefH22_14x_0)</f>
        <v>609.25</v>
      </c>
      <c r="I76" s="2"/>
      <c r="J76" s="6">
        <f t="shared" si="13"/>
        <v>152.3125</v>
      </c>
      <c r="K76" s="2"/>
      <c r="L76" s="2">
        <f t="shared" si="14"/>
        <v>-387.22</v>
      </c>
      <c r="M76" s="2"/>
      <c r="N76" s="6">
        <f t="shared" si="15"/>
        <v>-0.63556832170701683</v>
      </c>
      <c r="O76" s="14"/>
      <c r="P76" s="2">
        <f>SUM(OSRRefP22_14x_0)</f>
        <v>12638.830000000002</v>
      </c>
      <c r="Q76" s="2"/>
      <c r="R76" s="6">
        <f t="shared" si="16"/>
        <v>2.5381016575699567E-2</v>
      </c>
      <c r="S76" s="2"/>
      <c r="T76" s="2">
        <f>SUM(OSRRefT22_14x_0)</f>
        <v>3055.46</v>
      </c>
      <c r="U76" s="2"/>
      <c r="V76" s="6">
        <f t="shared" si="17"/>
        <v>1.0620594246624862</v>
      </c>
      <c r="W76" s="2"/>
      <c r="X76" s="2">
        <f t="shared" si="18"/>
        <v>9583.3700000000026</v>
      </c>
      <c r="Y76" s="2"/>
      <c r="Z76" s="6">
        <f t="shared" si="19"/>
        <v>3.1364737224509573</v>
      </c>
    </row>
    <row r="77" spans="1:26" s="69" customFormat="1" ht="15" hidden="1" customHeight="1" outlineLevel="2" x14ac:dyDescent="0.25">
      <c r="A77" s="25"/>
      <c r="B77" s="12" t="str">
        <f>CONCATENATE("          ","6282"," - ","JANITORIAL/EXTERMINATOR EXPENS")</f>
        <v xml:space="preserve">          6282 - JANITORIAL/EXTERMINATOR EXPENS</v>
      </c>
      <c r="C77" s="12"/>
      <c r="D77" s="7">
        <v>129</v>
      </c>
      <c r="E77" s="3"/>
      <c r="F77" s="8">
        <f t="shared" si="12"/>
        <v>1.4927228027641062E-3</v>
      </c>
      <c r="G77" s="3"/>
      <c r="H77" s="7">
        <v>320.25</v>
      </c>
      <c r="I77" s="3"/>
      <c r="J77" s="8">
        <f t="shared" si="13"/>
        <v>80.0625</v>
      </c>
      <c r="K77" s="3"/>
      <c r="L77" s="7">
        <f t="shared" si="14"/>
        <v>-191.25</v>
      </c>
      <c r="M77" s="3"/>
      <c r="N77" s="8">
        <f t="shared" si="15"/>
        <v>-0.59718969555035128</v>
      </c>
      <c r="O77" s="12"/>
      <c r="P77" s="7">
        <v>3752.2</v>
      </c>
      <c r="Q77" s="3"/>
      <c r="R77" s="8">
        <f t="shared" si="16"/>
        <v>7.5350843705738503E-3</v>
      </c>
      <c r="S77" s="3"/>
      <c r="T77" s="7">
        <v>2407.06</v>
      </c>
      <c r="U77" s="3"/>
      <c r="V77" s="8">
        <f t="shared" si="17"/>
        <v>0.83667950447005823</v>
      </c>
      <c r="W77" s="3"/>
      <c r="X77" s="7">
        <f t="shared" si="18"/>
        <v>1345.1399999999999</v>
      </c>
      <c r="Y77" s="3"/>
      <c r="Z77" s="8">
        <f t="shared" si="19"/>
        <v>0.55883110516563772</v>
      </c>
    </row>
    <row r="78" spans="1:26" s="69" customFormat="1" ht="15" hidden="1" customHeight="1" outlineLevel="2" x14ac:dyDescent="0.25">
      <c r="A78" s="25"/>
      <c r="B78" s="12" t="str">
        <f>CONCATENATE("          ","6284"," - ","TRASH REMOVAL EXPENSE")</f>
        <v xml:space="preserve">          6284 - TRASH REMOVAL EXPENSE</v>
      </c>
      <c r="C78" s="12"/>
      <c r="D78" s="7"/>
      <c r="E78" s="3"/>
      <c r="F78" s="8">
        <f t="shared" si="12"/>
        <v>0</v>
      </c>
      <c r="G78" s="3"/>
      <c r="H78" s="7">
        <v>289</v>
      </c>
      <c r="I78" s="3"/>
      <c r="J78" s="8">
        <f t="shared" si="13"/>
        <v>72.25</v>
      </c>
      <c r="K78" s="3"/>
      <c r="L78" s="7">
        <f t="shared" si="14"/>
        <v>-289</v>
      </c>
      <c r="M78" s="3"/>
      <c r="N78" s="8">
        <f t="shared" si="15"/>
        <v>-1</v>
      </c>
      <c r="O78" s="12"/>
      <c r="P78" s="7"/>
      <c r="Q78" s="3"/>
      <c r="R78" s="8">
        <f t="shared" si="16"/>
        <v>0</v>
      </c>
      <c r="S78" s="3"/>
      <c r="T78" s="7">
        <v>1453</v>
      </c>
      <c r="U78" s="3"/>
      <c r="V78" s="8">
        <f t="shared" si="17"/>
        <v>0.50505401610055201</v>
      </c>
      <c r="W78" s="3"/>
      <c r="X78" s="7">
        <f t="shared" si="18"/>
        <v>-1453</v>
      </c>
      <c r="Y78" s="3"/>
      <c r="Z78" s="8">
        <f t="shared" si="19"/>
        <v>-1</v>
      </c>
    </row>
    <row r="79" spans="1:26" s="69" customFormat="1" ht="15" hidden="1" customHeight="1" outlineLevel="2" x14ac:dyDescent="0.25">
      <c r="A79" s="25"/>
      <c r="B79" s="12" t="str">
        <f>CONCATENATE("          ","6285"," - ","JANITORIAL SERVICES")</f>
        <v xml:space="preserve">          6285 - JANITORIAL SERVICES</v>
      </c>
      <c r="C79" s="12"/>
      <c r="D79" s="7"/>
      <c r="E79" s="3"/>
      <c r="F79" s="8">
        <f t="shared" si="12"/>
        <v>0</v>
      </c>
      <c r="G79" s="3"/>
      <c r="H79" s="7"/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>
        <v>7738.84</v>
      </c>
      <c r="Q79" s="3"/>
      <c r="R79" s="8">
        <f t="shared" si="16"/>
        <v>1.5540965921425228E-2</v>
      </c>
      <c r="S79" s="3"/>
      <c r="T79" s="7">
        <v>-804.6</v>
      </c>
      <c r="U79" s="3"/>
      <c r="V79" s="8">
        <f t="shared" si="17"/>
        <v>-0.27967409590812398</v>
      </c>
      <c r="W79" s="3"/>
      <c r="X79" s="7">
        <f t="shared" si="18"/>
        <v>8543.44</v>
      </c>
      <c r="Y79" s="3"/>
      <c r="Z79" s="8">
        <f t="shared" si="19"/>
        <v>-10.618245090728312</v>
      </c>
    </row>
    <row r="80" spans="1:26" s="69" customFormat="1" ht="15" hidden="1" customHeight="1" outlineLevel="2" x14ac:dyDescent="0.25">
      <c r="A80" s="25"/>
      <c r="B80" s="12" t="str">
        <f>CONCATENATE("          ","6286"," - ","LAUNDRY EXPENSE")</f>
        <v xml:space="preserve">          6286 - LAUNDRY EXPENSE</v>
      </c>
      <c r="C80" s="12"/>
      <c r="D80" s="7">
        <v>93.03</v>
      </c>
      <c r="E80" s="3"/>
      <c r="F80" s="8">
        <f t="shared" si="12"/>
        <v>1.076496142179417E-3</v>
      </c>
      <c r="G80" s="3"/>
      <c r="H80" s="7"/>
      <c r="I80" s="3"/>
      <c r="J80" s="8">
        <f t="shared" si="13"/>
        <v>0</v>
      </c>
      <c r="K80" s="3"/>
      <c r="L80" s="7">
        <f t="shared" si="14"/>
        <v>93.03</v>
      </c>
      <c r="M80" s="3"/>
      <c r="N80" s="8">
        <f t="shared" si="15"/>
        <v>0</v>
      </c>
      <c r="O80" s="12"/>
      <c r="P80" s="7">
        <v>1147.79</v>
      </c>
      <c r="Q80" s="3"/>
      <c r="R80" s="8">
        <f t="shared" si="16"/>
        <v>2.3049662837004849E-3</v>
      </c>
      <c r="S80" s="3"/>
      <c r="T80" s="7"/>
      <c r="U80" s="3"/>
      <c r="V80" s="8">
        <f t="shared" si="17"/>
        <v>0</v>
      </c>
      <c r="W80" s="3"/>
      <c r="X80" s="7">
        <f t="shared" si="18"/>
        <v>1147.79</v>
      </c>
      <c r="Y80" s="3"/>
      <c r="Z80" s="8">
        <f t="shared" si="19"/>
        <v>0</v>
      </c>
    </row>
    <row r="81" spans="1:26" s="68" customFormat="1" ht="15" customHeight="1" outlineLevel="1" collapsed="1" x14ac:dyDescent="0.25">
      <c r="A81" s="26"/>
      <c r="B81" s="14" t="str">
        <f>CONCATENATE("     ","Supplies                                          ")</f>
        <v xml:space="preserve">     Supplies                                          </v>
      </c>
      <c r="C81" s="14"/>
      <c r="D81" s="2">
        <f>SUM(OSRRefD22_15x_0)</f>
        <v>838.15</v>
      </c>
      <c r="E81" s="2"/>
      <c r="F81" s="6">
        <f t="shared" si="12"/>
        <v>9.6986481948584148E-3</v>
      </c>
      <c r="G81" s="2"/>
      <c r="H81" s="2">
        <f>SUM(OSRRefH22_15x_0)</f>
        <v>0</v>
      </c>
      <c r="I81" s="2"/>
      <c r="J81" s="6">
        <f t="shared" si="13"/>
        <v>0</v>
      </c>
      <c r="K81" s="2"/>
      <c r="L81" s="2">
        <f t="shared" si="14"/>
        <v>838.15</v>
      </c>
      <c r="M81" s="2"/>
      <c r="N81" s="6">
        <f t="shared" si="15"/>
        <v>0</v>
      </c>
      <c r="O81" s="14"/>
      <c r="P81" s="2">
        <f>SUM(OSRRefP22_15x_0)</f>
        <v>6491.1</v>
      </c>
      <c r="Q81" s="2"/>
      <c r="R81" s="6">
        <f t="shared" si="16"/>
        <v>1.3035282276486308E-2</v>
      </c>
      <c r="S81" s="2"/>
      <c r="T81" s="2">
        <f>SUM(OSRRefT22_15x_0)</f>
        <v>1094.0899999999999</v>
      </c>
      <c r="U81" s="2"/>
      <c r="V81" s="6">
        <f t="shared" si="17"/>
        <v>0.38029906983857731</v>
      </c>
      <c r="W81" s="2"/>
      <c r="X81" s="2">
        <f t="shared" si="18"/>
        <v>5397.01</v>
      </c>
      <c r="Y81" s="2"/>
      <c r="Z81" s="6">
        <f t="shared" si="19"/>
        <v>4.9328757232037592</v>
      </c>
    </row>
    <row r="82" spans="1:26" s="69" customFormat="1" ht="15" hidden="1" customHeight="1" outlineLevel="2" x14ac:dyDescent="0.25">
      <c r="A82" s="25"/>
      <c r="B82" s="12" t="str">
        <f>CONCATENATE("          ","6234"," - ","EXPENDABLE SUPPLIES &amp; EQUIPMEN")</f>
        <v xml:space="preserve">          6234 - EXPENDABLE SUPPLIES &amp; EQUIPMEN</v>
      </c>
      <c r="C82" s="12"/>
      <c r="D82" s="7"/>
      <c r="E82" s="3"/>
      <c r="F82" s="8">
        <f t="shared" si="12"/>
        <v>0</v>
      </c>
      <c r="G82" s="3"/>
      <c r="H82" s="7"/>
      <c r="I82" s="3"/>
      <c r="J82" s="8">
        <f t="shared" si="13"/>
        <v>0</v>
      </c>
      <c r="K82" s="3"/>
      <c r="L82" s="7">
        <f t="shared" si="14"/>
        <v>0</v>
      </c>
      <c r="M82" s="3"/>
      <c r="N82" s="8">
        <f t="shared" si="15"/>
        <v>0</v>
      </c>
      <c r="O82" s="12"/>
      <c r="P82" s="7">
        <v>1194.8900000000001</v>
      </c>
      <c r="Q82" s="3"/>
      <c r="R82" s="8">
        <f t="shared" si="16"/>
        <v>2.399551453428652E-3</v>
      </c>
      <c r="S82" s="3"/>
      <c r="T82" s="7">
        <v>316.67</v>
      </c>
      <c r="U82" s="3"/>
      <c r="V82" s="8">
        <f t="shared" si="17"/>
        <v>0.11007257761773008</v>
      </c>
      <c r="W82" s="3"/>
      <c r="X82" s="7">
        <f t="shared" si="18"/>
        <v>878.22</v>
      </c>
      <c r="Y82" s="3"/>
      <c r="Z82" s="8">
        <f t="shared" si="19"/>
        <v>2.7732971231881769</v>
      </c>
    </row>
    <row r="83" spans="1:26" s="69" customFormat="1" ht="15" hidden="1" customHeight="1" outlineLevel="2" x14ac:dyDescent="0.25">
      <c r="A83" s="25"/>
      <c r="B83" s="12" t="str">
        <f>CONCATENATE("          ","6235"," - ","COVID-19 EXPENSES")</f>
        <v xml:space="preserve">          6235 - COVID-19 EXPENSES</v>
      </c>
      <c r="C83" s="12"/>
      <c r="D83" s="7"/>
      <c r="E83" s="3"/>
      <c r="F83" s="8">
        <f t="shared" si="12"/>
        <v>0</v>
      </c>
      <c r="G83" s="3"/>
      <c r="H83" s="7"/>
      <c r="I83" s="3"/>
      <c r="J83" s="8">
        <f t="shared" si="13"/>
        <v>0</v>
      </c>
      <c r="K83" s="3"/>
      <c r="L83" s="7">
        <f t="shared" si="14"/>
        <v>0</v>
      </c>
      <c r="M83" s="3"/>
      <c r="N83" s="8">
        <f t="shared" si="15"/>
        <v>0</v>
      </c>
      <c r="O83" s="12"/>
      <c r="P83" s="7">
        <v>71.45</v>
      </c>
      <c r="Q83" s="3"/>
      <c r="R83" s="8">
        <f t="shared" si="16"/>
        <v>1.4348429675323853E-4</v>
      </c>
      <c r="S83" s="3"/>
      <c r="T83" s="7">
        <v>207.27</v>
      </c>
      <c r="U83" s="3"/>
      <c r="V83" s="8">
        <f t="shared" si="17"/>
        <v>7.2045798979464157E-2</v>
      </c>
      <c r="W83" s="3"/>
      <c r="X83" s="7">
        <f t="shared" si="18"/>
        <v>-135.82</v>
      </c>
      <c r="Y83" s="3"/>
      <c r="Z83" s="8">
        <f t="shared" si="19"/>
        <v>-0.65528055193708679</v>
      </c>
    </row>
    <row r="84" spans="1:26" s="69" customFormat="1" ht="15" hidden="1" customHeight="1" outlineLevel="2" x14ac:dyDescent="0.25">
      <c r="A84" s="25"/>
      <c r="B84" s="12" t="str">
        <f>CONCATENATE("          ","6237"," - ","JANITORIAL SUPPLIES")</f>
        <v xml:space="preserve">          6237 - JANITORIAL SUPPLIES</v>
      </c>
      <c r="C84" s="12"/>
      <c r="D84" s="7">
        <v>196.26</v>
      </c>
      <c r="E84" s="3"/>
      <c r="F84" s="8">
        <f t="shared" si="12"/>
        <v>2.271021529228554E-3</v>
      </c>
      <c r="G84" s="3"/>
      <c r="H84" s="7"/>
      <c r="I84" s="3"/>
      <c r="J84" s="8">
        <f t="shared" si="13"/>
        <v>0</v>
      </c>
      <c r="K84" s="3"/>
      <c r="L84" s="7">
        <f t="shared" si="14"/>
        <v>196.26</v>
      </c>
      <c r="M84" s="3"/>
      <c r="N84" s="8">
        <f t="shared" si="15"/>
        <v>0</v>
      </c>
      <c r="O84" s="12"/>
      <c r="P84" s="7">
        <v>1135.07</v>
      </c>
      <c r="Q84" s="3"/>
      <c r="R84" s="8">
        <f t="shared" si="16"/>
        <v>2.279422263340776E-3</v>
      </c>
      <c r="S84" s="3"/>
      <c r="T84" s="7">
        <v>317.57</v>
      </c>
      <c r="U84" s="3"/>
      <c r="V84" s="8">
        <f t="shared" si="17"/>
        <v>0.11038541217691142</v>
      </c>
      <c r="W84" s="3"/>
      <c r="X84" s="7">
        <f t="shared" si="18"/>
        <v>817.5</v>
      </c>
      <c r="Y84" s="3"/>
      <c r="Z84" s="8">
        <f t="shared" si="19"/>
        <v>2.5742356015996473</v>
      </c>
    </row>
    <row r="85" spans="1:26" s="69" customFormat="1" ht="15" hidden="1" customHeight="1" outlineLevel="2" x14ac:dyDescent="0.25">
      <c r="A85" s="25"/>
      <c r="B85" s="12" t="str">
        <f>CONCATENATE("          ","6241"," - ","OFFICE EXPENSE")</f>
        <v xml:space="preserve">          6241 - OFFICE EXPENSE</v>
      </c>
      <c r="C85" s="12"/>
      <c r="D85" s="7"/>
      <c r="E85" s="3"/>
      <c r="F85" s="8">
        <f t="shared" si="12"/>
        <v>0</v>
      </c>
      <c r="G85" s="3"/>
      <c r="H85" s="7"/>
      <c r="I85" s="3"/>
      <c r="J85" s="8">
        <f t="shared" si="13"/>
        <v>0</v>
      </c>
      <c r="K85" s="3"/>
      <c r="L85" s="7">
        <f t="shared" si="14"/>
        <v>0</v>
      </c>
      <c r="M85" s="3"/>
      <c r="N85" s="8">
        <f t="shared" si="15"/>
        <v>0</v>
      </c>
      <c r="O85" s="12"/>
      <c r="P85" s="7">
        <v>476.56</v>
      </c>
      <c r="Q85" s="3"/>
      <c r="R85" s="8">
        <f t="shared" si="16"/>
        <v>9.5701716530053682E-4</v>
      </c>
      <c r="S85" s="3"/>
      <c r="T85" s="7">
        <v>131.30000000000001</v>
      </c>
      <c r="U85" s="3"/>
      <c r="V85" s="8">
        <f t="shared" si="17"/>
        <v>4.5639086245012027E-2</v>
      </c>
      <c r="W85" s="3"/>
      <c r="X85" s="7">
        <f t="shared" si="18"/>
        <v>345.26</v>
      </c>
      <c r="Y85" s="3"/>
      <c r="Z85" s="8">
        <f t="shared" si="19"/>
        <v>2.6295506473724291</v>
      </c>
    </row>
    <row r="86" spans="1:26" s="69" customFormat="1" ht="15" hidden="1" customHeight="1" outlineLevel="2" x14ac:dyDescent="0.25">
      <c r="A86" s="25"/>
      <c r="B86" s="12" t="str">
        <f>CONCATENATE("          ","6243"," - ","PAPER SUPPLIES")</f>
        <v xml:space="preserve">          6243 - PAPER SUPPLIES</v>
      </c>
      <c r="C86" s="12"/>
      <c r="D86" s="7">
        <v>677.12</v>
      </c>
      <c r="E86" s="3"/>
      <c r="F86" s="8">
        <f t="shared" si="12"/>
        <v>7.8352904202141985E-3</v>
      </c>
      <c r="G86" s="3"/>
      <c r="H86" s="7"/>
      <c r="I86" s="3"/>
      <c r="J86" s="8">
        <f t="shared" si="13"/>
        <v>0</v>
      </c>
      <c r="K86" s="3"/>
      <c r="L86" s="7">
        <f t="shared" si="14"/>
        <v>677.12</v>
      </c>
      <c r="M86" s="3"/>
      <c r="N86" s="8">
        <f t="shared" si="15"/>
        <v>0</v>
      </c>
      <c r="O86" s="12"/>
      <c r="P86" s="7">
        <v>721.5</v>
      </c>
      <c r="Q86" s="3"/>
      <c r="R86" s="8">
        <f t="shared" si="16"/>
        <v>1.4489002114410302E-3</v>
      </c>
      <c r="S86" s="3"/>
      <c r="T86" s="7"/>
      <c r="U86" s="3"/>
      <c r="V86" s="8">
        <f t="shared" si="17"/>
        <v>0</v>
      </c>
      <c r="W86" s="3"/>
      <c r="X86" s="7">
        <f t="shared" si="18"/>
        <v>721.5</v>
      </c>
      <c r="Y86" s="3"/>
      <c r="Z86" s="8">
        <f t="shared" si="19"/>
        <v>0</v>
      </c>
    </row>
    <row r="87" spans="1:26" s="69" customFormat="1" ht="15" hidden="1" customHeight="1" outlineLevel="2" x14ac:dyDescent="0.25">
      <c r="A87" s="25"/>
      <c r="B87" s="12" t="str">
        <f>CONCATENATE("          ","6247"," - ","STORE SUPPLIES")</f>
        <v xml:space="preserve">          6247 - STORE SUPPLIES</v>
      </c>
      <c r="C87" s="12"/>
      <c r="D87" s="7">
        <v>-35.229999999999997</v>
      </c>
      <c r="E87" s="3"/>
      <c r="F87" s="8">
        <f t="shared" si="12"/>
        <v>-4.0766375458433686E-4</v>
      </c>
      <c r="G87" s="3"/>
      <c r="H87" s="7"/>
      <c r="I87" s="3"/>
      <c r="J87" s="8">
        <f t="shared" si="13"/>
        <v>0</v>
      </c>
      <c r="K87" s="3"/>
      <c r="L87" s="7">
        <f t="shared" si="14"/>
        <v>-35.229999999999997</v>
      </c>
      <c r="M87" s="3"/>
      <c r="N87" s="8">
        <f t="shared" si="15"/>
        <v>0</v>
      </c>
      <c r="O87" s="12"/>
      <c r="P87" s="7">
        <v>2891.63</v>
      </c>
      <c r="Q87" s="3"/>
      <c r="R87" s="8">
        <f t="shared" si="16"/>
        <v>5.8069068862220737E-3</v>
      </c>
      <c r="S87" s="3"/>
      <c r="T87" s="7">
        <v>121.28</v>
      </c>
      <c r="U87" s="3"/>
      <c r="V87" s="8">
        <f t="shared" si="17"/>
        <v>4.2156194819459702E-2</v>
      </c>
      <c r="W87" s="3"/>
      <c r="X87" s="7">
        <f t="shared" si="18"/>
        <v>2770.35</v>
      </c>
      <c r="Y87" s="3"/>
      <c r="Z87" s="8">
        <f t="shared" si="19"/>
        <v>22.842595646437992</v>
      </c>
    </row>
    <row r="88" spans="1:26" s="68" customFormat="1" ht="15" customHeight="1" outlineLevel="1" collapsed="1" x14ac:dyDescent="0.25">
      <c r="A88" s="26"/>
      <c r="B88" s="14" t="str">
        <f>CONCATENATE("     ","Telephone/Data Lines                              ")</f>
        <v xml:space="preserve">     Telephone/Data Lines                              </v>
      </c>
      <c r="C88" s="14"/>
      <c r="D88" s="2">
        <f>SUM(OSRRefD22_16x_0)</f>
        <v>253.5</v>
      </c>
      <c r="E88" s="2"/>
      <c r="F88" s="6">
        <f t="shared" si="12"/>
        <v>2.9333738798503948E-3</v>
      </c>
      <c r="G88" s="2"/>
      <c r="H88" s="2">
        <f>SUM(OSRRefH22_16x_0)</f>
        <v>36.700000000000003</v>
      </c>
      <c r="I88" s="2"/>
      <c r="J88" s="6">
        <f t="shared" si="13"/>
        <v>9.1750000000000007</v>
      </c>
      <c r="K88" s="2"/>
      <c r="L88" s="2">
        <f t="shared" si="14"/>
        <v>216.8</v>
      </c>
      <c r="M88" s="2"/>
      <c r="N88" s="6">
        <f t="shared" si="15"/>
        <v>5.907356948228883</v>
      </c>
      <c r="O88" s="14"/>
      <c r="P88" s="2">
        <f>SUM(OSRRefP22_16x_0)</f>
        <v>1900</v>
      </c>
      <c r="Q88" s="2"/>
      <c r="R88" s="6">
        <f t="shared" si="16"/>
        <v>3.8155376323464412E-3</v>
      </c>
      <c r="S88" s="2"/>
      <c r="T88" s="2">
        <f>SUM(OSRRefT22_16x_0)</f>
        <v>3555.09</v>
      </c>
      <c r="U88" s="2"/>
      <c r="V88" s="6">
        <f t="shared" si="17"/>
        <v>1.2357277922222376</v>
      </c>
      <c r="W88" s="2"/>
      <c r="X88" s="2">
        <f t="shared" si="18"/>
        <v>-1655.0900000000001</v>
      </c>
      <c r="Y88" s="2"/>
      <c r="Z88" s="6">
        <f t="shared" si="19"/>
        <v>-0.46555502111057667</v>
      </c>
    </row>
    <row r="89" spans="1:26" s="69" customFormat="1" ht="15" hidden="1" customHeight="1" outlineLevel="2" x14ac:dyDescent="0.25">
      <c r="A89" s="25"/>
      <c r="B89" s="12" t="str">
        <f>CONCATENATE("          ","6309"," - ","TELEPHONE")</f>
        <v xml:space="preserve">          6309 - TELEPHONE</v>
      </c>
      <c r="C89" s="12"/>
      <c r="D89" s="7">
        <v>253.5</v>
      </c>
      <c r="E89" s="3"/>
      <c r="F89" s="8">
        <f t="shared" si="12"/>
        <v>2.9333738798503948E-3</v>
      </c>
      <c r="G89" s="3"/>
      <c r="H89" s="7">
        <v>36.700000000000003</v>
      </c>
      <c r="I89" s="3"/>
      <c r="J89" s="8">
        <f t="shared" si="13"/>
        <v>9.1750000000000007</v>
      </c>
      <c r="K89" s="3"/>
      <c r="L89" s="7">
        <f t="shared" si="14"/>
        <v>216.8</v>
      </c>
      <c r="M89" s="3"/>
      <c r="N89" s="8">
        <f t="shared" si="15"/>
        <v>5.907356948228883</v>
      </c>
      <c r="O89" s="12"/>
      <c r="P89" s="7">
        <v>1900</v>
      </c>
      <c r="Q89" s="3"/>
      <c r="R89" s="8">
        <f t="shared" si="16"/>
        <v>3.8155376323464412E-3</v>
      </c>
      <c r="S89" s="3"/>
      <c r="T89" s="7">
        <v>3555.09</v>
      </c>
      <c r="U89" s="3"/>
      <c r="V89" s="8">
        <f t="shared" si="17"/>
        <v>1.2357277922222376</v>
      </c>
      <c r="W89" s="3"/>
      <c r="X89" s="7">
        <f t="shared" si="18"/>
        <v>-1655.0900000000001</v>
      </c>
      <c r="Y89" s="3"/>
      <c r="Z89" s="8">
        <f t="shared" si="19"/>
        <v>-0.46555502111057667</v>
      </c>
    </row>
    <row r="90" spans="1:26" s="68" customFormat="1" ht="15" customHeight="1" outlineLevel="1" collapsed="1" x14ac:dyDescent="0.25">
      <c r="A90" s="26"/>
      <c r="B90" s="14" t="str">
        <f>CONCATENATE("     ","Training                                          ")</f>
        <v xml:space="preserve">     Training                                          </v>
      </c>
      <c r="C90" s="14"/>
      <c r="D90" s="2">
        <f>SUM(OSRRefD22_17x_0)</f>
        <v>0</v>
      </c>
      <c r="E90" s="2"/>
      <c r="F90" s="6">
        <f t="shared" si="12"/>
        <v>0</v>
      </c>
      <c r="G90" s="2"/>
      <c r="H90" s="2">
        <f>SUM(OSRRefH22_17x_0)</f>
        <v>0</v>
      </c>
      <c r="I90" s="2"/>
      <c r="J90" s="6">
        <f t="shared" si="13"/>
        <v>0</v>
      </c>
      <c r="K90" s="2"/>
      <c r="L90" s="2">
        <f t="shared" si="14"/>
        <v>0</v>
      </c>
      <c r="M90" s="2"/>
      <c r="N90" s="6">
        <f t="shared" si="15"/>
        <v>0</v>
      </c>
      <c r="O90" s="14"/>
      <c r="P90" s="2">
        <f>SUM(OSRRefP22_17x_0)</f>
        <v>320</v>
      </c>
      <c r="Q90" s="2"/>
      <c r="R90" s="6">
        <f t="shared" si="16"/>
        <v>6.4261686439519002E-4</v>
      </c>
      <c r="S90" s="2"/>
      <c r="T90" s="2">
        <f>SUM(OSRRefT22_17x_0)</f>
        <v>0</v>
      </c>
      <c r="U90" s="2"/>
      <c r="V90" s="6">
        <f t="shared" si="17"/>
        <v>0</v>
      </c>
      <c r="W90" s="2"/>
      <c r="X90" s="2">
        <f t="shared" si="18"/>
        <v>320</v>
      </c>
      <c r="Y90" s="2"/>
      <c r="Z90" s="6">
        <f t="shared" si="19"/>
        <v>0</v>
      </c>
    </row>
    <row r="91" spans="1:26" s="69" customFormat="1" ht="15" hidden="1" customHeight="1" outlineLevel="2" x14ac:dyDescent="0.25">
      <c r="A91" s="25"/>
      <c r="B91" s="12" t="str">
        <f>CONCATENATE("          ","6376"," - ","TRAINING")</f>
        <v xml:space="preserve">          6376 - TRAINING</v>
      </c>
      <c r="C91" s="12"/>
      <c r="D91" s="7"/>
      <c r="E91" s="3"/>
      <c r="F91" s="8">
        <f t="shared" si="12"/>
        <v>0</v>
      </c>
      <c r="G91" s="3"/>
      <c r="H91" s="7"/>
      <c r="I91" s="3"/>
      <c r="J91" s="8">
        <f t="shared" si="13"/>
        <v>0</v>
      </c>
      <c r="K91" s="3"/>
      <c r="L91" s="7">
        <f t="shared" si="14"/>
        <v>0</v>
      </c>
      <c r="M91" s="3"/>
      <c r="N91" s="8">
        <f t="shared" si="15"/>
        <v>0</v>
      </c>
      <c r="O91" s="12"/>
      <c r="P91" s="7">
        <v>320</v>
      </c>
      <c r="Q91" s="3"/>
      <c r="R91" s="8">
        <f t="shared" si="16"/>
        <v>6.4261686439519002E-4</v>
      </c>
      <c r="S91" s="3"/>
      <c r="T91" s="7"/>
      <c r="U91" s="3"/>
      <c r="V91" s="8">
        <f t="shared" si="17"/>
        <v>0</v>
      </c>
      <c r="W91" s="3"/>
      <c r="X91" s="7">
        <f t="shared" si="18"/>
        <v>320</v>
      </c>
      <c r="Y91" s="3"/>
      <c r="Z91" s="8">
        <f t="shared" si="19"/>
        <v>0</v>
      </c>
    </row>
    <row r="92" spans="1:26" s="68" customFormat="1" ht="15" customHeight="1" outlineLevel="1" collapsed="1" x14ac:dyDescent="0.25">
      <c r="A92" s="26"/>
      <c r="B92" s="14" t="str">
        <f>CONCATENATE("     ","Utilities                                         ")</f>
        <v xml:space="preserve">     Utilities                                         </v>
      </c>
      <c r="C92" s="14"/>
      <c r="D92" s="2">
        <f>SUM(OSRRefD22_18x_0)</f>
        <v>242.98</v>
      </c>
      <c r="E92" s="2"/>
      <c r="F92" s="6">
        <f t="shared" si="12"/>
        <v>2.8116417567102519E-3</v>
      </c>
      <c r="G92" s="2"/>
      <c r="H92" s="2">
        <f>SUM(OSRRefH22_18x_0)</f>
        <v>1136</v>
      </c>
      <c r="I92" s="2"/>
      <c r="J92" s="6">
        <f t="shared" si="13"/>
        <v>284</v>
      </c>
      <c r="K92" s="2"/>
      <c r="L92" s="2">
        <f t="shared" si="14"/>
        <v>-893.02</v>
      </c>
      <c r="M92" s="2"/>
      <c r="N92" s="6">
        <f t="shared" si="15"/>
        <v>-0.78610915492957745</v>
      </c>
      <c r="O92" s="14"/>
      <c r="P92" s="2">
        <f>SUM(OSRRefP22_18x_0)</f>
        <v>1242.98</v>
      </c>
      <c r="Q92" s="2"/>
      <c r="R92" s="6">
        <f t="shared" si="16"/>
        <v>2.4961247190810418E-3</v>
      </c>
      <c r="S92" s="2"/>
      <c r="T92" s="2">
        <f>SUM(OSRRefT22_18x_0)</f>
        <v>6920</v>
      </c>
      <c r="U92" s="2"/>
      <c r="V92" s="6">
        <f t="shared" si="17"/>
        <v>2.4053501661499102</v>
      </c>
      <c r="W92" s="2"/>
      <c r="X92" s="2">
        <f t="shared" si="18"/>
        <v>-5677.02</v>
      </c>
      <c r="Y92" s="2"/>
      <c r="Z92" s="6">
        <f t="shared" si="19"/>
        <v>-0.82037861271676304</v>
      </c>
    </row>
    <row r="93" spans="1:26" s="69" customFormat="1" ht="15" hidden="1" customHeight="1" outlineLevel="2" x14ac:dyDescent="0.25">
      <c r="A93" s="25"/>
      <c r="B93" s="12" t="str">
        <f>CONCATENATE("          ","6274"," - ","UTILITIES")</f>
        <v xml:space="preserve">          6274 - UTILITIES</v>
      </c>
      <c r="C93" s="12"/>
      <c r="D93" s="7">
        <v>242.98</v>
      </c>
      <c r="E93" s="3"/>
      <c r="F93" s="8">
        <f t="shared" si="12"/>
        <v>2.8116417567102519E-3</v>
      </c>
      <c r="G93" s="3"/>
      <c r="H93" s="7">
        <v>1136</v>
      </c>
      <c r="I93" s="3"/>
      <c r="J93" s="8">
        <f t="shared" si="13"/>
        <v>284</v>
      </c>
      <c r="K93" s="3"/>
      <c r="L93" s="7">
        <f t="shared" si="14"/>
        <v>-893.02</v>
      </c>
      <c r="M93" s="3"/>
      <c r="N93" s="8">
        <f t="shared" si="15"/>
        <v>-0.78610915492957745</v>
      </c>
      <c r="O93" s="12"/>
      <c r="P93" s="7">
        <v>1242.98</v>
      </c>
      <c r="Q93" s="3"/>
      <c r="R93" s="8">
        <f t="shared" si="16"/>
        <v>2.4961247190810418E-3</v>
      </c>
      <c r="S93" s="3"/>
      <c r="T93" s="7">
        <v>6920</v>
      </c>
      <c r="U93" s="3"/>
      <c r="V93" s="8">
        <f t="shared" si="17"/>
        <v>2.4053501661499102</v>
      </c>
      <c r="W93" s="3"/>
      <c r="X93" s="7">
        <f t="shared" si="18"/>
        <v>-5677.02</v>
      </c>
      <c r="Y93" s="3"/>
      <c r="Z93" s="8">
        <f t="shared" si="19"/>
        <v>-0.82037861271676304</v>
      </c>
    </row>
    <row r="94" spans="1:26" s="64" customFormat="1" ht="15" customHeight="1" x14ac:dyDescent="0.25">
      <c r="A94" s="36"/>
      <c r="B94" s="36"/>
      <c r="C94" s="36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36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62" customFormat="1" ht="15" customHeight="1" x14ac:dyDescent="0.25">
      <c r="A95" s="11"/>
      <c r="B95" s="28" t="s">
        <v>290</v>
      </c>
      <c r="C95" s="11"/>
      <c r="D95" s="5">
        <f>SUM(0)</f>
        <v>0</v>
      </c>
      <c r="E95" s="5"/>
      <c r="F95" s="13">
        <f>IF(D$12=0,0,D95/D$12)</f>
        <v>0</v>
      </c>
      <c r="G95" s="5"/>
      <c r="H95" s="5">
        <f>SUM(0)</f>
        <v>0</v>
      </c>
      <c r="I95" s="5"/>
      <c r="J95" s="13">
        <f>IF(H$12=0,0,H95/H$12)</f>
        <v>0</v>
      </c>
      <c r="K95" s="5"/>
      <c r="L95" s="5">
        <f>+D95-H95</f>
        <v>0</v>
      </c>
      <c r="M95" s="5"/>
      <c r="N95" s="13">
        <f>IF(H95=0,0,L95/H95)</f>
        <v>0</v>
      </c>
      <c r="O95" s="11"/>
      <c r="P95" s="5">
        <f>SUM(0)</f>
        <v>0</v>
      </c>
      <c r="Q95" s="5"/>
      <c r="R95" s="13">
        <f>IF(P$12=0,0,P95/P$12)</f>
        <v>0</v>
      </c>
      <c r="S95" s="5"/>
      <c r="T95" s="5">
        <f>SUM(0)</f>
        <v>0</v>
      </c>
      <c r="U95" s="5"/>
      <c r="V95" s="13">
        <f>IF(T$12=0,0,T95/T$12)</f>
        <v>0</v>
      </c>
      <c r="W95" s="5"/>
      <c r="X95" s="5">
        <f>+P95-T95</f>
        <v>0</v>
      </c>
      <c r="Y95" s="5"/>
      <c r="Z95" s="13">
        <f>IF(T95=0,0,X95/T95)</f>
        <v>0</v>
      </c>
    </row>
    <row r="96" spans="1:26" ht="15" customHeight="1" x14ac:dyDescent="0.25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25">
      <c r="A97" s="11"/>
      <c r="B97" s="27" t="s">
        <v>291</v>
      </c>
      <c r="C97" s="27"/>
      <c r="D97" s="22">
        <f>+D30-D32+D95</f>
        <v>5485.1199999999881</v>
      </c>
      <c r="E97" s="15"/>
      <c r="F97" s="23">
        <f>IF(D$12=0,0,D97/D$12)</f>
        <v>6.3471036433313463E-2</v>
      </c>
      <c r="G97" s="15"/>
      <c r="H97" s="22">
        <f>+H30-H32+H95</f>
        <v>-14890.33</v>
      </c>
      <c r="I97" s="15"/>
      <c r="J97" s="23">
        <f>IF(H$12=0,0,H97/H$12)</f>
        <v>-3722.5825</v>
      </c>
      <c r="K97" s="16"/>
      <c r="L97" s="22">
        <f>+D97-H97</f>
        <v>20375.44999999999</v>
      </c>
      <c r="M97" s="16"/>
      <c r="N97" s="23">
        <f>IF(H97=0,0,L97/H97)</f>
        <v>-1.3683679273729992</v>
      </c>
      <c r="O97" s="28"/>
      <c r="P97" s="22">
        <f>+P30-P32+P95</f>
        <v>-98886.690000000119</v>
      </c>
      <c r="Q97" s="15"/>
      <c r="R97" s="23">
        <f>IF(P$12=0,0,P97/P$12)</f>
        <v>-0.19858204580693523</v>
      </c>
      <c r="S97" s="15"/>
      <c r="T97" s="22">
        <f>+T30-T32+T95</f>
        <v>-273542.35000000003</v>
      </c>
      <c r="U97" s="15"/>
      <c r="V97" s="23">
        <f>IF(T$12=0,0,T97/T$12)</f>
        <v>-95.081667199644073</v>
      </c>
      <c r="W97" s="16"/>
      <c r="X97" s="22">
        <f>+P97-T97</f>
        <v>174655.65999999992</v>
      </c>
      <c r="Y97" s="16"/>
      <c r="Z97" s="23">
        <f>IF(T97=0,0,X97/T97)</f>
        <v>-0.63849586727612706</v>
      </c>
    </row>
    <row r="98" spans="1:26" ht="15" customHeight="1" x14ac:dyDescent="0.25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2" customFormat="1" ht="15" customHeight="1" x14ac:dyDescent="0.25">
      <c r="A99" s="48"/>
      <c r="B99" s="11" t="s">
        <v>292</v>
      </c>
      <c r="C99" s="11"/>
      <c r="D99" s="5">
        <v>9362.4</v>
      </c>
      <c r="E99" s="5"/>
      <c r="F99" s="13">
        <f>IF(D$12=0,0,D99/D$12)</f>
        <v>0.10833696099688889</v>
      </c>
      <c r="G99" s="5"/>
      <c r="H99" s="5">
        <v>13.74</v>
      </c>
      <c r="I99" s="5"/>
      <c r="J99" s="13">
        <f>IF(H$12=0,0,H99/H$12)</f>
        <v>3.4350000000000001</v>
      </c>
      <c r="K99" s="5"/>
      <c r="L99" s="5">
        <f>+D99-H99</f>
        <v>9348.66</v>
      </c>
      <c r="M99" s="5"/>
      <c r="N99" s="13">
        <f>IF(H99=0,0,L99/H99)</f>
        <v>680.39737991266372</v>
      </c>
      <c r="O99" s="11"/>
      <c r="P99" s="5">
        <v>55983.77</v>
      </c>
      <c r="Q99" s="5"/>
      <c r="R99" s="13">
        <f>IF(P$12=0,0,P99/P$12)</f>
        <v>0.11242535854506722</v>
      </c>
      <c r="S99" s="5"/>
      <c r="T99" s="5">
        <v>614.77</v>
      </c>
      <c r="U99" s="5"/>
      <c r="V99" s="13">
        <f>IF(T$12=0,0,T99/T$12)</f>
        <v>0.21369033549768501</v>
      </c>
      <c r="W99" s="5"/>
      <c r="X99" s="5">
        <f>+P99-T99</f>
        <v>55369</v>
      </c>
      <c r="Y99" s="5"/>
      <c r="Z99" s="13">
        <f>IF(T99=0,0,X99/T99)</f>
        <v>90.064576996275036</v>
      </c>
    </row>
    <row r="100" spans="1:26" ht="15" customHeight="1" x14ac:dyDescent="0.25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2" customFormat="1" ht="15" customHeight="1" x14ac:dyDescent="0.25">
      <c r="A101" s="11"/>
      <c r="B101" s="27" t="s">
        <v>293</v>
      </c>
      <c r="C101" s="27"/>
      <c r="D101" s="35">
        <f>+D97-D99</f>
        <v>-3877.2800000000116</v>
      </c>
      <c r="E101" s="15"/>
      <c r="F101" s="30">
        <f>IF(D$12=0,0,D101/D$12)</f>
        <v>-4.4865924563575431E-2</v>
      </c>
      <c r="G101" s="15"/>
      <c r="H101" s="35">
        <f>+H97-H99</f>
        <v>-14904.07</v>
      </c>
      <c r="I101" s="15"/>
      <c r="J101" s="30">
        <f>IF(H$12=0,0,H101/H$12)</f>
        <v>-3726.0174999999999</v>
      </c>
      <c r="K101" s="16"/>
      <c r="L101" s="35">
        <f>D101-H101</f>
        <v>11026.789999999988</v>
      </c>
      <c r="M101" s="16"/>
      <c r="N101" s="30">
        <f>IF(H101=0,0,L101/H101)</f>
        <v>-0.73985092662608187</v>
      </c>
      <c r="O101" s="28"/>
      <c r="P101" s="35">
        <f>+P97-P99</f>
        <v>-154870.46000000011</v>
      </c>
      <c r="Q101" s="15"/>
      <c r="R101" s="30">
        <f>IF(P$12=0,0,P101/P$12)</f>
        <v>-0.31100740435200241</v>
      </c>
      <c r="S101" s="15"/>
      <c r="T101" s="35">
        <f>+T97-T99</f>
        <v>-274157.12000000005</v>
      </c>
      <c r="U101" s="15"/>
      <c r="V101" s="30">
        <f>IF(T$12=0,0,T101/T$12)</f>
        <v>-95.295357535141761</v>
      </c>
      <c r="W101" s="16"/>
      <c r="X101" s="35">
        <f>P101-T101</f>
        <v>119286.65999999995</v>
      </c>
      <c r="Y101" s="16"/>
      <c r="Z101" s="30">
        <f>IF(T101=0,0,X101/T101)</f>
        <v>-0.43510327216743422</v>
      </c>
    </row>
    <row r="102" spans="1:26" ht="15" customHeight="1" x14ac:dyDescent="0.25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25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2" customFormat="1" ht="15" customHeight="1" x14ac:dyDescent="0.25">
      <c r="A104" s="11"/>
      <c r="B104" s="27" t="s">
        <v>296</v>
      </c>
      <c r="C104" s="27"/>
      <c r="D104" s="32">
        <f>SUM(D101:D103)</f>
        <v>-3877.2800000000116</v>
      </c>
      <c r="E104" s="15"/>
      <c r="F104" s="34">
        <f>IF(D$12=0,0,D104/D$12)</f>
        <v>-4.4865924563575431E-2</v>
      </c>
      <c r="G104" s="15"/>
      <c r="H104" s="32">
        <f>SUM(H101:H103)</f>
        <v>-14904.07</v>
      </c>
      <c r="I104" s="15"/>
      <c r="J104" s="34">
        <f>IF(H$12=0,0,H104/H$12)</f>
        <v>-3726.0174999999999</v>
      </c>
      <c r="K104" s="16"/>
      <c r="L104" s="32">
        <f>+D104-H104</f>
        <v>11026.789999999988</v>
      </c>
      <c r="M104" s="16"/>
      <c r="N104" s="34">
        <f>IF(H104=0,0,L104/H104)</f>
        <v>-0.73985092662608187</v>
      </c>
      <c r="O104" s="28"/>
      <c r="P104" s="32">
        <f>SUM(P101:P103)</f>
        <v>-154870.46000000011</v>
      </c>
      <c r="Q104" s="15"/>
      <c r="R104" s="34">
        <f>IF(P$12=0,0,P104/P$12)</f>
        <v>-0.31100740435200241</v>
      </c>
      <c r="S104" s="15"/>
      <c r="T104" s="32">
        <f>SUM(T101:T103)</f>
        <v>-274157.12000000005</v>
      </c>
      <c r="U104" s="15"/>
      <c r="V104" s="34">
        <f>IF(T$12=0,0,T104/T$12)</f>
        <v>-95.295357535141761</v>
      </c>
      <c r="W104" s="16"/>
      <c r="X104" s="32">
        <f>+P104-T104</f>
        <v>119286.65999999995</v>
      </c>
      <c r="Y104" s="16"/>
      <c r="Z104" s="34">
        <f>IF(T104=0,0,X104/T104)</f>
        <v>-0.43510327216743422</v>
      </c>
    </row>
    <row r="105" spans="1:26" ht="15" customHeight="1" x14ac:dyDescent="0.25">
      <c r="A105" s="10"/>
      <c r="C105" s="10"/>
      <c r="D105" s="18"/>
      <c r="E105" s="18"/>
      <c r="G105" s="18"/>
      <c r="H105" s="18"/>
      <c r="I105" s="18"/>
      <c r="J105" s="41"/>
      <c r="K105" s="18"/>
      <c r="L105" s="18"/>
      <c r="M105" s="18"/>
      <c r="P105" s="18"/>
      <c r="Q105" s="18"/>
      <c r="R105" s="41"/>
      <c r="S105" s="18"/>
      <c r="T105" s="18"/>
      <c r="U105" s="18"/>
      <c r="V105" s="41"/>
      <c r="W105" s="18"/>
      <c r="X105" s="18"/>
    </row>
    <row r="106" spans="1:26" ht="15" customHeight="1" x14ac:dyDescent="0.25">
      <c r="A106" s="10"/>
      <c r="B106" s="50">
        <v>44727.879626886577</v>
      </c>
      <c r="D106" s="18"/>
      <c r="E106" s="18"/>
      <c r="G106" s="18"/>
      <c r="H106" s="18"/>
      <c r="I106" s="18"/>
      <c r="J106" s="41"/>
      <c r="K106" s="18"/>
      <c r="L106" s="18"/>
      <c r="M106" s="18"/>
      <c r="P106" s="18"/>
      <c r="Q106" s="18"/>
      <c r="R106" s="41"/>
      <c r="S106" s="18"/>
      <c r="T106" s="18"/>
      <c r="U106" s="18"/>
      <c r="V106" s="41"/>
      <c r="W106" s="18"/>
      <c r="X106" s="18"/>
    </row>
    <row r="107" spans="1:26" ht="15" customHeight="1" x14ac:dyDescent="0.25">
      <c r="A107" s="10"/>
      <c r="B107" s="53" t="s">
        <v>297</v>
      </c>
      <c r="D107" s="18"/>
      <c r="E107" s="18"/>
      <c r="G107" s="18"/>
      <c r="H107" s="18"/>
      <c r="I107" s="18"/>
      <c r="J107" s="41"/>
      <c r="K107" s="18"/>
      <c r="L107" s="18"/>
      <c r="M107" s="18"/>
      <c r="P107" s="18"/>
      <c r="Q107" s="18"/>
      <c r="R107" s="41"/>
      <c r="S107" s="18"/>
      <c r="T107" s="18"/>
      <c r="U107" s="18"/>
      <c r="V107" s="41"/>
      <c r="W107" s="18"/>
      <c r="X107" s="18"/>
    </row>
    <row r="108" spans="1:26" ht="15" customHeight="1" x14ac:dyDescent="0.25">
      <c r="A108" s="10"/>
      <c r="B108" s="55"/>
      <c r="D108" s="18"/>
      <c r="E108" s="18"/>
      <c r="G108" s="18"/>
      <c r="H108" s="18"/>
      <c r="I108" s="18"/>
      <c r="J108" s="41"/>
      <c r="K108" s="18"/>
      <c r="L108" s="18"/>
      <c r="M108" s="18"/>
      <c r="P108" s="18"/>
      <c r="Q108" s="18"/>
      <c r="R108" s="41"/>
      <c r="S108" s="18"/>
      <c r="T108" s="18"/>
      <c r="U108" s="18"/>
      <c r="V108" s="41"/>
      <c r="W108" s="18"/>
      <c r="X108" s="18"/>
    </row>
    <row r="109" spans="1:26" ht="15" customHeight="1" x14ac:dyDescent="0.25">
      <c r="D109" s="18"/>
      <c r="E109" s="18"/>
      <c r="G109" s="18"/>
      <c r="H109" s="18"/>
      <c r="I109" s="18"/>
      <c r="J109" s="41"/>
      <c r="K109" s="18"/>
      <c r="L109" s="18"/>
      <c r="M109" s="18"/>
      <c r="P109" s="18"/>
      <c r="Q109" s="18"/>
      <c r="R109" s="41"/>
      <c r="S109" s="18"/>
      <c r="T109" s="18"/>
      <c r="U109" s="18"/>
      <c r="V109" s="41"/>
      <c r="W109" s="18"/>
      <c r="X10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49578-B2D7-C84E-3EEC-8B195F7357BC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","309"," - ","Carts")</f>
        <v>Department 309 - Carts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9881.2000000000007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9881.2000000000007</v>
      </c>
      <c r="M12" s="5"/>
      <c r="N12" s="13">
        <f>IF(H12=0,0,L12/H12)</f>
        <v>0</v>
      </c>
      <c r="O12" s="11"/>
      <c r="P12" s="5">
        <f>SUM(OSRRefP13x_0)</f>
        <v>92376.910000000018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92376.910000000018</v>
      </c>
      <c r="Y12" s="5"/>
      <c r="Z12" s="13">
        <f>IF(T12=0,0,X12/T12)</f>
        <v>0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--1869.07</f>
        <v>1869.07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1869.07</v>
      </c>
      <c r="M13" s="3"/>
      <c r="N13" s="20">
        <f>IF(H13=0,0,L13/H13)</f>
        <v>0</v>
      </c>
      <c r="O13" s="12"/>
      <c r="P13" s="3">
        <f>--14961.18</f>
        <v>14961.18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14961.18</v>
      </c>
      <c r="Y13" s="3"/>
      <c r="Z13" s="20">
        <f>IF(T13=0,0,X13/T13)</f>
        <v>0</v>
      </c>
    </row>
    <row r="14" spans="1:26" s="69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--25.17</f>
        <v>25.17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25.17</v>
      </c>
      <c r="Y14" s="3"/>
      <c r="Z14" s="20">
        <f>IF(T14=0,0,X14/T14)</f>
        <v>0</v>
      </c>
    </row>
    <row r="15" spans="1:26" s="69" customFormat="1" ht="15" hidden="1" customHeight="1" outlineLevel="1" x14ac:dyDescent="0.25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--8012.13</f>
        <v>8012.13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8012.13</v>
      </c>
      <c r="M15" s="3"/>
      <c r="N15" s="20">
        <f>IF(H15=0,0,L15/H15)</f>
        <v>0</v>
      </c>
      <c r="O15" s="12"/>
      <c r="P15" s="3">
        <f>--77184.24</f>
        <v>77184.240000000005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77184.240000000005</v>
      </c>
      <c r="Y15" s="3"/>
      <c r="Z15" s="20">
        <f>IF(T15=0,0,X15/T15)</f>
        <v>0</v>
      </c>
    </row>
    <row r="16" spans="1:26" s="69" customFormat="1" ht="15" hidden="1" customHeight="1" outlineLevel="1" x14ac:dyDescent="0.25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--206.32</f>
        <v>206.32</v>
      </c>
      <c r="Q16" s="3"/>
      <c r="R16" s="20"/>
      <c r="S16" s="3"/>
      <c r="T16" s="3">
        <f>0</f>
        <v>0</v>
      </c>
      <c r="U16" s="3"/>
      <c r="V16" s="20"/>
      <c r="W16" s="3"/>
      <c r="X16" s="3">
        <f>+P16-T16</f>
        <v>206.32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25">
      <c r="A18" s="11"/>
      <c r="B18" s="28" t="s">
        <v>287</v>
      </c>
      <c r="C18" s="11"/>
      <c r="D18" s="5">
        <f>SUM(OSRRefD16x_0)</f>
        <v>4014.79</v>
      </c>
      <c r="E18" s="5"/>
      <c r="F18" s="13">
        <f>IF(D$12=0,0,D18/D$12)</f>
        <v>0.4063059142614257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4014.79</v>
      </c>
      <c r="M18" s="5"/>
      <c r="N18" s="13">
        <f>IF(H18=0,0,L18/H18)</f>
        <v>0</v>
      </c>
      <c r="O18" s="11"/>
      <c r="P18" s="5">
        <f>SUM(OSRRefP16x_0)</f>
        <v>40972.97</v>
      </c>
      <c r="Q18" s="5"/>
      <c r="R18" s="13">
        <f>IF(P$12=0,0,P18/P$12)</f>
        <v>0.44354124856525284</v>
      </c>
      <c r="S18" s="5"/>
      <c r="T18" s="5">
        <f>SUM(OSRRefT16x_0)</f>
        <v>0</v>
      </c>
      <c r="U18" s="5"/>
      <c r="V18" s="13">
        <f>IF(T$12=0,0,T18/T$12)</f>
        <v>0</v>
      </c>
      <c r="W18" s="5"/>
      <c r="X18" s="5">
        <f>+P18-T18</f>
        <v>40972.97</v>
      </c>
      <c r="Y18" s="5"/>
      <c r="Z18" s="13">
        <f>IF(T18=0,0,X18/T18)</f>
        <v>0</v>
      </c>
    </row>
    <row r="19" spans="1:26" s="69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0</v>
      </c>
      <c r="Q19" s="3"/>
      <c r="R19" s="20">
        <f>IF(P$12=0,0,P19/P$12)</f>
        <v>0</v>
      </c>
      <c r="S19" s="3"/>
      <c r="T19" s="3"/>
      <c r="U19" s="3"/>
      <c r="V19" s="20">
        <f>IF(T$12=0,0,T19/T$12)</f>
        <v>0</v>
      </c>
      <c r="W19" s="3"/>
      <c r="X19" s="3">
        <f>+P19-T19</f>
        <v>0</v>
      </c>
      <c r="Y19" s="3"/>
      <c r="Z19" s="20">
        <f>IF(T19=0,0,X19/T19)</f>
        <v>0</v>
      </c>
    </row>
    <row r="20" spans="1:26" s="69" customFormat="1" ht="15" hidden="1" customHeight="1" outlineLevel="1" x14ac:dyDescent="0.25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4014.79</v>
      </c>
      <c r="E20" s="3"/>
      <c r="F20" s="20">
        <f>IF(D$12=0,0,D20/D$12)</f>
        <v>0.4063059142614257</v>
      </c>
      <c r="G20" s="3"/>
      <c r="H20" s="3"/>
      <c r="I20" s="3"/>
      <c r="J20" s="20">
        <f>IF(H$12=0,0,H20/H$12)</f>
        <v>0</v>
      </c>
      <c r="K20" s="3"/>
      <c r="L20" s="3">
        <f>+D20-H20</f>
        <v>4014.79</v>
      </c>
      <c r="M20" s="3"/>
      <c r="N20" s="20">
        <f>IF(H20=0,0,L20/H20)</f>
        <v>0</v>
      </c>
      <c r="O20" s="12"/>
      <c r="P20" s="3">
        <v>40972.97</v>
      </c>
      <c r="Q20" s="3"/>
      <c r="R20" s="20">
        <f>IF(P$12=0,0,P20/P$12)</f>
        <v>0.44354124856525284</v>
      </c>
      <c r="S20" s="3"/>
      <c r="T20" s="3"/>
      <c r="U20" s="3"/>
      <c r="V20" s="20">
        <f>IF(T$12=0,0,T20/T$12)</f>
        <v>0</v>
      </c>
      <c r="W20" s="3"/>
      <c r="X20" s="3">
        <f>+P20-T20</f>
        <v>40972.97</v>
      </c>
      <c r="Y20" s="3"/>
      <c r="Z20" s="20">
        <f>IF(T20=0,0,X20/T20)</f>
        <v>0</v>
      </c>
    </row>
    <row r="21" spans="1:26" ht="15" customHeight="1" x14ac:dyDescent="0.25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25">
      <c r="A22" s="11"/>
      <c r="B22" s="27" t="s">
        <v>288</v>
      </c>
      <c r="C22" s="27"/>
      <c r="D22" s="22">
        <f>D12-D18</f>
        <v>5866.4100000000008</v>
      </c>
      <c r="E22" s="15"/>
      <c r="F22" s="23">
        <f>IF(D$12=0,0,D22/D$12)</f>
        <v>0.5936940857385743</v>
      </c>
      <c r="G22" s="15"/>
      <c r="H22" s="22">
        <f>H12-H18</f>
        <v>0</v>
      </c>
      <c r="I22" s="15"/>
      <c r="J22" s="23">
        <f>IF(H$12=0,0,H22/H$12)</f>
        <v>0</v>
      </c>
      <c r="K22" s="16"/>
      <c r="L22" s="22">
        <f>+D22-H22</f>
        <v>5866.4100000000008</v>
      </c>
      <c r="M22" s="16"/>
      <c r="N22" s="23">
        <f>IF(H22=0,0,L22/H22)</f>
        <v>0</v>
      </c>
      <c r="O22" s="28"/>
      <c r="P22" s="22">
        <f>P12-P18</f>
        <v>51403.940000000017</v>
      </c>
      <c r="Q22" s="15"/>
      <c r="R22" s="23">
        <f>IF(P$12=0,0,P22/P$12)</f>
        <v>0.5564587514347471</v>
      </c>
      <c r="S22" s="15"/>
      <c r="T22" s="22">
        <f>T12-T18</f>
        <v>0</v>
      </c>
      <c r="U22" s="15"/>
      <c r="V22" s="23">
        <f>IF(T$12=0,0,T22/T$12)</f>
        <v>0</v>
      </c>
      <c r="W22" s="16"/>
      <c r="X22" s="22">
        <f>+P22-T22</f>
        <v>51403.940000000017</v>
      </c>
      <c r="Y22" s="16"/>
      <c r="Z22" s="23">
        <f>IF(T22=0,0,X22/T22)</f>
        <v>0</v>
      </c>
    </row>
    <row r="23" spans="1:26" ht="15" customHeight="1" x14ac:dyDescent="0.25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x14ac:dyDescent="0.25">
      <c r="A24" s="11"/>
      <c r="B24" s="28" t="s">
        <v>289</v>
      </c>
      <c r="C24" s="11"/>
      <c r="D24" s="21" cm="1">
        <f t="array" ref="D24">SUM(OSRRefD22x_0)</f>
        <v>4570.9399999999996</v>
      </c>
      <c r="E24" s="21"/>
      <c r="F24" s="31">
        <f t="shared" ref="F24:F55" si="0">IF(D$12=0,0,D24/D$12)</f>
        <v>0.46258956402056423</v>
      </c>
      <c r="G24" s="21"/>
      <c r="H24" s="21" cm="1">
        <f t="array" ref="H24">SUM(OSRRefH22x_0)</f>
        <v>770.02</v>
      </c>
      <c r="I24" s="21"/>
      <c r="J24" s="31">
        <f t="shared" ref="J24:J55" si="1">IF(H$12=0,0,H24/H$12)</f>
        <v>0</v>
      </c>
      <c r="K24" s="5"/>
      <c r="L24" s="21">
        <f t="shared" ref="L24:L55" si="2">+D24-H24</f>
        <v>3800.9199999999996</v>
      </c>
      <c r="M24" s="5"/>
      <c r="N24" s="31">
        <f t="shared" ref="N24:N55" si="3">IF(H24=0,0,L24/H24)</f>
        <v>4.9361315290511927</v>
      </c>
      <c r="O24" s="11"/>
      <c r="P24" s="21" cm="1">
        <f t="array" ref="P24">SUM(OSRRefP22x_0)</f>
        <v>36506.81</v>
      </c>
      <c r="Q24" s="21"/>
      <c r="R24" s="31">
        <f t="shared" ref="R24:R55" si="4">IF(P$12=0,0,P24/P$12)</f>
        <v>0.39519410207594075</v>
      </c>
      <c r="S24" s="21"/>
      <c r="T24" s="21" cm="1">
        <f t="array" ref="T24">SUM(OSRRefT22x_0)</f>
        <v>10261.4</v>
      </c>
      <c r="U24" s="21"/>
      <c r="V24" s="31">
        <f t="shared" ref="V24:V55" si="5">IF(T$12=0,0,T24/T$12)</f>
        <v>0</v>
      </c>
      <c r="W24" s="5"/>
      <c r="X24" s="21">
        <f t="shared" ref="X24:X55" si="6">+P24-T24</f>
        <v>26245.409999999996</v>
      </c>
      <c r="Y24" s="5"/>
      <c r="Z24" s="31">
        <f t="shared" ref="Z24:Z55" si="7">IF(T24=0,0,X24/T24)</f>
        <v>2.5576831621416178</v>
      </c>
    </row>
    <row r="25" spans="1:26" s="68" customFormat="1" ht="15" customHeight="1" outlineLevel="1" collapsed="1" x14ac:dyDescent="0.25">
      <c r="A25" s="26"/>
      <c r="B25" s="14" t="str">
        <f>CONCATENATE("     ","*Benefits                                         ")</f>
        <v xml:space="preserve">     *Benefits                                         </v>
      </c>
      <c r="C25" s="14"/>
      <c r="D25" s="2">
        <f>SUM(OSRRefD22_0x_0)</f>
        <v>100.27000000000001</v>
      </c>
      <c r="E25" s="2"/>
      <c r="F25" s="6">
        <f t="shared" si="0"/>
        <v>1.0147552928794074E-2</v>
      </c>
      <c r="G25" s="2"/>
      <c r="H25" s="2">
        <f>SUM(OSRRefH22_0x_0)</f>
        <v>0</v>
      </c>
      <c r="I25" s="2"/>
      <c r="J25" s="6">
        <f t="shared" si="1"/>
        <v>0</v>
      </c>
      <c r="K25" s="2"/>
      <c r="L25" s="2">
        <f t="shared" si="2"/>
        <v>100.27000000000001</v>
      </c>
      <c r="M25" s="2"/>
      <c r="N25" s="6">
        <f t="shared" si="3"/>
        <v>0</v>
      </c>
      <c r="O25" s="14"/>
      <c r="P25" s="2">
        <f>SUM(OSRRefP22_0x_0)</f>
        <v>332.97</v>
      </c>
      <c r="Q25" s="2"/>
      <c r="R25" s="6">
        <f t="shared" si="4"/>
        <v>3.6044721565161681E-3</v>
      </c>
      <c r="S25" s="2"/>
      <c r="T25" s="2">
        <f>SUM(OSRRefT22_0x_0)</f>
        <v>0</v>
      </c>
      <c r="U25" s="2"/>
      <c r="V25" s="6">
        <f t="shared" si="5"/>
        <v>0</v>
      </c>
      <c r="W25" s="2"/>
      <c r="X25" s="2">
        <f t="shared" si="6"/>
        <v>332.97</v>
      </c>
      <c r="Y25" s="2"/>
      <c r="Z25" s="6">
        <f t="shared" si="7"/>
        <v>0</v>
      </c>
    </row>
    <row r="26" spans="1:26" s="69" customFormat="1" ht="15" hidden="1" customHeight="1" outlineLevel="2" x14ac:dyDescent="0.25">
      <c r="A26" s="25"/>
      <c r="B26" s="12" t="str">
        <f>CONCATENATE("          ","6112"," - ","COMPENSATION INSURANCE")</f>
        <v xml:space="preserve">          6112 - COMPENSATION INSURANCE</v>
      </c>
      <c r="C26" s="12"/>
      <c r="D26" s="7">
        <v>85.29</v>
      </c>
      <c r="E26" s="3"/>
      <c r="F26" s="8">
        <f t="shared" si="0"/>
        <v>8.6315427276039344E-3</v>
      </c>
      <c r="G26" s="3"/>
      <c r="H26" s="7"/>
      <c r="I26" s="3"/>
      <c r="J26" s="8">
        <f t="shared" si="1"/>
        <v>0</v>
      </c>
      <c r="K26" s="3"/>
      <c r="L26" s="7">
        <f t="shared" si="2"/>
        <v>85.29</v>
      </c>
      <c r="M26" s="3"/>
      <c r="N26" s="8">
        <f t="shared" si="3"/>
        <v>0</v>
      </c>
      <c r="O26" s="12"/>
      <c r="P26" s="7">
        <v>283.22000000000003</v>
      </c>
      <c r="Q26" s="3"/>
      <c r="R26" s="8">
        <f t="shared" si="4"/>
        <v>3.0659176627579336E-3</v>
      </c>
      <c r="S26" s="3"/>
      <c r="T26" s="7"/>
      <c r="U26" s="3"/>
      <c r="V26" s="8">
        <f t="shared" si="5"/>
        <v>0</v>
      </c>
      <c r="W26" s="3"/>
      <c r="X26" s="7">
        <f t="shared" si="6"/>
        <v>283.22000000000003</v>
      </c>
      <c r="Y26" s="3"/>
      <c r="Z26" s="8">
        <f t="shared" si="7"/>
        <v>0</v>
      </c>
    </row>
    <row r="27" spans="1:26" s="69" customFormat="1" ht="15" hidden="1" customHeight="1" outlineLevel="2" x14ac:dyDescent="0.25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7">
        <v>14.98</v>
      </c>
      <c r="E27" s="3"/>
      <c r="F27" s="8">
        <f t="shared" si="0"/>
        <v>1.5160102011901387E-3</v>
      </c>
      <c r="G27" s="3"/>
      <c r="H27" s="7"/>
      <c r="I27" s="3"/>
      <c r="J27" s="8">
        <f t="shared" si="1"/>
        <v>0</v>
      </c>
      <c r="K27" s="3"/>
      <c r="L27" s="7">
        <f t="shared" si="2"/>
        <v>14.98</v>
      </c>
      <c r="M27" s="3"/>
      <c r="N27" s="8">
        <f t="shared" si="3"/>
        <v>0</v>
      </c>
      <c r="O27" s="12"/>
      <c r="P27" s="7">
        <v>49.75</v>
      </c>
      <c r="Q27" s="3"/>
      <c r="R27" s="8">
        <f t="shared" si="4"/>
        <v>5.385544937582345E-4</v>
      </c>
      <c r="S27" s="3"/>
      <c r="T27" s="7"/>
      <c r="U27" s="3"/>
      <c r="V27" s="8">
        <f t="shared" si="5"/>
        <v>0</v>
      </c>
      <c r="W27" s="3"/>
      <c r="X27" s="7">
        <f t="shared" si="6"/>
        <v>49.75</v>
      </c>
      <c r="Y27" s="3"/>
      <c r="Z27" s="8">
        <f t="shared" si="7"/>
        <v>0</v>
      </c>
    </row>
    <row r="28" spans="1:26" s="68" customFormat="1" ht="15" customHeight="1" outlineLevel="1" collapsed="1" x14ac:dyDescent="0.25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3036.9700000000003</v>
      </c>
      <c r="E28" s="2"/>
      <c r="F28" s="6">
        <f t="shared" si="0"/>
        <v>0.30734829777759787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3036.9700000000003</v>
      </c>
      <c r="M28" s="2"/>
      <c r="N28" s="6">
        <f t="shared" si="3"/>
        <v>0</v>
      </c>
      <c r="O28" s="14"/>
      <c r="P28" s="2">
        <f>SUM(OSRRefP22_1x_0)</f>
        <v>18983.25</v>
      </c>
      <c r="Q28" s="2"/>
      <c r="R28" s="6">
        <f t="shared" si="4"/>
        <v>0.20549778077660311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18983.25</v>
      </c>
      <c r="Y28" s="2"/>
      <c r="Z28" s="6">
        <f t="shared" si="7"/>
        <v>0</v>
      </c>
    </row>
    <row r="29" spans="1:26" s="69" customFormat="1" ht="15" hidden="1" customHeight="1" outlineLevel="2" x14ac:dyDescent="0.25">
      <c r="A29" s="25"/>
      <c r="B29" s="12" t="str">
        <f>CONCATENATE("          ","6007"," - ","STUDENT HOURLY")</f>
        <v xml:space="preserve">          6007 - STUDENT HOURLY</v>
      </c>
      <c r="C29" s="12"/>
      <c r="D29" s="7">
        <v>1899.82</v>
      </c>
      <c r="E29" s="3"/>
      <c r="F29" s="8">
        <f t="shared" si="0"/>
        <v>0.19226612152370157</v>
      </c>
      <c r="G29" s="3"/>
      <c r="H29" s="7"/>
      <c r="I29" s="3"/>
      <c r="J29" s="8">
        <f t="shared" si="1"/>
        <v>0</v>
      </c>
      <c r="K29" s="3"/>
      <c r="L29" s="7">
        <f t="shared" si="2"/>
        <v>1899.82</v>
      </c>
      <c r="M29" s="3"/>
      <c r="N29" s="8">
        <f t="shared" si="3"/>
        <v>0</v>
      </c>
      <c r="O29" s="12"/>
      <c r="P29" s="7">
        <v>11956.84</v>
      </c>
      <c r="Q29" s="3"/>
      <c r="R29" s="8">
        <f t="shared" si="4"/>
        <v>0.12943537513865747</v>
      </c>
      <c r="S29" s="3"/>
      <c r="T29" s="7"/>
      <c r="U29" s="3"/>
      <c r="V29" s="8">
        <f t="shared" si="5"/>
        <v>0</v>
      </c>
      <c r="W29" s="3"/>
      <c r="X29" s="7">
        <f t="shared" si="6"/>
        <v>11956.84</v>
      </c>
      <c r="Y29" s="3"/>
      <c r="Z29" s="8">
        <f t="shared" si="7"/>
        <v>0</v>
      </c>
    </row>
    <row r="30" spans="1:26" s="69" customFormat="1" ht="15" hidden="1" customHeight="1" outlineLevel="2" x14ac:dyDescent="0.25">
      <c r="A30" s="25"/>
      <c r="B30" s="12" t="str">
        <f>CONCATENATE("          ","6008"," - ","STUDENT HOURLY-FICA EXEMPT")</f>
        <v xml:space="preserve">          6008 - STUDENT HOURLY-FICA EXEMPT</v>
      </c>
      <c r="C30" s="12"/>
      <c r="D30" s="7">
        <v>1137.1500000000001</v>
      </c>
      <c r="E30" s="3"/>
      <c r="F30" s="8">
        <f t="shared" si="0"/>
        <v>0.11508217625389629</v>
      </c>
      <c r="G30" s="3"/>
      <c r="H30" s="7"/>
      <c r="I30" s="3"/>
      <c r="J30" s="8">
        <f t="shared" si="1"/>
        <v>0</v>
      </c>
      <c r="K30" s="3"/>
      <c r="L30" s="7">
        <f t="shared" si="2"/>
        <v>1137.1500000000001</v>
      </c>
      <c r="M30" s="3"/>
      <c r="N30" s="8">
        <f t="shared" si="3"/>
        <v>0</v>
      </c>
      <c r="O30" s="12"/>
      <c r="P30" s="7">
        <v>7026.41</v>
      </c>
      <c r="Q30" s="3"/>
      <c r="R30" s="8">
        <f t="shared" si="4"/>
        <v>7.6062405637945654E-2</v>
      </c>
      <c r="S30" s="3"/>
      <c r="T30" s="7"/>
      <c r="U30" s="3"/>
      <c r="V30" s="8">
        <f t="shared" si="5"/>
        <v>0</v>
      </c>
      <c r="W30" s="3"/>
      <c r="X30" s="7">
        <f t="shared" si="6"/>
        <v>7026.41</v>
      </c>
      <c r="Y30" s="3"/>
      <c r="Z30" s="8">
        <f t="shared" si="7"/>
        <v>0</v>
      </c>
    </row>
    <row r="31" spans="1:26" s="68" customFormat="1" ht="15" customHeight="1" outlineLevel="1" collapsed="1" x14ac:dyDescent="0.25">
      <c r="A31" s="26"/>
      <c r="B31" s="14" t="str">
        <f>CONCATENATE("     ","Advertising/Promo                                 ")</f>
        <v xml:space="preserve">     Advertising/Promo                                 </v>
      </c>
      <c r="C31" s="14"/>
      <c r="D31" s="2">
        <f>SUM(OSRRefD22_2x_0)</f>
        <v>0</v>
      </c>
      <c r="E31" s="2"/>
      <c r="F31" s="6">
        <f t="shared" si="0"/>
        <v>0</v>
      </c>
      <c r="G31" s="2"/>
      <c r="H31" s="2">
        <f>SUM(OSRRefH22_2x_0)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SUM(OSRRefP22_2x_0)</f>
        <v>46.31</v>
      </c>
      <c r="Q31" s="2"/>
      <c r="R31" s="6">
        <f t="shared" si="4"/>
        <v>5.0131575087324304E-4</v>
      </c>
      <c r="S31" s="2"/>
      <c r="T31" s="2">
        <f>SUM(OSRRefT22_2x_0)</f>
        <v>0</v>
      </c>
      <c r="U31" s="2"/>
      <c r="V31" s="6">
        <f t="shared" si="5"/>
        <v>0</v>
      </c>
      <c r="W31" s="2"/>
      <c r="X31" s="2">
        <f t="shared" si="6"/>
        <v>46.31</v>
      </c>
      <c r="Y31" s="2"/>
      <c r="Z31" s="6">
        <f t="shared" si="7"/>
        <v>0</v>
      </c>
    </row>
    <row r="32" spans="1:26" s="69" customFormat="1" ht="15" hidden="1" customHeight="1" outlineLevel="2" x14ac:dyDescent="0.25">
      <c r="A32" s="25"/>
      <c r="B32" s="12" t="str">
        <f>CONCATENATE("          ","6362"," - ","ADVERTISING EXPENSE")</f>
        <v xml:space="preserve">          6362 - ADVERTISING EXPENSE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46.31</v>
      </c>
      <c r="Q32" s="3"/>
      <c r="R32" s="8">
        <f t="shared" si="4"/>
        <v>5.0131575087324304E-4</v>
      </c>
      <c r="S32" s="3"/>
      <c r="T32" s="7"/>
      <c r="U32" s="3"/>
      <c r="V32" s="8">
        <f t="shared" si="5"/>
        <v>0</v>
      </c>
      <c r="W32" s="3"/>
      <c r="X32" s="7">
        <f t="shared" si="6"/>
        <v>46.31</v>
      </c>
      <c r="Y32" s="3"/>
      <c r="Z32" s="8">
        <f t="shared" si="7"/>
        <v>0</v>
      </c>
    </row>
    <row r="33" spans="1:26" s="68" customFormat="1" ht="15" customHeight="1" outlineLevel="1" collapsed="1" x14ac:dyDescent="0.25">
      <c r="A33" s="26"/>
      <c r="B33" s="14" t="str">
        <f>CONCATENATE("     ","Bad Debts/Over/Short                              ")</f>
        <v xml:space="preserve">     Bad Debts/Over/Short                              </v>
      </c>
      <c r="C33" s="14"/>
      <c r="D33" s="2">
        <f>SUM(OSRRefD22_3x_0)</f>
        <v>0</v>
      </c>
      <c r="E33" s="2"/>
      <c r="F33" s="6">
        <f t="shared" si="0"/>
        <v>0</v>
      </c>
      <c r="G33" s="2"/>
      <c r="H33" s="2">
        <f>SUM(OSRRefH22_3x_0)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SUM(OSRRefP22_3x_0)</f>
        <v>-2.98</v>
      </c>
      <c r="Q33" s="2"/>
      <c r="R33" s="6">
        <f t="shared" si="4"/>
        <v>-3.2259143545719376E-5</v>
      </c>
      <c r="S33" s="2"/>
      <c r="T33" s="2">
        <f>SUM(OSRRefT22_3x_0)</f>
        <v>0</v>
      </c>
      <c r="U33" s="2"/>
      <c r="V33" s="6">
        <f t="shared" si="5"/>
        <v>0</v>
      </c>
      <c r="W33" s="2"/>
      <c r="X33" s="2">
        <f t="shared" si="6"/>
        <v>-2.98</v>
      </c>
      <c r="Y33" s="2"/>
      <c r="Z33" s="6">
        <f t="shared" si="7"/>
        <v>0</v>
      </c>
    </row>
    <row r="34" spans="1:26" s="69" customFormat="1" ht="15" hidden="1" customHeight="1" outlineLevel="2" x14ac:dyDescent="0.25">
      <c r="A34" s="25"/>
      <c r="B34" s="12" t="str">
        <f>CONCATENATE("          ","6272"," - ","CASH (OVER/SHORT)")</f>
        <v xml:space="preserve">          6272 - CASH (OVER/SHORT)</v>
      </c>
      <c r="C34" s="12"/>
      <c r="D34" s="7"/>
      <c r="E34" s="3"/>
      <c r="F34" s="8">
        <f t="shared" si="0"/>
        <v>0</v>
      </c>
      <c r="G34" s="3"/>
      <c r="H34" s="7"/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>
        <v>-2.98</v>
      </c>
      <c r="Q34" s="3"/>
      <c r="R34" s="8">
        <f t="shared" si="4"/>
        <v>-3.2259143545719376E-5</v>
      </c>
      <c r="S34" s="3"/>
      <c r="T34" s="7"/>
      <c r="U34" s="3"/>
      <c r="V34" s="8">
        <f t="shared" si="5"/>
        <v>0</v>
      </c>
      <c r="W34" s="3"/>
      <c r="X34" s="7">
        <f t="shared" si="6"/>
        <v>-2.98</v>
      </c>
      <c r="Y34" s="3"/>
      <c r="Z34" s="8">
        <f t="shared" si="7"/>
        <v>0</v>
      </c>
    </row>
    <row r="35" spans="1:26" s="68" customFormat="1" ht="15" customHeight="1" outlineLevel="1" collapsed="1" x14ac:dyDescent="0.25">
      <c r="A35" s="26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SUM(OSRRefD22_4x_0)</f>
        <v>462.38</v>
      </c>
      <c r="E35" s="2"/>
      <c r="F35" s="6">
        <f t="shared" si="0"/>
        <v>4.6793911670647288E-2</v>
      </c>
      <c r="G35" s="2"/>
      <c r="H35" s="2">
        <f>SUM(OSRRefH22_4x_0)</f>
        <v>0</v>
      </c>
      <c r="I35" s="2"/>
      <c r="J35" s="6">
        <f t="shared" si="1"/>
        <v>0</v>
      </c>
      <c r="K35" s="2"/>
      <c r="L35" s="2">
        <f t="shared" si="2"/>
        <v>462.38</v>
      </c>
      <c r="M35" s="2"/>
      <c r="N35" s="6">
        <f t="shared" si="3"/>
        <v>0</v>
      </c>
      <c r="O35" s="14"/>
      <c r="P35" s="2">
        <f>SUM(OSRRefP22_4x_0)</f>
        <v>4696.79</v>
      </c>
      <c r="Q35" s="2"/>
      <c r="R35" s="6">
        <f t="shared" si="4"/>
        <v>5.0843766044999759E-2</v>
      </c>
      <c r="S35" s="2"/>
      <c r="T35" s="2">
        <f>SUM(OSRRefT22_4x_0)</f>
        <v>0</v>
      </c>
      <c r="U35" s="2"/>
      <c r="V35" s="6">
        <f t="shared" si="5"/>
        <v>0</v>
      </c>
      <c r="W35" s="2"/>
      <c r="X35" s="2">
        <f t="shared" si="6"/>
        <v>4696.79</v>
      </c>
      <c r="Y35" s="2"/>
      <c r="Z35" s="6">
        <f t="shared" si="7"/>
        <v>0</v>
      </c>
    </row>
    <row r="36" spans="1:26" s="69" customFormat="1" ht="15" hidden="1" customHeight="1" outlineLevel="2" x14ac:dyDescent="0.25">
      <c r="A36" s="25"/>
      <c r="B36" s="12" t="str">
        <f>CONCATENATE("          ","6381"," - ","BANK/CREDIT CARD FEES")</f>
        <v xml:space="preserve">          6381 - BANK/CREDIT CARD FEES</v>
      </c>
      <c r="C36" s="12"/>
      <c r="D36" s="7">
        <v>462.38</v>
      </c>
      <c r="E36" s="3"/>
      <c r="F36" s="8">
        <f t="shared" si="0"/>
        <v>4.6793911670647288E-2</v>
      </c>
      <c r="G36" s="3"/>
      <c r="H36" s="7"/>
      <c r="I36" s="3"/>
      <c r="J36" s="8">
        <f t="shared" si="1"/>
        <v>0</v>
      </c>
      <c r="K36" s="3"/>
      <c r="L36" s="7">
        <f t="shared" si="2"/>
        <v>462.38</v>
      </c>
      <c r="M36" s="3"/>
      <c r="N36" s="8">
        <f t="shared" si="3"/>
        <v>0</v>
      </c>
      <c r="O36" s="12"/>
      <c r="P36" s="7">
        <v>4696.79</v>
      </c>
      <c r="Q36" s="3"/>
      <c r="R36" s="8">
        <f t="shared" si="4"/>
        <v>5.0843766044999759E-2</v>
      </c>
      <c r="S36" s="3"/>
      <c r="T36" s="7"/>
      <c r="U36" s="3"/>
      <c r="V36" s="8">
        <f t="shared" si="5"/>
        <v>0</v>
      </c>
      <c r="W36" s="3"/>
      <c r="X36" s="7">
        <f t="shared" si="6"/>
        <v>4696.79</v>
      </c>
      <c r="Y36" s="3"/>
      <c r="Z36" s="8">
        <f t="shared" si="7"/>
        <v>0</v>
      </c>
    </row>
    <row r="37" spans="1:26" s="68" customFormat="1" ht="15" customHeight="1" outlineLevel="1" collapsed="1" x14ac:dyDescent="0.25">
      <c r="A37" s="26"/>
      <c r="B37" s="14" t="str">
        <f>CONCATENATE("     ","Depreciation                                      ")</f>
        <v xml:space="preserve">     Depreciation                                      </v>
      </c>
      <c r="C37" s="14"/>
      <c r="D37" s="2">
        <f>SUM(OSRRefD22_5x_0)</f>
        <v>588.94000000000005</v>
      </c>
      <c r="E37" s="2"/>
      <c r="F37" s="6">
        <f t="shared" si="0"/>
        <v>5.9602072622758372E-2</v>
      </c>
      <c r="G37" s="2"/>
      <c r="H37" s="2">
        <f>SUM(OSRRefH22_5x_0)</f>
        <v>588.16999999999996</v>
      </c>
      <c r="I37" s="2"/>
      <c r="J37" s="6">
        <f t="shared" si="1"/>
        <v>0</v>
      </c>
      <c r="K37" s="2"/>
      <c r="L37" s="2">
        <f t="shared" si="2"/>
        <v>0.7700000000000955</v>
      </c>
      <c r="M37" s="2"/>
      <c r="N37" s="6">
        <f t="shared" si="3"/>
        <v>1.3091453151301419E-3</v>
      </c>
      <c r="O37" s="14"/>
      <c r="P37" s="2">
        <f>SUM(OSRRefP22_5x_0)</f>
        <v>6478.34</v>
      </c>
      <c r="Q37" s="2"/>
      <c r="R37" s="6">
        <f t="shared" si="4"/>
        <v>7.012942952952203E-2</v>
      </c>
      <c r="S37" s="2"/>
      <c r="T37" s="2">
        <f>SUM(OSRRefT22_5x_0)</f>
        <v>6205.65</v>
      </c>
      <c r="U37" s="2"/>
      <c r="V37" s="6">
        <f t="shared" si="5"/>
        <v>0</v>
      </c>
      <c r="W37" s="2"/>
      <c r="X37" s="2">
        <f t="shared" si="6"/>
        <v>272.69000000000051</v>
      </c>
      <c r="Y37" s="2"/>
      <c r="Z37" s="6">
        <f t="shared" si="7"/>
        <v>4.3942213950190635E-2</v>
      </c>
    </row>
    <row r="38" spans="1:26" s="69" customFormat="1" ht="15" hidden="1" customHeight="1" outlineLevel="2" x14ac:dyDescent="0.25">
      <c r="A38" s="25"/>
      <c r="B38" s="12" t="str">
        <f>CONCATENATE("          ","6322"," - ","EQUIPMENT DEPRECIATION EXPENSE")</f>
        <v xml:space="preserve">          6322 - EQUIPMENT DEPRECIATION EXPENSE</v>
      </c>
      <c r="C38" s="12"/>
      <c r="D38" s="7">
        <v>588.94000000000005</v>
      </c>
      <c r="E38" s="3"/>
      <c r="F38" s="8">
        <f t="shared" si="0"/>
        <v>5.9602072622758372E-2</v>
      </c>
      <c r="G38" s="3"/>
      <c r="H38" s="7">
        <v>588.16999999999996</v>
      </c>
      <c r="I38" s="3"/>
      <c r="J38" s="8">
        <f t="shared" si="1"/>
        <v>0</v>
      </c>
      <c r="K38" s="3"/>
      <c r="L38" s="7">
        <f t="shared" si="2"/>
        <v>0.7700000000000955</v>
      </c>
      <c r="M38" s="3"/>
      <c r="N38" s="8">
        <f t="shared" si="3"/>
        <v>1.3091453151301419E-3</v>
      </c>
      <c r="O38" s="12"/>
      <c r="P38" s="7">
        <v>6478.34</v>
      </c>
      <c r="Q38" s="3"/>
      <c r="R38" s="8">
        <f t="shared" si="4"/>
        <v>7.012942952952203E-2</v>
      </c>
      <c r="S38" s="3"/>
      <c r="T38" s="7">
        <v>6205.65</v>
      </c>
      <c r="U38" s="3"/>
      <c r="V38" s="8">
        <f t="shared" si="5"/>
        <v>0</v>
      </c>
      <c r="W38" s="3"/>
      <c r="X38" s="7">
        <f t="shared" si="6"/>
        <v>272.69000000000051</v>
      </c>
      <c r="Y38" s="3"/>
      <c r="Z38" s="8">
        <f t="shared" si="7"/>
        <v>4.3942213950190635E-2</v>
      </c>
    </row>
    <row r="39" spans="1:26" s="68" customFormat="1" ht="15" customHeight="1" outlineLevel="1" collapsed="1" x14ac:dyDescent="0.25">
      <c r="A39" s="26"/>
      <c r="B39" s="14" t="str">
        <f>CONCATENATE("     ","Equipment Rental                                  ")</f>
        <v xml:space="preserve">     Equipment Rental                                  </v>
      </c>
      <c r="C39" s="14"/>
      <c r="D39" s="2">
        <f>SUM(OSRRefD22_6x_0)</f>
        <v>0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SUM(OSRRefP22_6x_0)</f>
        <v>30</v>
      </c>
      <c r="Q39" s="2"/>
      <c r="R39" s="6">
        <f t="shared" si="4"/>
        <v>3.2475647864818163E-4</v>
      </c>
      <c r="S39" s="2"/>
      <c r="T39" s="2">
        <f>SUM(OSRRefT22_6x_0)</f>
        <v>12</v>
      </c>
      <c r="U39" s="2"/>
      <c r="V39" s="6">
        <f t="shared" si="5"/>
        <v>0</v>
      </c>
      <c r="W39" s="2"/>
      <c r="X39" s="2">
        <f t="shared" si="6"/>
        <v>18</v>
      </c>
      <c r="Y39" s="2"/>
      <c r="Z39" s="6">
        <f t="shared" si="7"/>
        <v>1.5</v>
      </c>
    </row>
    <row r="40" spans="1:26" s="69" customFormat="1" ht="15" hidden="1" customHeight="1" outlineLevel="2" x14ac:dyDescent="0.25">
      <c r="A40" s="25"/>
      <c r="B40" s="12" t="str">
        <f>CONCATENATE("          ","6351"," - ","EQUIPMENT RENTAL")</f>
        <v xml:space="preserve">          6351 - EQUIPMENT RENTAL</v>
      </c>
      <c r="C40" s="12"/>
      <c r="D40" s="7"/>
      <c r="E40" s="3"/>
      <c r="F40" s="8">
        <f t="shared" si="0"/>
        <v>0</v>
      </c>
      <c r="G40" s="3"/>
      <c r="H40" s="7"/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>
        <v>30</v>
      </c>
      <c r="Q40" s="3"/>
      <c r="R40" s="8">
        <f t="shared" si="4"/>
        <v>3.2475647864818163E-4</v>
      </c>
      <c r="S40" s="3"/>
      <c r="T40" s="7">
        <v>12</v>
      </c>
      <c r="U40" s="3"/>
      <c r="V40" s="8">
        <f t="shared" si="5"/>
        <v>0</v>
      </c>
      <c r="W40" s="3"/>
      <c r="X40" s="7">
        <f t="shared" si="6"/>
        <v>18</v>
      </c>
      <c r="Y40" s="3"/>
      <c r="Z40" s="8">
        <f t="shared" si="7"/>
        <v>1.5</v>
      </c>
    </row>
    <row r="41" spans="1:26" s="68" customFormat="1" ht="15" customHeight="1" outlineLevel="1" collapsed="1" x14ac:dyDescent="0.25">
      <c r="A41" s="26"/>
      <c r="B41" s="14" t="str">
        <f>CONCATENATE("     ","General                                           ")</f>
        <v xml:space="preserve">     General                                           </v>
      </c>
      <c r="C41" s="14"/>
      <c r="D41" s="2">
        <f>SUM(OSRRefD22_7x_0)</f>
        <v>256.79000000000002</v>
      </c>
      <c r="E41" s="2"/>
      <c r="F41" s="6">
        <f t="shared" si="0"/>
        <v>2.5987734283285432E-2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256.79000000000002</v>
      </c>
      <c r="M41" s="2"/>
      <c r="N41" s="6">
        <f t="shared" si="3"/>
        <v>0</v>
      </c>
      <c r="O41" s="14"/>
      <c r="P41" s="2">
        <f>SUM(OSRRefP22_7x_0)</f>
        <v>1103.44</v>
      </c>
      <c r="Q41" s="2"/>
      <c r="R41" s="6">
        <f t="shared" si="4"/>
        <v>1.1944976293318317E-2</v>
      </c>
      <c r="S41" s="2"/>
      <c r="T41" s="2">
        <f>SUM(OSRRefT22_7x_0)</f>
        <v>575</v>
      </c>
      <c r="U41" s="2"/>
      <c r="V41" s="6">
        <f t="shared" si="5"/>
        <v>0</v>
      </c>
      <c r="W41" s="2"/>
      <c r="X41" s="2">
        <f t="shared" si="6"/>
        <v>528.44000000000005</v>
      </c>
      <c r="Y41" s="2"/>
      <c r="Z41" s="6">
        <f t="shared" si="7"/>
        <v>0.91902608695652188</v>
      </c>
    </row>
    <row r="42" spans="1:26" s="69" customFormat="1" ht="15" hidden="1" customHeight="1" outlineLevel="2" x14ac:dyDescent="0.25">
      <c r="A42" s="25"/>
      <c r="B42" s="12" t="str">
        <f>CONCATENATE("          ","6279"," - ","GENERAL EXPENSE")</f>
        <v xml:space="preserve">          6279 - GENERAL EXPENSE</v>
      </c>
      <c r="C42" s="12"/>
      <c r="D42" s="7">
        <v>256.79000000000002</v>
      </c>
      <c r="E42" s="3"/>
      <c r="F42" s="8">
        <f t="shared" si="0"/>
        <v>2.5987734283285432E-2</v>
      </c>
      <c r="G42" s="3"/>
      <c r="H42" s="7"/>
      <c r="I42" s="3"/>
      <c r="J42" s="8">
        <f t="shared" si="1"/>
        <v>0</v>
      </c>
      <c r="K42" s="3"/>
      <c r="L42" s="7">
        <f t="shared" si="2"/>
        <v>256.79000000000002</v>
      </c>
      <c r="M42" s="3"/>
      <c r="N42" s="8">
        <f t="shared" si="3"/>
        <v>0</v>
      </c>
      <c r="O42" s="12"/>
      <c r="P42" s="7">
        <v>1103.44</v>
      </c>
      <c r="Q42" s="3"/>
      <c r="R42" s="8">
        <f t="shared" si="4"/>
        <v>1.1944976293318317E-2</v>
      </c>
      <c r="S42" s="3"/>
      <c r="T42" s="7">
        <v>575</v>
      </c>
      <c r="U42" s="3"/>
      <c r="V42" s="8">
        <f t="shared" si="5"/>
        <v>0</v>
      </c>
      <c r="W42" s="3"/>
      <c r="X42" s="7">
        <f t="shared" si="6"/>
        <v>528.44000000000005</v>
      </c>
      <c r="Y42" s="3"/>
      <c r="Z42" s="8">
        <f t="shared" si="7"/>
        <v>0.91902608695652188</v>
      </c>
    </row>
    <row r="43" spans="1:26" s="68" customFormat="1" ht="15" customHeight="1" outlineLevel="1" collapsed="1" x14ac:dyDescent="0.25">
      <c r="A43" s="26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SUM(OSRRefD22_8x_0)</f>
        <v>0</v>
      </c>
      <c r="E43" s="2"/>
      <c r="F43" s="6">
        <f t="shared" si="0"/>
        <v>0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SUM(OSRRefP22_8x_0)</f>
        <v>2020.17</v>
      </c>
      <c r="Q43" s="2"/>
      <c r="R43" s="6">
        <f t="shared" si="4"/>
        <v>2.1868776515689903E-2</v>
      </c>
      <c r="S43" s="2"/>
      <c r="T43" s="2">
        <f>SUM(OSRRefT22_8x_0)</f>
        <v>1280.28</v>
      </c>
      <c r="U43" s="2"/>
      <c r="V43" s="6">
        <f t="shared" si="5"/>
        <v>0</v>
      </c>
      <c r="W43" s="2"/>
      <c r="X43" s="2">
        <f t="shared" si="6"/>
        <v>739.8900000000001</v>
      </c>
      <c r="Y43" s="2"/>
      <c r="Z43" s="6">
        <f t="shared" si="7"/>
        <v>0.57791264410910126</v>
      </c>
    </row>
    <row r="44" spans="1:26" s="69" customFormat="1" ht="15" hidden="1" customHeight="1" outlineLevel="2" x14ac:dyDescent="0.25">
      <c r="A44" s="25"/>
      <c r="B44" s="12" t="str">
        <f>CONCATENATE("          ","6373"," - ","MAINTENANCE CONTRACTS")</f>
        <v xml:space="preserve">          6373 - MAINTENANCE CONTRACTS</v>
      </c>
      <c r="C44" s="12"/>
      <c r="D44" s="7"/>
      <c r="E44" s="3"/>
      <c r="F44" s="8">
        <f t="shared" si="0"/>
        <v>0</v>
      </c>
      <c r="G44" s="3"/>
      <c r="H44" s="7"/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147.76</v>
      </c>
      <c r="Q44" s="3"/>
      <c r="R44" s="8">
        <f t="shared" si="4"/>
        <v>1.5995339095018436E-3</v>
      </c>
      <c r="S44" s="3"/>
      <c r="T44" s="7">
        <v>262.58999999999997</v>
      </c>
      <c r="U44" s="3"/>
      <c r="V44" s="8">
        <f t="shared" si="5"/>
        <v>0</v>
      </c>
      <c r="W44" s="3"/>
      <c r="X44" s="7">
        <f t="shared" si="6"/>
        <v>-114.82999999999998</v>
      </c>
      <c r="Y44" s="3"/>
      <c r="Z44" s="8">
        <f t="shared" si="7"/>
        <v>-0.43729768841159222</v>
      </c>
    </row>
    <row r="45" spans="1:26" s="69" customFormat="1" ht="15" hidden="1" customHeight="1" outlineLevel="2" x14ac:dyDescent="0.25">
      <c r="A45" s="25"/>
      <c r="B45" s="12" t="str">
        <f>CONCATENATE("          ","6375"," - ","OUTSIDE REPAIRS &amp; MAINTENANCE")</f>
        <v xml:space="preserve">          6375 - OUTSIDE REPAIRS &amp; MAINTENANCE</v>
      </c>
      <c r="C45" s="12"/>
      <c r="D45" s="7"/>
      <c r="E45" s="3"/>
      <c r="F45" s="8">
        <f t="shared" si="0"/>
        <v>0</v>
      </c>
      <c r="G45" s="3"/>
      <c r="H45" s="7"/>
      <c r="I45" s="3"/>
      <c r="J45" s="8">
        <f t="shared" si="1"/>
        <v>0</v>
      </c>
      <c r="K45" s="3"/>
      <c r="L45" s="7">
        <f t="shared" si="2"/>
        <v>0</v>
      </c>
      <c r="M45" s="3"/>
      <c r="N45" s="8">
        <f t="shared" si="3"/>
        <v>0</v>
      </c>
      <c r="O45" s="12"/>
      <c r="P45" s="7">
        <v>1872.41</v>
      </c>
      <c r="Q45" s="3"/>
      <c r="R45" s="8">
        <f t="shared" si="4"/>
        <v>2.0269242606188058E-2</v>
      </c>
      <c r="S45" s="3"/>
      <c r="T45" s="7">
        <v>1017.69</v>
      </c>
      <c r="U45" s="3"/>
      <c r="V45" s="8">
        <f t="shared" si="5"/>
        <v>0</v>
      </c>
      <c r="W45" s="3"/>
      <c r="X45" s="7">
        <f t="shared" si="6"/>
        <v>854.72</v>
      </c>
      <c r="Y45" s="3"/>
      <c r="Z45" s="8">
        <f t="shared" si="7"/>
        <v>0.83986282659749034</v>
      </c>
    </row>
    <row r="46" spans="1:26" s="68" customFormat="1" ht="15" customHeight="1" outlineLevel="1" collapsed="1" x14ac:dyDescent="0.25">
      <c r="A46" s="26"/>
      <c r="B46" s="14" t="str">
        <f>CONCATENATE("     ","Services                                          ")</f>
        <v xml:space="preserve">     Services                                          </v>
      </c>
      <c r="C46" s="14"/>
      <c r="D46" s="2">
        <f>SUM(OSRRefD22_9x_0)</f>
        <v>129</v>
      </c>
      <c r="E46" s="2"/>
      <c r="F46" s="6">
        <f t="shared" si="0"/>
        <v>1.3055094522932437E-2</v>
      </c>
      <c r="G46" s="2"/>
      <c r="H46" s="2">
        <f>SUM(OSRRefH22_9x_0)</f>
        <v>151.85</v>
      </c>
      <c r="I46" s="2"/>
      <c r="J46" s="6">
        <f t="shared" si="1"/>
        <v>0</v>
      </c>
      <c r="K46" s="2"/>
      <c r="L46" s="2">
        <f t="shared" si="2"/>
        <v>-22.849999999999994</v>
      </c>
      <c r="M46" s="2"/>
      <c r="N46" s="6">
        <f t="shared" si="3"/>
        <v>-0.15047744484688835</v>
      </c>
      <c r="O46" s="14"/>
      <c r="P46" s="2">
        <f>SUM(OSRRefP22_9x_0)</f>
        <v>2280.34</v>
      </c>
      <c r="Q46" s="2"/>
      <c r="R46" s="6">
        <f t="shared" si="4"/>
        <v>2.4685172950686483E-2</v>
      </c>
      <c r="S46" s="2"/>
      <c r="T46" s="2">
        <f>SUM(OSRRefT22_9x_0)</f>
        <v>1764.15</v>
      </c>
      <c r="U46" s="2"/>
      <c r="V46" s="6">
        <f t="shared" si="5"/>
        <v>0</v>
      </c>
      <c r="W46" s="2"/>
      <c r="X46" s="2">
        <f t="shared" si="6"/>
        <v>516.19000000000005</v>
      </c>
      <c r="Y46" s="2"/>
      <c r="Z46" s="6">
        <f t="shared" si="7"/>
        <v>0.2925998356148854</v>
      </c>
    </row>
    <row r="47" spans="1:26" s="69" customFormat="1" ht="15" hidden="1" customHeight="1" outlineLevel="2" x14ac:dyDescent="0.25">
      <c r="A47" s="25"/>
      <c r="B47" s="12" t="str">
        <f>CONCATENATE("          ","6282"," - ","JANITORIAL/EXTERMINATOR EXPENS")</f>
        <v xml:space="preserve">          6282 - JANITORIAL/EXTERMINATOR EXPENS</v>
      </c>
      <c r="C47" s="12"/>
      <c r="D47" s="7">
        <v>129</v>
      </c>
      <c r="E47" s="3"/>
      <c r="F47" s="8">
        <f t="shared" si="0"/>
        <v>1.3055094522932437E-2</v>
      </c>
      <c r="G47" s="3"/>
      <c r="H47" s="7">
        <v>151.85</v>
      </c>
      <c r="I47" s="3"/>
      <c r="J47" s="8">
        <f t="shared" si="1"/>
        <v>0</v>
      </c>
      <c r="K47" s="3"/>
      <c r="L47" s="7">
        <f t="shared" si="2"/>
        <v>-22.849999999999994</v>
      </c>
      <c r="M47" s="3"/>
      <c r="N47" s="8">
        <f t="shared" si="3"/>
        <v>-0.15047744484688835</v>
      </c>
      <c r="O47" s="12"/>
      <c r="P47" s="7">
        <v>2034.5</v>
      </c>
      <c r="Q47" s="3"/>
      <c r="R47" s="8">
        <f t="shared" si="4"/>
        <v>2.2023901860324182E-2</v>
      </c>
      <c r="S47" s="3"/>
      <c r="T47" s="7">
        <v>1937.19</v>
      </c>
      <c r="U47" s="3"/>
      <c r="V47" s="8">
        <f t="shared" si="5"/>
        <v>0</v>
      </c>
      <c r="W47" s="3"/>
      <c r="X47" s="7">
        <f t="shared" si="6"/>
        <v>97.309999999999945</v>
      </c>
      <c r="Y47" s="3"/>
      <c r="Z47" s="8">
        <f t="shared" si="7"/>
        <v>5.0232553337566238E-2</v>
      </c>
    </row>
    <row r="48" spans="1:26" s="69" customFormat="1" ht="15" hidden="1" customHeight="1" outlineLevel="2" x14ac:dyDescent="0.25">
      <c r="A48" s="25"/>
      <c r="B48" s="12" t="str">
        <f>CONCATENATE("          ","6285"," - ","JANITORIAL SERVICES")</f>
        <v xml:space="preserve">          6285 - JANITORIAL SERVICES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>
        <v>245.84</v>
      </c>
      <c r="Q48" s="3"/>
      <c r="R48" s="8">
        <f t="shared" si="4"/>
        <v>2.661271090362299E-3</v>
      </c>
      <c r="S48" s="3"/>
      <c r="T48" s="7">
        <v>-173.04</v>
      </c>
      <c r="U48" s="3"/>
      <c r="V48" s="8">
        <f t="shared" si="5"/>
        <v>0</v>
      </c>
      <c r="W48" s="3"/>
      <c r="X48" s="7">
        <f t="shared" si="6"/>
        <v>418.88</v>
      </c>
      <c r="Y48" s="3"/>
      <c r="Z48" s="8">
        <f t="shared" si="7"/>
        <v>-2.4207119741100325</v>
      </c>
    </row>
    <row r="49" spans="1:26" s="68" customFormat="1" ht="15" customHeight="1" outlineLevel="1" collapsed="1" x14ac:dyDescent="0.25">
      <c r="A49" s="26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SUM(OSRRefD22_10x_0)</f>
        <v>-33.409999999999997</v>
      </c>
      <c r="E49" s="2"/>
      <c r="F49" s="6">
        <f t="shared" si="0"/>
        <v>-3.3811682791563772E-3</v>
      </c>
      <c r="G49" s="2"/>
      <c r="H49" s="2">
        <f>SUM(OSRRefH22_10x_0)</f>
        <v>0</v>
      </c>
      <c r="I49" s="2"/>
      <c r="J49" s="6">
        <f t="shared" si="1"/>
        <v>0</v>
      </c>
      <c r="K49" s="2"/>
      <c r="L49" s="2">
        <f t="shared" si="2"/>
        <v>-33.409999999999997</v>
      </c>
      <c r="M49" s="2"/>
      <c r="N49" s="6">
        <f t="shared" si="3"/>
        <v>0</v>
      </c>
      <c r="O49" s="14"/>
      <c r="P49" s="2">
        <f>SUM(OSRRefP22_10x_0)</f>
        <v>88.18</v>
      </c>
      <c r="Q49" s="2"/>
      <c r="R49" s="6">
        <f t="shared" si="4"/>
        <v>9.5456754290655524E-4</v>
      </c>
      <c r="S49" s="2"/>
      <c r="T49" s="2">
        <f>SUM(OSRRefT22_10x_0)</f>
        <v>0</v>
      </c>
      <c r="U49" s="2"/>
      <c r="V49" s="6">
        <f t="shared" si="5"/>
        <v>0</v>
      </c>
      <c r="W49" s="2"/>
      <c r="X49" s="2">
        <f t="shared" si="6"/>
        <v>88.18</v>
      </c>
      <c r="Y49" s="2"/>
      <c r="Z49" s="6">
        <f t="shared" si="7"/>
        <v>0</v>
      </c>
    </row>
    <row r="50" spans="1:26" s="69" customFormat="1" ht="15" hidden="1" customHeight="1" outlineLevel="2" x14ac:dyDescent="0.25">
      <c r="A50" s="25"/>
      <c r="B50" s="12" t="str">
        <f>CONCATENATE("          ","6241"," - ","OFFICE EXPENSE")</f>
        <v xml:space="preserve">          6241 - OFFICE EXPENSE</v>
      </c>
      <c r="C50" s="12"/>
      <c r="D50" s="7"/>
      <c r="E50" s="3"/>
      <c r="F50" s="8">
        <f t="shared" si="0"/>
        <v>0</v>
      </c>
      <c r="G50" s="3"/>
      <c r="H50" s="7"/>
      <c r="I50" s="3"/>
      <c r="J50" s="8">
        <f t="shared" si="1"/>
        <v>0</v>
      </c>
      <c r="K50" s="3"/>
      <c r="L50" s="7">
        <f t="shared" si="2"/>
        <v>0</v>
      </c>
      <c r="M50" s="3"/>
      <c r="N50" s="8">
        <f t="shared" si="3"/>
        <v>0</v>
      </c>
      <c r="O50" s="12"/>
      <c r="P50" s="7">
        <v>28.64</v>
      </c>
      <c r="Q50" s="3"/>
      <c r="R50" s="8">
        <f t="shared" si="4"/>
        <v>3.1003418494946405E-4</v>
      </c>
      <c r="S50" s="3"/>
      <c r="T50" s="7"/>
      <c r="U50" s="3"/>
      <c r="V50" s="8">
        <f t="shared" si="5"/>
        <v>0</v>
      </c>
      <c r="W50" s="3"/>
      <c r="X50" s="7">
        <f t="shared" si="6"/>
        <v>28.64</v>
      </c>
      <c r="Y50" s="3"/>
      <c r="Z50" s="8">
        <f t="shared" si="7"/>
        <v>0</v>
      </c>
    </row>
    <row r="51" spans="1:26" s="69" customFormat="1" ht="15" hidden="1" customHeight="1" outlineLevel="2" x14ac:dyDescent="0.25">
      <c r="A51" s="25"/>
      <c r="B51" s="12" t="str">
        <f>CONCATENATE("          ","6247"," - ","STORE SUPPLIES")</f>
        <v xml:space="preserve">          6247 - STORE SUPPLIES</v>
      </c>
      <c r="C51" s="12"/>
      <c r="D51" s="7">
        <v>-33.409999999999997</v>
      </c>
      <c r="E51" s="3"/>
      <c r="F51" s="8">
        <f t="shared" si="0"/>
        <v>-3.3811682791563772E-3</v>
      </c>
      <c r="G51" s="3"/>
      <c r="H51" s="7"/>
      <c r="I51" s="3"/>
      <c r="J51" s="8">
        <f t="shared" si="1"/>
        <v>0</v>
      </c>
      <c r="K51" s="3"/>
      <c r="L51" s="7">
        <f t="shared" si="2"/>
        <v>-33.409999999999997</v>
      </c>
      <c r="M51" s="3"/>
      <c r="N51" s="8">
        <f t="shared" si="3"/>
        <v>0</v>
      </c>
      <c r="O51" s="12"/>
      <c r="P51" s="7">
        <v>59.54</v>
      </c>
      <c r="Q51" s="3"/>
      <c r="R51" s="8">
        <f t="shared" si="4"/>
        <v>6.4453335795709114E-4</v>
      </c>
      <c r="S51" s="3"/>
      <c r="T51" s="7"/>
      <c r="U51" s="3"/>
      <c r="V51" s="8">
        <f t="shared" si="5"/>
        <v>0</v>
      </c>
      <c r="W51" s="3"/>
      <c r="X51" s="7">
        <f t="shared" si="6"/>
        <v>59.54</v>
      </c>
      <c r="Y51" s="3"/>
      <c r="Z51" s="8">
        <f t="shared" si="7"/>
        <v>0</v>
      </c>
    </row>
    <row r="52" spans="1:26" s="68" customFormat="1" ht="15" customHeight="1" outlineLevel="1" collapsed="1" x14ac:dyDescent="0.25">
      <c r="A52" s="26"/>
      <c r="B52" s="14" t="str">
        <f>CONCATENATE("     ","Telephone/Data Lines                              ")</f>
        <v xml:space="preserve">     Telephone/Data Lines                              </v>
      </c>
      <c r="C52" s="14"/>
      <c r="D52" s="2">
        <f>SUM(OSRRefD22_11x_0)</f>
        <v>30</v>
      </c>
      <c r="E52" s="2"/>
      <c r="F52" s="6">
        <f t="shared" si="0"/>
        <v>3.0360684937052176E-3</v>
      </c>
      <c r="G52" s="2"/>
      <c r="H52" s="2">
        <f>SUM(OSRRefH22_11x_0)</f>
        <v>30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SUM(OSRRefP22_11x_0)</f>
        <v>330</v>
      </c>
      <c r="Q52" s="2"/>
      <c r="R52" s="6">
        <f t="shared" si="4"/>
        <v>3.5723212651299976E-3</v>
      </c>
      <c r="S52" s="2"/>
      <c r="T52" s="2">
        <f>SUM(OSRRefT22_11x_0)</f>
        <v>424.32</v>
      </c>
      <c r="U52" s="2"/>
      <c r="V52" s="6">
        <f t="shared" si="5"/>
        <v>0</v>
      </c>
      <c r="W52" s="2"/>
      <c r="X52" s="2">
        <f t="shared" si="6"/>
        <v>-94.32</v>
      </c>
      <c r="Y52" s="2"/>
      <c r="Z52" s="6">
        <f t="shared" si="7"/>
        <v>-0.22228506787330315</v>
      </c>
    </row>
    <row r="53" spans="1:26" s="69" customFormat="1" ht="15" hidden="1" customHeight="1" outlineLevel="2" x14ac:dyDescent="0.25">
      <c r="A53" s="25"/>
      <c r="B53" s="12" t="str">
        <f>CONCATENATE("          ","6309"," - ","TELEPHONE")</f>
        <v xml:space="preserve">          6309 - TELEPHONE</v>
      </c>
      <c r="C53" s="12"/>
      <c r="D53" s="7">
        <v>30</v>
      </c>
      <c r="E53" s="3"/>
      <c r="F53" s="8">
        <f t="shared" si="0"/>
        <v>3.0360684937052176E-3</v>
      </c>
      <c r="G53" s="3"/>
      <c r="H53" s="7">
        <v>30</v>
      </c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>
        <v>330</v>
      </c>
      <c r="Q53" s="3"/>
      <c r="R53" s="8">
        <f t="shared" si="4"/>
        <v>3.5723212651299976E-3</v>
      </c>
      <c r="S53" s="3"/>
      <c r="T53" s="7">
        <v>424.32</v>
      </c>
      <c r="U53" s="3"/>
      <c r="V53" s="8">
        <f t="shared" si="5"/>
        <v>0</v>
      </c>
      <c r="W53" s="3"/>
      <c r="X53" s="7">
        <f t="shared" si="6"/>
        <v>-94.32</v>
      </c>
      <c r="Y53" s="3"/>
      <c r="Z53" s="8">
        <f t="shared" si="7"/>
        <v>-0.22228506787330315</v>
      </c>
    </row>
    <row r="54" spans="1:26" s="68" customFormat="1" ht="15" customHeight="1" outlineLevel="1" collapsed="1" x14ac:dyDescent="0.25">
      <c r="A54" s="26"/>
      <c r="B54" s="14" t="str">
        <f>CONCATENATE("     ","Training                                          ")</f>
        <v xml:space="preserve">     Training                                          </v>
      </c>
      <c r="C54" s="14"/>
      <c r="D54" s="2">
        <f>SUM(OSRRefD22_12x_0)</f>
        <v>0</v>
      </c>
      <c r="E54" s="2"/>
      <c r="F54" s="6">
        <f t="shared" si="0"/>
        <v>0</v>
      </c>
      <c r="G54" s="2"/>
      <c r="H54" s="2">
        <f>SUM(OSRRefH22_12x_0)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SUM(OSRRefP22_12x_0)</f>
        <v>120</v>
      </c>
      <c r="Q54" s="2"/>
      <c r="R54" s="6">
        <f t="shared" si="4"/>
        <v>1.2990259145927265E-3</v>
      </c>
      <c r="S54" s="2"/>
      <c r="T54" s="2">
        <f>SUM(OSRRefT22_12x_0)</f>
        <v>0</v>
      </c>
      <c r="U54" s="2"/>
      <c r="V54" s="6">
        <f t="shared" si="5"/>
        <v>0</v>
      </c>
      <c r="W54" s="2"/>
      <c r="X54" s="2">
        <f t="shared" si="6"/>
        <v>120</v>
      </c>
      <c r="Y54" s="2"/>
      <c r="Z54" s="6">
        <f t="shared" si="7"/>
        <v>0</v>
      </c>
    </row>
    <row r="55" spans="1:26" s="69" customFormat="1" ht="15" hidden="1" customHeight="1" outlineLevel="2" x14ac:dyDescent="0.25">
      <c r="A55" s="25"/>
      <c r="B55" s="12" t="str">
        <f>CONCATENATE("          ","6376"," - ","TRAINING")</f>
        <v xml:space="preserve">          6376 - TRAINING</v>
      </c>
      <c r="C55" s="12"/>
      <c r="D55" s="7"/>
      <c r="E55" s="3"/>
      <c r="F55" s="8">
        <f t="shared" si="0"/>
        <v>0</v>
      </c>
      <c r="G55" s="3"/>
      <c r="H55" s="7"/>
      <c r="I55" s="3"/>
      <c r="J55" s="8">
        <f t="shared" si="1"/>
        <v>0</v>
      </c>
      <c r="K55" s="3"/>
      <c r="L55" s="7">
        <f t="shared" si="2"/>
        <v>0</v>
      </c>
      <c r="M55" s="3"/>
      <c r="N55" s="8">
        <f t="shared" si="3"/>
        <v>0</v>
      </c>
      <c r="O55" s="12"/>
      <c r="P55" s="7">
        <v>120</v>
      </c>
      <c r="Q55" s="3"/>
      <c r="R55" s="8">
        <f t="shared" si="4"/>
        <v>1.2990259145927265E-3</v>
      </c>
      <c r="S55" s="3"/>
      <c r="T55" s="7"/>
      <c r="U55" s="3"/>
      <c r="V55" s="8">
        <f t="shared" si="5"/>
        <v>0</v>
      </c>
      <c r="W55" s="3"/>
      <c r="X55" s="7">
        <f t="shared" si="6"/>
        <v>120</v>
      </c>
      <c r="Y55" s="3"/>
      <c r="Z55" s="8">
        <f t="shared" si="7"/>
        <v>0</v>
      </c>
    </row>
    <row r="56" spans="1:26" s="64" customFormat="1" ht="15" customHeight="1" x14ac:dyDescent="0.25">
      <c r="A56" s="36"/>
      <c r="B56" s="36"/>
      <c r="C56" s="36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2" customFormat="1" ht="15" customHeight="1" x14ac:dyDescent="0.25">
      <c r="A57" s="11"/>
      <c r="B57" s="28" t="s">
        <v>290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25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25">
      <c r="A59" s="11"/>
      <c r="B59" s="27" t="s">
        <v>291</v>
      </c>
      <c r="C59" s="27"/>
      <c r="D59" s="22">
        <f>+D22-D24+D57</f>
        <v>1295.4700000000012</v>
      </c>
      <c r="E59" s="15"/>
      <c r="F59" s="23">
        <f>IF(D$12=0,0,D59/D$12)</f>
        <v>0.13110452171801007</v>
      </c>
      <c r="G59" s="15"/>
      <c r="H59" s="22">
        <f>+H22-H24+H57</f>
        <v>-770.02</v>
      </c>
      <c r="I59" s="15"/>
      <c r="J59" s="23">
        <f>IF(H$12=0,0,H59/H$12)</f>
        <v>0</v>
      </c>
      <c r="K59" s="16"/>
      <c r="L59" s="22">
        <f>+D59-H59</f>
        <v>2065.4900000000011</v>
      </c>
      <c r="M59" s="16"/>
      <c r="N59" s="23">
        <f>IF(H59=0,0,L59/H59)</f>
        <v>-2.68238487312018</v>
      </c>
      <c r="O59" s="28"/>
      <c r="P59" s="22">
        <f>+P22-P24+P57</f>
        <v>14897.130000000019</v>
      </c>
      <c r="Q59" s="15"/>
      <c r="R59" s="23">
        <f>IF(P$12=0,0,P59/P$12)</f>
        <v>0.16126464935880641</v>
      </c>
      <c r="S59" s="15"/>
      <c r="T59" s="22">
        <f>+T22-T24+T57</f>
        <v>-10261.4</v>
      </c>
      <c r="U59" s="15"/>
      <c r="V59" s="23">
        <f>IF(T$12=0,0,T59/T$12)</f>
        <v>0</v>
      </c>
      <c r="W59" s="16"/>
      <c r="X59" s="22">
        <f>+P59-T59</f>
        <v>25158.530000000021</v>
      </c>
      <c r="Y59" s="16"/>
      <c r="Z59" s="23">
        <f>IF(T59=0,0,X59/T59)</f>
        <v>-2.4517638918666091</v>
      </c>
    </row>
    <row r="60" spans="1:26" ht="15" customHeight="1" x14ac:dyDescent="0.25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2" customFormat="1" ht="15" customHeight="1" x14ac:dyDescent="0.25">
      <c r="A61" s="48"/>
      <c r="B61" s="11" t="s">
        <v>292</v>
      </c>
      <c r="C61" s="11"/>
      <c r="D61" s="5">
        <v>1040.08</v>
      </c>
      <c r="E61" s="5"/>
      <c r="F61" s="13">
        <f>IF(D$12=0,0,D61/D$12)</f>
        <v>0.10525847063109742</v>
      </c>
      <c r="G61" s="5"/>
      <c r="H61" s="5"/>
      <c r="I61" s="5"/>
      <c r="J61" s="13">
        <f>IF(H$12=0,0,H61/H$12)</f>
        <v>0</v>
      </c>
      <c r="K61" s="5"/>
      <c r="L61" s="5">
        <f>+D61-H61</f>
        <v>1040.08</v>
      </c>
      <c r="M61" s="5"/>
      <c r="N61" s="13">
        <f>IF(H61=0,0,L61/H61)</f>
        <v>0</v>
      </c>
      <c r="O61" s="11"/>
      <c r="P61" s="5">
        <v>10385.51</v>
      </c>
      <c r="Q61" s="5"/>
      <c r="R61" s="13">
        <f>IF(P$12=0,0,P61/P$12)</f>
        <v>0.11242538855218255</v>
      </c>
      <c r="S61" s="5"/>
      <c r="T61" s="5"/>
      <c r="U61" s="5"/>
      <c r="V61" s="13">
        <f>IF(T$12=0,0,T61/T$12)</f>
        <v>0</v>
      </c>
      <c r="W61" s="5"/>
      <c r="X61" s="5">
        <f>+P61-T61</f>
        <v>10385.51</v>
      </c>
      <c r="Y61" s="5"/>
      <c r="Z61" s="13">
        <f>IF(T61=0,0,X61/T61)</f>
        <v>0</v>
      </c>
    </row>
    <row r="62" spans="1:26" ht="15" customHeight="1" x14ac:dyDescent="0.25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2" customFormat="1" ht="15" customHeight="1" x14ac:dyDescent="0.25">
      <c r="A63" s="11"/>
      <c r="B63" s="27" t="s">
        <v>293</v>
      </c>
      <c r="C63" s="27"/>
      <c r="D63" s="35">
        <f>+D59-D61</f>
        <v>255.39000000000124</v>
      </c>
      <c r="E63" s="15"/>
      <c r="F63" s="30">
        <f>IF(D$12=0,0,D63/D$12)</f>
        <v>2.5846051086912646E-2</v>
      </c>
      <c r="G63" s="15"/>
      <c r="H63" s="35">
        <f>+H59-H61</f>
        <v>-770.02</v>
      </c>
      <c r="I63" s="15"/>
      <c r="J63" s="30">
        <f>IF(H$12=0,0,H63/H$12)</f>
        <v>0</v>
      </c>
      <c r="K63" s="16"/>
      <c r="L63" s="35">
        <f>D63-H63</f>
        <v>1025.4100000000012</v>
      </c>
      <c r="M63" s="16"/>
      <c r="N63" s="30">
        <f>IF(H63=0,0,L63/H63)</f>
        <v>-1.3316667099555872</v>
      </c>
      <c r="O63" s="28"/>
      <c r="P63" s="35">
        <f>+P59-P61</f>
        <v>4511.620000000019</v>
      </c>
      <c r="Q63" s="15"/>
      <c r="R63" s="30">
        <f>IF(P$12=0,0,P63/P$12)</f>
        <v>4.883926080662384E-2</v>
      </c>
      <c r="S63" s="15"/>
      <c r="T63" s="35">
        <f>+T59-T61</f>
        <v>-10261.4</v>
      </c>
      <c r="U63" s="15"/>
      <c r="V63" s="30">
        <f>IF(T$12=0,0,T63/T$12)</f>
        <v>0</v>
      </c>
      <c r="W63" s="16"/>
      <c r="X63" s="35">
        <f>P63-T63</f>
        <v>14773.020000000019</v>
      </c>
      <c r="Y63" s="16"/>
      <c r="Z63" s="30">
        <f>IF(T63=0,0,X63/T63)</f>
        <v>-1.4396690510066872</v>
      </c>
    </row>
    <row r="64" spans="1:26" ht="15" customHeight="1" x14ac:dyDescent="0.25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25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25">
      <c r="A66" s="11"/>
      <c r="B66" s="27" t="s">
        <v>296</v>
      </c>
      <c r="C66" s="27"/>
      <c r="D66" s="32">
        <f>SUM(D63:D65)</f>
        <v>255.39000000000124</v>
      </c>
      <c r="E66" s="15"/>
      <c r="F66" s="34">
        <f>IF(D$12=0,0,D66/D$12)</f>
        <v>2.5846051086912646E-2</v>
      </c>
      <c r="G66" s="15"/>
      <c r="H66" s="32">
        <f>SUM(H63:H65)</f>
        <v>-770.02</v>
      </c>
      <c r="I66" s="15"/>
      <c r="J66" s="34">
        <f>IF(H$12=0,0,H66/H$12)</f>
        <v>0</v>
      </c>
      <c r="K66" s="16"/>
      <c r="L66" s="32">
        <f>+D66-H66</f>
        <v>1025.4100000000012</v>
      </c>
      <c r="M66" s="16"/>
      <c r="N66" s="34">
        <f>IF(H66=0,0,L66/H66)</f>
        <v>-1.3316667099555872</v>
      </c>
      <c r="O66" s="28"/>
      <c r="P66" s="32">
        <f>SUM(P63:P65)</f>
        <v>4511.620000000019</v>
      </c>
      <c r="Q66" s="15"/>
      <c r="R66" s="34">
        <f>IF(P$12=0,0,P66/P$12)</f>
        <v>4.883926080662384E-2</v>
      </c>
      <c r="S66" s="15"/>
      <c r="T66" s="32">
        <f>SUM(T63:T65)</f>
        <v>-10261.4</v>
      </c>
      <c r="U66" s="15"/>
      <c r="V66" s="34">
        <f>IF(T$12=0,0,T66/T$12)</f>
        <v>0</v>
      </c>
      <c r="W66" s="16"/>
      <c r="X66" s="32">
        <f>+P66-T66</f>
        <v>14773.020000000019</v>
      </c>
      <c r="Y66" s="16"/>
      <c r="Z66" s="34">
        <f>IF(T66=0,0,X66/T66)</f>
        <v>-1.4396690510066872</v>
      </c>
    </row>
    <row r="67" spans="1:26" ht="15" customHeight="1" x14ac:dyDescent="0.25">
      <c r="A67" s="10"/>
      <c r="C67" s="10"/>
      <c r="D67" s="18"/>
      <c r="E67" s="18"/>
      <c r="G67" s="18"/>
      <c r="H67" s="18"/>
      <c r="I67" s="18"/>
      <c r="J67" s="41"/>
      <c r="K67" s="18"/>
      <c r="L67" s="18"/>
      <c r="M67" s="18"/>
      <c r="P67" s="18"/>
      <c r="Q67" s="18"/>
      <c r="R67" s="41"/>
      <c r="S67" s="18"/>
      <c r="T67" s="18"/>
      <c r="U67" s="18"/>
      <c r="V67" s="41"/>
      <c r="W67" s="18"/>
      <c r="X67" s="18"/>
    </row>
    <row r="68" spans="1:26" ht="15" customHeight="1" x14ac:dyDescent="0.25">
      <c r="A68" s="10"/>
      <c r="B68" s="50">
        <v>44727.879654085649</v>
      </c>
      <c r="D68" s="18"/>
      <c r="E68" s="18"/>
      <c r="G68" s="18"/>
      <c r="H68" s="18"/>
      <c r="I68" s="18"/>
      <c r="J68" s="41"/>
      <c r="K68" s="18"/>
      <c r="L68" s="18"/>
      <c r="M68" s="18"/>
      <c r="P68" s="18"/>
      <c r="Q68" s="18"/>
      <c r="R68" s="41"/>
      <c r="S68" s="18"/>
      <c r="T68" s="18"/>
      <c r="U68" s="18"/>
      <c r="V68" s="41"/>
      <c r="W68" s="18"/>
      <c r="X68" s="18"/>
    </row>
    <row r="69" spans="1:26" ht="15" customHeight="1" x14ac:dyDescent="0.25">
      <c r="A69" s="10"/>
      <c r="B69" s="53" t="s">
        <v>297</v>
      </c>
      <c r="D69" s="18"/>
      <c r="E69" s="18"/>
      <c r="G69" s="18"/>
      <c r="H69" s="18"/>
      <c r="I69" s="18"/>
      <c r="J69" s="41"/>
      <c r="K69" s="18"/>
      <c r="L69" s="18"/>
      <c r="M69" s="18"/>
      <c r="P69" s="18"/>
      <c r="Q69" s="18"/>
      <c r="R69" s="41"/>
      <c r="S69" s="18"/>
      <c r="T69" s="18"/>
      <c r="U69" s="18"/>
      <c r="V69" s="41"/>
      <c r="W69" s="18"/>
      <c r="X69" s="18"/>
    </row>
    <row r="70" spans="1:26" ht="15" customHeight="1" x14ac:dyDescent="0.25">
      <c r="A70" s="10"/>
      <c r="B70" s="55"/>
      <c r="D70" s="18"/>
      <c r="E70" s="18"/>
      <c r="G70" s="18"/>
      <c r="H70" s="18"/>
      <c r="I70" s="18"/>
      <c r="J70" s="41"/>
      <c r="K70" s="18"/>
      <c r="L70" s="18"/>
      <c r="M70" s="18"/>
      <c r="P70" s="18"/>
      <c r="Q70" s="18"/>
      <c r="R70" s="41"/>
      <c r="S70" s="18"/>
      <c r="T70" s="18"/>
      <c r="U70" s="18"/>
      <c r="V70" s="41"/>
      <c r="W70" s="18"/>
      <c r="X70" s="18"/>
    </row>
    <row r="71" spans="1:26" ht="15" customHeight="1" x14ac:dyDescent="0.25">
      <c r="D71" s="18"/>
      <c r="E71" s="18"/>
      <c r="G71" s="18"/>
      <c r="H71" s="18"/>
      <c r="I71" s="18"/>
      <c r="J71" s="41"/>
      <c r="K71" s="18"/>
      <c r="L71" s="18"/>
      <c r="M71" s="18"/>
      <c r="P71" s="18"/>
      <c r="Q71" s="18"/>
      <c r="R71" s="41"/>
      <c r="S71" s="18"/>
      <c r="T71" s="18"/>
      <c r="U71" s="18"/>
      <c r="V71" s="41"/>
      <c r="W71" s="18"/>
      <c r="X7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74FC6-1176-B869-D57B-A2D24E9BD373}">
  <sheetPr>
    <tabColor rgb="FF92D050"/>
    <outlinePr summaryBelow="0" summaryRight="0"/>
  </sheetPr>
  <dimension ref="A2:Z6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","313"," - ","Convenience Store")</f>
        <v>Department 313 - Convenience Store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SUM(OSRRefP13x_0)</f>
        <v>0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s="69" customFormat="1" ht="15" hidden="1" customHeight="1" outlineLevel="1" x14ac:dyDescent="0.25">
      <c r="A13" s="42"/>
      <c r="B13" s="12" t="str">
        <f>CONCATENATE("          ","4034"," - ","TAXABLE SALES-SODA")</f>
        <v xml:space="preserve">          4034 - TAXABLE SALES-SODA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0</f>
        <v>0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0</v>
      </c>
      <c r="Y13" s="3"/>
      <c r="Z13" s="20">
        <f>IF(T13=0,0,X13/T13)</f>
        <v>0</v>
      </c>
    </row>
    <row r="14" spans="1:26" s="69" customFormat="1" ht="15" hidden="1" customHeight="1" outlineLevel="1" x14ac:dyDescent="0.25">
      <c r="A14" s="42"/>
      <c r="B14" s="12" t="str">
        <f>CONCATENATE("          ","4132"," - ","NON-TAXABLE SALES-JUICE")</f>
        <v xml:space="preserve">          4132 - NON-TAXABLE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0</f>
        <v>0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0</v>
      </c>
      <c r="Y14" s="3"/>
      <c r="Z14" s="20">
        <f>IF(T14=0,0,X14/T14)</f>
        <v>0</v>
      </c>
    </row>
    <row r="15" spans="1:26" s="69" customFormat="1" ht="15" hidden="1" customHeight="1" outlineLevel="1" x14ac:dyDescent="0.25">
      <c r="A15" s="42"/>
      <c r="B15" s="12" t="str">
        <f>CONCATENATE("          ","4134"," - ","NON-TAXABLE SALES-SODA")</f>
        <v xml:space="preserve">          4134 - NON-TAXABLE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0</v>
      </c>
      <c r="M15" s="3"/>
      <c r="N15" s="20">
        <f>IF(H15=0,0,L15/H15)</f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0</v>
      </c>
      <c r="Y15" s="3"/>
      <c r="Z15" s="20">
        <f>IF(T15=0,0,X15/T15)</f>
        <v>0</v>
      </c>
    </row>
    <row r="16" spans="1:26" s="69" customFormat="1" ht="15" hidden="1" customHeight="1" outlineLevel="1" x14ac:dyDescent="0.25">
      <c r="A16" s="42"/>
      <c r="B16" s="12" t="str">
        <f>CONCATENATE("          ","4137"," - ","NON-TAXABLE SALES-WATER")</f>
        <v xml:space="preserve">          4137 - NON-TAXABLE SALES-WATER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0</f>
        <v>0</v>
      </c>
      <c r="Q16" s="3"/>
      <c r="R16" s="20"/>
      <c r="S16" s="3"/>
      <c r="T16" s="3">
        <f>0</f>
        <v>0</v>
      </c>
      <c r="U16" s="3"/>
      <c r="V16" s="20"/>
      <c r="W16" s="3"/>
      <c r="X16" s="3">
        <f>+P16-T16</f>
        <v>0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25">
      <c r="A18" s="11"/>
      <c r="B18" s="28" t="s">
        <v>287</v>
      </c>
      <c r="C18" s="11"/>
      <c r="D18" s="5">
        <f>SUM(OSRRefD16x_0)</f>
        <v>0</v>
      </c>
      <c r="E18" s="5"/>
      <c r="F18" s="13">
        <f>IF(D$12=0,0,D18/D$12)</f>
        <v>0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0</v>
      </c>
      <c r="M18" s="5"/>
      <c r="N18" s="13">
        <f>IF(H18=0,0,L18/H18)</f>
        <v>0</v>
      </c>
      <c r="O18" s="11"/>
      <c r="P18" s="5">
        <f>SUM(OSRRefP16x_0)</f>
        <v>0</v>
      </c>
      <c r="Q18" s="5"/>
      <c r="R18" s="13">
        <f>IF(P$12=0,0,P18/P$12)</f>
        <v>0</v>
      </c>
      <c r="S18" s="5"/>
      <c r="T18" s="5">
        <f>SUM(OSRRefT16x_0)</f>
        <v>-613.59</v>
      </c>
      <c r="U18" s="5"/>
      <c r="V18" s="13">
        <f>IF(T$12=0,0,T18/T$12)</f>
        <v>0</v>
      </c>
      <c r="W18" s="5"/>
      <c r="X18" s="5">
        <f>+P18-T18</f>
        <v>613.59</v>
      </c>
      <c r="Y18" s="5"/>
      <c r="Z18" s="13">
        <f>IF(T18=0,0,X18/T18)</f>
        <v>-1</v>
      </c>
    </row>
    <row r="19" spans="1:26" s="69" customFormat="1" ht="15" hidden="1" customHeight="1" outlineLevel="1" x14ac:dyDescent="0.25">
      <c r="A19" s="42"/>
      <c r="B19" s="12" t="str">
        <f>CONCATENATE("          ","5053"," - ","PURCHASES @ COST-FOOD")</f>
        <v xml:space="preserve">          5053 - PURCHASES @ COST-FOOD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/>
      <c r="Q19" s="3"/>
      <c r="R19" s="20">
        <f>IF(P$12=0,0,P19/P$12)</f>
        <v>0</v>
      </c>
      <c r="S19" s="3"/>
      <c r="T19" s="3">
        <v>-613.59</v>
      </c>
      <c r="U19" s="3"/>
      <c r="V19" s="20">
        <f>IF(T$12=0,0,T19/T$12)</f>
        <v>0</v>
      </c>
      <c r="W19" s="3"/>
      <c r="X19" s="3">
        <f>+P19-T19</f>
        <v>613.59</v>
      </c>
      <c r="Y19" s="3"/>
      <c r="Z19" s="20">
        <f>IF(T19=0,0,X19/T19)</f>
        <v>-1</v>
      </c>
    </row>
    <row r="20" spans="1:26" ht="15" customHeight="1" x14ac:dyDescent="0.25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25">
      <c r="A21" s="11"/>
      <c r="B21" s="27" t="s">
        <v>288</v>
      </c>
      <c r="C21" s="27"/>
      <c r="D21" s="22">
        <f>D12-D18</f>
        <v>0</v>
      </c>
      <c r="E21" s="15"/>
      <c r="F21" s="23">
        <f>IF(D$12=0,0,D21/D$12)</f>
        <v>0</v>
      </c>
      <c r="G21" s="15"/>
      <c r="H21" s="22">
        <f>H12-H18</f>
        <v>0</v>
      </c>
      <c r="I21" s="15"/>
      <c r="J21" s="23">
        <f>IF(H$12=0,0,H21/H$12)</f>
        <v>0</v>
      </c>
      <c r="K21" s="16"/>
      <c r="L21" s="22">
        <f>+D21-H21</f>
        <v>0</v>
      </c>
      <c r="M21" s="16"/>
      <c r="N21" s="23">
        <f>IF(H21=0,0,L21/H21)</f>
        <v>0</v>
      </c>
      <c r="O21" s="28"/>
      <c r="P21" s="22">
        <f>P12-P18</f>
        <v>0</v>
      </c>
      <c r="Q21" s="15"/>
      <c r="R21" s="23">
        <f>IF(P$12=0,0,P21/P$12)</f>
        <v>0</v>
      </c>
      <c r="S21" s="15"/>
      <c r="T21" s="22">
        <f>T12-T18</f>
        <v>613.59</v>
      </c>
      <c r="U21" s="15"/>
      <c r="V21" s="23">
        <f>IF(T$12=0,0,T21/T$12)</f>
        <v>0</v>
      </c>
      <c r="W21" s="16"/>
      <c r="X21" s="22">
        <f>+P21-T21</f>
        <v>-613.59</v>
      </c>
      <c r="Y21" s="16"/>
      <c r="Z21" s="23">
        <f>IF(T21=0,0,X21/T21)</f>
        <v>-1</v>
      </c>
    </row>
    <row r="22" spans="1:26" ht="15" customHeight="1" x14ac:dyDescent="0.25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25">
      <c r="A23" s="11"/>
      <c r="B23" s="28" t="s">
        <v>289</v>
      </c>
      <c r="C23" s="11"/>
      <c r="D23" s="21" cm="1">
        <f t="array" ref="D23">SUM(OSRRefD22x_0)</f>
        <v>0</v>
      </c>
      <c r="E23" s="21"/>
      <c r="F23" s="31">
        <f t="shared" ref="F23:F46" si="0">IF(D$12=0,0,D23/D$12)</f>
        <v>0</v>
      </c>
      <c r="G23" s="21"/>
      <c r="H23" s="21" cm="1">
        <f t="array" ref="H23">SUM(OSRRefH22x_0)</f>
        <v>83.2</v>
      </c>
      <c r="I23" s="21"/>
      <c r="J23" s="31">
        <f t="shared" ref="J23:J46" si="1">IF(H$12=0,0,H23/H$12)</f>
        <v>0</v>
      </c>
      <c r="K23" s="5"/>
      <c r="L23" s="21">
        <f t="shared" ref="L23:L46" si="2">+D23-H23</f>
        <v>-83.2</v>
      </c>
      <c r="M23" s="5"/>
      <c r="N23" s="31">
        <f t="shared" ref="N23:N46" si="3">IF(H23=0,0,L23/H23)</f>
        <v>-1</v>
      </c>
      <c r="O23" s="11"/>
      <c r="P23" s="21" cm="1">
        <f t="array" ref="P23">SUM(OSRRefP22x_0)</f>
        <v>0</v>
      </c>
      <c r="Q23" s="21"/>
      <c r="R23" s="31">
        <f t="shared" ref="R23:R46" si="4">IF(P$12=0,0,P23/P$12)</f>
        <v>0</v>
      </c>
      <c r="S23" s="21"/>
      <c r="T23" s="21" cm="1">
        <f t="array" ref="T23">SUM(OSRRefT22x_0)</f>
        <v>46834.159999999996</v>
      </c>
      <c r="U23" s="21"/>
      <c r="V23" s="31">
        <f t="shared" ref="V23:V46" si="5">IF(T$12=0,0,T23/T$12)</f>
        <v>0</v>
      </c>
      <c r="W23" s="5"/>
      <c r="X23" s="21">
        <f t="shared" ref="X23:X46" si="6">+P23-T23</f>
        <v>-46834.159999999996</v>
      </c>
      <c r="Y23" s="5"/>
      <c r="Z23" s="31">
        <f t="shared" ref="Z23:Z46" si="7">IF(T23=0,0,X23/T23)</f>
        <v>-1</v>
      </c>
    </row>
    <row r="24" spans="1:26" s="68" customFormat="1" ht="15" customHeight="1" outlineLevel="1" collapsed="1" x14ac:dyDescent="0.25">
      <c r="A24" s="26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0</v>
      </c>
      <c r="E24" s="2"/>
      <c r="F24" s="6">
        <f t="shared" si="0"/>
        <v>0</v>
      </c>
      <c r="G24" s="2"/>
      <c r="H24" s="2">
        <f>SUM(OSRRefH22_0x_0)</f>
        <v>0</v>
      </c>
      <c r="I24" s="2"/>
      <c r="J24" s="6">
        <f t="shared" si="1"/>
        <v>0</v>
      </c>
      <c r="K24" s="2"/>
      <c r="L24" s="2">
        <f t="shared" si="2"/>
        <v>0</v>
      </c>
      <c r="M24" s="2"/>
      <c r="N24" s="6">
        <f t="shared" si="3"/>
        <v>0</v>
      </c>
      <c r="O24" s="14"/>
      <c r="P24" s="2">
        <f>SUM(OSRRefP22_0x_0)</f>
        <v>0</v>
      </c>
      <c r="Q24" s="2"/>
      <c r="R24" s="6">
        <f t="shared" si="4"/>
        <v>0</v>
      </c>
      <c r="S24" s="2"/>
      <c r="T24" s="2">
        <f>SUM(OSRRefT22_0x_0)</f>
        <v>21787.579999999998</v>
      </c>
      <c r="U24" s="2"/>
      <c r="V24" s="6">
        <f t="shared" si="5"/>
        <v>0</v>
      </c>
      <c r="W24" s="2"/>
      <c r="X24" s="2">
        <f t="shared" si="6"/>
        <v>-21787.579999999998</v>
      </c>
      <c r="Y24" s="2"/>
      <c r="Z24" s="6">
        <f t="shared" si="7"/>
        <v>-1</v>
      </c>
    </row>
    <row r="25" spans="1:26" s="69" customFormat="1" ht="15" hidden="1" customHeight="1" outlineLevel="2" x14ac:dyDescent="0.25">
      <c r="A25" s="25"/>
      <c r="B25" s="12" t="str">
        <f>CONCATENATE("          ","6111"," - ","F.I.C.A.")</f>
        <v xml:space="preserve">          6111 - F.I.C.A.</v>
      </c>
      <c r="C25" s="12"/>
      <c r="D25" s="7"/>
      <c r="E25" s="3"/>
      <c r="F25" s="8">
        <f t="shared" si="0"/>
        <v>0</v>
      </c>
      <c r="G25" s="3"/>
      <c r="H25" s="7"/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1924.35</v>
      </c>
      <c r="U25" s="3"/>
      <c r="V25" s="8">
        <f t="shared" si="5"/>
        <v>0</v>
      </c>
      <c r="W25" s="3"/>
      <c r="X25" s="7">
        <f t="shared" si="6"/>
        <v>-1924.35</v>
      </c>
      <c r="Y25" s="3"/>
      <c r="Z25" s="8">
        <f t="shared" si="7"/>
        <v>-1</v>
      </c>
    </row>
    <row r="26" spans="1:26" s="69" customFormat="1" ht="15" hidden="1" customHeight="1" outlineLevel="2" x14ac:dyDescent="0.25">
      <c r="A26" s="25"/>
      <c r="B26" s="12" t="str">
        <f>CONCATENATE("          ","6112"," - ","COMPENSATION INSURANCE")</f>
        <v xml:space="preserve">          6112 - COMPENSATION INSURANCE</v>
      </c>
      <c r="C26" s="12"/>
      <c r="D26" s="7"/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499.06</v>
      </c>
      <c r="U26" s="3"/>
      <c r="V26" s="8">
        <f t="shared" si="5"/>
        <v>0</v>
      </c>
      <c r="W26" s="3"/>
      <c r="X26" s="7">
        <f t="shared" si="6"/>
        <v>-499.06</v>
      </c>
      <c r="Y26" s="3"/>
      <c r="Z26" s="8">
        <f t="shared" si="7"/>
        <v>-1</v>
      </c>
    </row>
    <row r="27" spans="1:26" s="69" customFormat="1" ht="15" hidden="1" customHeight="1" outlineLevel="2" x14ac:dyDescent="0.25">
      <c r="A27" s="25"/>
      <c r="B27" s="12" t="str">
        <f>CONCATENATE("          ","6113"," - ","GROUP INSURANCE")</f>
        <v xml:space="preserve">          6113 - GROUP INSURANCE</v>
      </c>
      <c r="C27" s="12"/>
      <c r="D27" s="7"/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12083.19</v>
      </c>
      <c r="U27" s="3"/>
      <c r="V27" s="8">
        <f t="shared" si="5"/>
        <v>0</v>
      </c>
      <c r="W27" s="3"/>
      <c r="X27" s="7">
        <f t="shared" si="6"/>
        <v>-12083.19</v>
      </c>
      <c r="Y27" s="3"/>
      <c r="Z27" s="8">
        <f t="shared" si="7"/>
        <v>-1</v>
      </c>
    </row>
    <row r="28" spans="1:26" s="69" customFormat="1" ht="15" hidden="1" customHeight="1" outlineLevel="2" x14ac:dyDescent="0.25">
      <c r="A28" s="25"/>
      <c r="B28" s="12" t="str">
        <f>CONCATENATE("          ","6114"," - ","STATE UNEMPLOYMENT INSURANCE")</f>
        <v xml:space="preserve">          6114 - STATE UNEMPLOYMENT INSURANCE</v>
      </c>
      <c r="C28" s="12"/>
      <c r="D28" s="7"/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0</v>
      </c>
      <c r="M28" s="3"/>
      <c r="N28" s="8">
        <f t="shared" si="3"/>
        <v>0</v>
      </c>
      <c r="O28" s="12"/>
      <c r="P28" s="7"/>
      <c r="Q28" s="3"/>
      <c r="R28" s="8">
        <f t="shared" si="4"/>
        <v>0</v>
      </c>
      <c r="S28" s="3"/>
      <c r="T28" s="7">
        <v>70.14</v>
      </c>
      <c r="U28" s="3"/>
      <c r="V28" s="8">
        <f t="shared" si="5"/>
        <v>0</v>
      </c>
      <c r="W28" s="3"/>
      <c r="X28" s="7">
        <f t="shared" si="6"/>
        <v>-70.14</v>
      </c>
      <c r="Y28" s="3"/>
      <c r="Z28" s="8">
        <f t="shared" si="7"/>
        <v>-1</v>
      </c>
    </row>
    <row r="29" spans="1:26" s="69" customFormat="1" ht="15" hidden="1" customHeight="1" outlineLevel="2" x14ac:dyDescent="0.25">
      <c r="A29" s="25"/>
      <c r="B29" s="12" t="str">
        <f>CONCATENATE("          ","6115"," - ","P.E.R.S.")</f>
        <v xml:space="preserve">          6115 - P.E.R.S.</v>
      </c>
      <c r="C29" s="12"/>
      <c r="D29" s="7"/>
      <c r="E29" s="3"/>
      <c r="F29" s="8">
        <f t="shared" si="0"/>
        <v>0</v>
      </c>
      <c r="G29" s="3"/>
      <c r="H29" s="7"/>
      <c r="I29" s="3"/>
      <c r="J29" s="8">
        <f t="shared" si="1"/>
        <v>0</v>
      </c>
      <c r="K29" s="3"/>
      <c r="L29" s="7">
        <f t="shared" si="2"/>
        <v>0</v>
      </c>
      <c r="M29" s="3"/>
      <c r="N29" s="8">
        <f t="shared" si="3"/>
        <v>0</v>
      </c>
      <c r="O29" s="12"/>
      <c r="P29" s="7"/>
      <c r="Q29" s="3"/>
      <c r="R29" s="8">
        <f t="shared" si="4"/>
        <v>0</v>
      </c>
      <c r="S29" s="3"/>
      <c r="T29" s="7">
        <v>3490.92</v>
      </c>
      <c r="U29" s="3"/>
      <c r="V29" s="8">
        <f t="shared" si="5"/>
        <v>0</v>
      </c>
      <c r="W29" s="3"/>
      <c r="X29" s="7">
        <f t="shared" si="6"/>
        <v>-3490.92</v>
      </c>
      <c r="Y29" s="3"/>
      <c r="Z29" s="8">
        <f t="shared" si="7"/>
        <v>-1</v>
      </c>
    </row>
    <row r="30" spans="1:26" s="69" customFormat="1" ht="15" hidden="1" customHeight="1" outlineLevel="2" x14ac:dyDescent="0.25">
      <c r="A30" s="25"/>
      <c r="B30" s="12" t="str">
        <f>CONCATENATE("          ","6118"," - ","VACATION")</f>
        <v xml:space="preserve">          6118 - VACATION</v>
      </c>
      <c r="C30" s="12"/>
      <c r="D30" s="7"/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2035.3</v>
      </c>
      <c r="U30" s="3"/>
      <c r="V30" s="8">
        <f t="shared" si="5"/>
        <v>0</v>
      </c>
      <c r="W30" s="3"/>
      <c r="X30" s="7">
        <f t="shared" si="6"/>
        <v>-2035.3</v>
      </c>
      <c r="Y30" s="3"/>
      <c r="Z30" s="8">
        <f t="shared" si="7"/>
        <v>-1</v>
      </c>
    </row>
    <row r="31" spans="1:26" s="69" customFormat="1" ht="15" hidden="1" customHeight="1" outlineLevel="2" x14ac:dyDescent="0.25">
      <c r="A31" s="25"/>
      <c r="B31" s="12" t="str">
        <f>CONCATENATE("          ","6119"," - ","SICK LEAVE")</f>
        <v xml:space="preserve">          6119 - SICK LEAVE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/>
      <c r="Q31" s="3"/>
      <c r="R31" s="8">
        <f t="shared" si="4"/>
        <v>0</v>
      </c>
      <c r="S31" s="3"/>
      <c r="T31" s="7">
        <v>1283.8</v>
      </c>
      <c r="U31" s="3"/>
      <c r="V31" s="8">
        <f t="shared" si="5"/>
        <v>0</v>
      </c>
      <c r="W31" s="3"/>
      <c r="X31" s="7">
        <f t="shared" si="6"/>
        <v>-1283.8</v>
      </c>
      <c r="Y31" s="3"/>
      <c r="Z31" s="8">
        <f t="shared" si="7"/>
        <v>-1</v>
      </c>
    </row>
    <row r="32" spans="1:26" s="69" customFormat="1" ht="15" hidden="1" customHeight="1" outlineLevel="2" x14ac:dyDescent="0.25">
      <c r="A32" s="25"/>
      <c r="B32" s="12" t="str">
        <f>CONCATENATE("          ","6156"," - ","EMPLOYEE MEALS")</f>
        <v xml:space="preserve">          6156 - EMPLOYEE MEALS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400.82</v>
      </c>
      <c r="U32" s="3"/>
      <c r="V32" s="8">
        <f t="shared" si="5"/>
        <v>0</v>
      </c>
      <c r="W32" s="3"/>
      <c r="X32" s="7">
        <f t="shared" si="6"/>
        <v>-400.82</v>
      </c>
      <c r="Y32" s="3"/>
      <c r="Z32" s="8">
        <f t="shared" si="7"/>
        <v>-1</v>
      </c>
    </row>
    <row r="33" spans="1:26" s="68" customFormat="1" ht="15" customHeight="1" outlineLevel="1" collapsed="1" x14ac:dyDescent="0.25">
      <c r="A33" s="26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0</v>
      </c>
      <c r="E33" s="2"/>
      <c r="F33" s="6">
        <f t="shared" si="0"/>
        <v>0</v>
      </c>
      <c r="G33" s="2"/>
      <c r="H33" s="2">
        <f>SUM(OSRRefH22_1x_0)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SUM(OSRRefP22_1x_0)</f>
        <v>0</v>
      </c>
      <c r="Q33" s="2"/>
      <c r="R33" s="6">
        <f t="shared" si="4"/>
        <v>0</v>
      </c>
      <c r="S33" s="2"/>
      <c r="T33" s="2">
        <f>SUM(OSRRefT22_1x_0)</f>
        <v>23136.42</v>
      </c>
      <c r="U33" s="2"/>
      <c r="V33" s="6">
        <f t="shared" si="5"/>
        <v>0</v>
      </c>
      <c r="W33" s="2"/>
      <c r="X33" s="2">
        <f t="shared" si="6"/>
        <v>-23136.42</v>
      </c>
      <c r="Y33" s="2"/>
      <c r="Z33" s="6">
        <f t="shared" si="7"/>
        <v>-1</v>
      </c>
    </row>
    <row r="34" spans="1:26" s="69" customFormat="1" ht="15" hidden="1" customHeight="1" outlineLevel="2" x14ac:dyDescent="0.25">
      <c r="A34" s="25"/>
      <c r="B34" s="12" t="str">
        <f>CONCATENATE("          ","6002"," - ","STAFF SALARIES")</f>
        <v xml:space="preserve">          6002 - STAFF SALARIES</v>
      </c>
      <c r="C34" s="12"/>
      <c r="D34" s="7"/>
      <c r="E34" s="3"/>
      <c r="F34" s="8">
        <f t="shared" si="0"/>
        <v>0</v>
      </c>
      <c r="G34" s="3"/>
      <c r="H34" s="7"/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23136.42</v>
      </c>
      <c r="U34" s="3"/>
      <c r="V34" s="8">
        <f t="shared" si="5"/>
        <v>0</v>
      </c>
      <c r="W34" s="3"/>
      <c r="X34" s="7">
        <f t="shared" si="6"/>
        <v>-23136.42</v>
      </c>
      <c r="Y34" s="3"/>
      <c r="Z34" s="8">
        <f t="shared" si="7"/>
        <v>-1</v>
      </c>
    </row>
    <row r="35" spans="1:26" s="68" customFormat="1" ht="15" customHeight="1" outlineLevel="1" collapsed="1" x14ac:dyDescent="0.25">
      <c r="A35" s="26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SUM(OSRRefD22_2x_0)</f>
        <v>0</v>
      </c>
      <c r="E35" s="2"/>
      <c r="F35" s="6">
        <f t="shared" si="0"/>
        <v>0</v>
      </c>
      <c r="G35" s="2"/>
      <c r="H35" s="2">
        <f>SUM(OSRRefH22_2x_0)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SUM(OSRRefP22_2x_0)</f>
        <v>0</v>
      </c>
      <c r="Q35" s="2"/>
      <c r="R35" s="6">
        <f t="shared" si="4"/>
        <v>0</v>
      </c>
      <c r="S35" s="2"/>
      <c r="T35" s="2">
        <f>SUM(OSRRefT22_2x_0)</f>
        <v>240</v>
      </c>
      <c r="U35" s="2"/>
      <c r="V35" s="6">
        <f t="shared" si="5"/>
        <v>0</v>
      </c>
      <c r="W35" s="2"/>
      <c r="X35" s="2">
        <f t="shared" si="6"/>
        <v>-240</v>
      </c>
      <c r="Y35" s="2"/>
      <c r="Z35" s="6">
        <f t="shared" si="7"/>
        <v>-1</v>
      </c>
    </row>
    <row r="36" spans="1:26" s="69" customFormat="1" ht="15" hidden="1" customHeight="1" outlineLevel="2" x14ac:dyDescent="0.25">
      <c r="A36" s="25"/>
      <c r="B36" s="12" t="str">
        <f>CONCATENATE("          ","6381"," - ","BANK/CREDIT CARD FEES")</f>
        <v xml:space="preserve">          6381 - BANK/CREDIT CARD FEES</v>
      </c>
      <c r="C36" s="12"/>
      <c r="D36" s="7"/>
      <c r="E36" s="3"/>
      <c r="F36" s="8">
        <f t="shared" si="0"/>
        <v>0</v>
      </c>
      <c r="G36" s="3"/>
      <c r="H36" s="7"/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240</v>
      </c>
      <c r="U36" s="3"/>
      <c r="V36" s="8">
        <f t="shared" si="5"/>
        <v>0</v>
      </c>
      <c r="W36" s="3"/>
      <c r="X36" s="7">
        <f t="shared" si="6"/>
        <v>-240</v>
      </c>
      <c r="Y36" s="3"/>
      <c r="Z36" s="8">
        <f t="shared" si="7"/>
        <v>-1</v>
      </c>
    </row>
    <row r="37" spans="1:26" s="68" customFormat="1" ht="15" customHeight="1" outlineLevel="1" collapsed="1" x14ac:dyDescent="0.25">
      <c r="A37" s="26"/>
      <c r="B37" s="14" t="str">
        <f>CONCATENATE("     ","Freight out/Postage                               ")</f>
        <v xml:space="preserve">     Freight out/Postage                               </v>
      </c>
      <c r="C37" s="14"/>
      <c r="D37" s="2">
        <f>SUM(OSRRefD22_3x_0)</f>
        <v>0</v>
      </c>
      <c r="E37" s="2"/>
      <c r="F37" s="6">
        <f t="shared" si="0"/>
        <v>0</v>
      </c>
      <c r="G37" s="2"/>
      <c r="H37" s="2">
        <f>SUM(OSRRefH22_3x_0)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SUM(OSRRefP22_3x_0)</f>
        <v>0</v>
      </c>
      <c r="Q37" s="2"/>
      <c r="R37" s="6">
        <f t="shared" si="4"/>
        <v>0</v>
      </c>
      <c r="S37" s="2"/>
      <c r="T37" s="2">
        <f>SUM(OSRRefT22_3x_0)</f>
        <v>280.10000000000002</v>
      </c>
      <c r="U37" s="2"/>
      <c r="V37" s="6">
        <f t="shared" si="5"/>
        <v>0</v>
      </c>
      <c r="W37" s="2"/>
      <c r="X37" s="2">
        <f t="shared" si="6"/>
        <v>-280.10000000000002</v>
      </c>
      <c r="Y37" s="2"/>
      <c r="Z37" s="6">
        <f t="shared" si="7"/>
        <v>-1</v>
      </c>
    </row>
    <row r="38" spans="1:26" s="69" customFormat="1" ht="15" hidden="1" customHeight="1" outlineLevel="2" x14ac:dyDescent="0.25">
      <c r="A38" s="25"/>
      <c r="B38" s="12" t="str">
        <f>CONCATENATE("          ","6305"," - ","FREIGHT OUT")</f>
        <v xml:space="preserve">          6305 - FREIGHT OUT</v>
      </c>
      <c r="C38" s="12"/>
      <c r="D38" s="7"/>
      <c r="E38" s="3"/>
      <c r="F38" s="8">
        <f t="shared" si="0"/>
        <v>0</v>
      </c>
      <c r="G38" s="3"/>
      <c r="H38" s="7"/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280.10000000000002</v>
      </c>
      <c r="U38" s="3"/>
      <c r="V38" s="8">
        <f t="shared" si="5"/>
        <v>0</v>
      </c>
      <c r="W38" s="3"/>
      <c r="X38" s="7">
        <f t="shared" si="6"/>
        <v>-280.10000000000002</v>
      </c>
      <c r="Y38" s="3"/>
      <c r="Z38" s="8">
        <f t="shared" si="7"/>
        <v>-1</v>
      </c>
    </row>
    <row r="39" spans="1:26" s="68" customFormat="1" ht="15" customHeight="1" outlineLevel="1" collapsed="1" x14ac:dyDescent="0.25">
      <c r="A39" s="26"/>
      <c r="B39" s="14" t="str">
        <f>CONCATENATE("     ","General                                           ")</f>
        <v xml:space="preserve">     General                                           </v>
      </c>
      <c r="C39" s="14"/>
      <c r="D39" s="2">
        <f>SUM(OSRRefD22_4x_0)</f>
        <v>0</v>
      </c>
      <c r="E39" s="2"/>
      <c r="F39" s="6">
        <f t="shared" si="0"/>
        <v>0</v>
      </c>
      <c r="G39" s="2"/>
      <c r="H39" s="2">
        <f>SUM(OSRRefH22_4x_0)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SUM(OSRRefP22_4x_0)</f>
        <v>0</v>
      </c>
      <c r="Q39" s="2"/>
      <c r="R39" s="6">
        <f t="shared" si="4"/>
        <v>0</v>
      </c>
      <c r="S39" s="2"/>
      <c r="T39" s="2">
        <f>SUM(OSRRefT22_4x_0)</f>
        <v>160</v>
      </c>
      <c r="U39" s="2"/>
      <c r="V39" s="6">
        <f t="shared" si="5"/>
        <v>0</v>
      </c>
      <c r="W39" s="2"/>
      <c r="X39" s="2">
        <f t="shared" si="6"/>
        <v>-160</v>
      </c>
      <c r="Y39" s="2"/>
      <c r="Z39" s="6">
        <f t="shared" si="7"/>
        <v>-1</v>
      </c>
    </row>
    <row r="40" spans="1:26" s="69" customFormat="1" ht="15" hidden="1" customHeight="1" outlineLevel="2" x14ac:dyDescent="0.25">
      <c r="A40" s="25"/>
      <c r="B40" s="12" t="str">
        <f>CONCATENATE("          ","6279"," - ","GENERAL EXPENSE")</f>
        <v xml:space="preserve">          6279 - GENERAL EXPENSE</v>
      </c>
      <c r="C40" s="12"/>
      <c r="D40" s="7"/>
      <c r="E40" s="3"/>
      <c r="F40" s="8">
        <f t="shared" si="0"/>
        <v>0</v>
      </c>
      <c r="G40" s="3"/>
      <c r="H40" s="7"/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160</v>
      </c>
      <c r="U40" s="3"/>
      <c r="V40" s="8">
        <f t="shared" si="5"/>
        <v>0</v>
      </c>
      <c r="W40" s="3"/>
      <c r="X40" s="7">
        <f t="shared" si="6"/>
        <v>-160</v>
      </c>
      <c r="Y40" s="3"/>
      <c r="Z40" s="8">
        <f t="shared" si="7"/>
        <v>-1</v>
      </c>
    </row>
    <row r="41" spans="1:26" s="68" customFormat="1" ht="15" customHeight="1" outlineLevel="1" collapsed="1" x14ac:dyDescent="0.25">
      <c r="A41" s="26"/>
      <c r="B41" s="14" t="str">
        <f>CONCATENATE("     ","Repair and Maintenance                            ")</f>
        <v xml:space="preserve">     Repair and Maintenance 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0</v>
      </c>
      <c r="Q41" s="2"/>
      <c r="R41" s="6">
        <f t="shared" si="4"/>
        <v>0</v>
      </c>
      <c r="S41" s="2"/>
      <c r="T41" s="2">
        <f>SUM(OSRRefT22_5x_0)</f>
        <v>72.36</v>
      </c>
      <c r="U41" s="2"/>
      <c r="V41" s="6">
        <f t="shared" si="5"/>
        <v>0</v>
      </c>
      <c r="W41" s="2"/>
      <c r="X41" s="2">
        <f t="shared" si="6"/>
        <v>-72.36</v>
      </c>
      <c r="Y41" s="2"/>
      <c r="Z41" s="6">
        <f t="shared" si="7"/>
        <v>-1</v>
      </c>
    </row>
    <row r="42" spans="1:26" s="69" customFormat="1" ht="15" hidden="1" customHeight="1" outlineLevel="2" x14ac:dyDescent="0.25">
      <c r="A42" s="25"/>
      <c r="B42" s="12" t="str">
        <f>CONCATENATE("          ","6373"," - ","MAINTENANCE CONTRACTS")</f>
        <v xml:space="preserve">          6373 - MAINTENANCE CONTRACTS</v>
      </c>
      <c r="C42" s="12"/>
      <c r="D42" s="7"/>
      <c r="E42" s="3"/>
      <c r="F42" s="8">
        <f t="shared" si="0"/>
        <v>0</v>
      </c>
      <c r="G42" s="3"/>
      <c r="H42" s="7"/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>
        <v>0</v>
      </c>
      <c r="Q42" s="3"/>
      <c r="R42" s="8">
        <f t="shared" si="4"/>
        <v>0</v>
      </c>
      <c r="S42" s="3"/>
      <c r="T42" s="7">
        <v>72.36</v>
      </c>
      <c r="U42" s="3"/>
      <c r="V42" s="8">
        <f t="shared" si="5"/>
        <v>0</v>
      </c>
      <c r="W42" s="3"/>
      <c r="X42" s="7">
        <f t="shared" si="6"/>
        <v>-72.36</v>
      </c>
      <c r="Y42" s="3"/>
      <c r="Z42" s="8">
        <f t="shared" si="7"/>
        <v>-1</v>
      </c>
    </row>
    <row r="43" spans="1:26" s="68" customFormat="1" ht="15" customHeight="1" outlineLevel="1" collapsed="1" x14ac:dyDescent="0.25">
      <c r="A43" s="26"/>
      <c r="B43" s="14" t="str">
        <f>CONCATENATE("     ","Supplies                                          ")</f>
        <v xml:space="preserve">     Supplies                                          </v>
      </c>
      <c r="C43" s="14"/>
      <c r="D43" s="2">
        <f>SUM(OSRRefD22_6x_0)</f>
        <v>0</v>
      </c>
      <c r="E43" s="2"/>
      <c r="F43" s="6">
        <f t="shared" si="0"/>
        <v>0</v>
      </c>
      <c r="G43" s="2"/>
      <c r="H43" s="2">
        <f>SUM(OSRRefH22_6x_0)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SUM(OSRRefP22_6x_0)</f>
        <v>0</v>
      </c>
      <c r="Q43" s="2"/>
      <c r="R43" s="6">
        <f t="shared" si="4"/>
        <v>0</v>
      </c>
      <c r="S43" s="2"/>
      <c r="T43" s="2">
        <f>SUM(OSRRefT22_6x_0)</f>
        <v>0</v>
      </c>
      <c r="U43" s="2"/>
      <c r="V43" s="6">
        <f t="shared" si="5"/>
        <v>0</v>
      </c>
      <c r="W43" s="2"/>
      <c r="X43" s="2">
        <f t="shared" si="6"/>
        <v>0</v>
      </c>
      <c r="Y43" s="2"/>
      <c r="Z43" s="6">
        <f t="shared" si="7"/>
        <v>0</v>
      </c>
    </row>
    <row r="44" spans="1:26" s="69" customFormat="1" ht="15" hidden="1" customHeight="1" outlineLevel="2" x14ac:dyDescent="0.25">
      <c r="A44" s="25"/>
      <c r="B44" s="12" t="str">
        <f>CONCATENATE("          ","6247"," - ","STORE SUPPLIES")</f>
        <v xml:space="preserve">          6247 - STORE SUPPLIES</v>
      </c>
      <c r="C44" s="12"/>
      <c r="D44" s="7"/>
      <c r="E44" s="3"/>
      <c r="F44" s="8">
        <f t="shared" si="0"/>
        <v>0</v>
      </c>
      <c r="G44" s="3"/>
      <c r="H44" s="7"/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0</v>
      </c>
      <c r="Q44" s="3"/>
      <c r="R44" s="8">
        <f t="shared" si="4"/>
        <v>0</v>
      </c>
      <c r="S44" s="3"/>
      <c r="T44" s="7"/>
      <c r="U44" s="3"/>
      <c r="V44" s="8">
        <f t="shared" si="5"/>
        <v>0</v>
      </c>
      <c r="W44" s="3"/>
      <c r="X44" s="7">
        <f t="shared" si="6"/>
        <v>0</v>
      </c>
      <c r="Y44" s="3"/>
      <c r="Z44" s="8">
        <f t="shared" si="7"/>
        <v>0</v>
      </c>
    </row>
    <row r="45" spans="1:26" s="68" customFormat="1" ht="15" customHeight="1" outlineLevel="1" collapsed="1" x14ac:dyDescent="0.25">
      <c r="A45" s="26"/>
      <c r="B45" s="14" t="str">
        <f>CONCATENATE("     ","Telephone/Data Lines                              ")</f>
        <v xml:space="preserve">     Telephone/Data Lines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83.2</v>
      </c>
      <c r="I45" s="2"/>
      <c r="J45" s="6">
        <f t="shared" si="1"/>
        <v>0</v>
      </c>
      <c r="K45" s="2"/>
      <c r="L45" s="2">
        <f t="shared" si="2"/>
        <v>-83.2</v>
      </c>
      <c r="M45" s="2"/>
      <c r="N45" s="6">
        <f t="shared" si="3"/>
        <v>-1</v>
      </c>
      <c r="O45" s="14"/>
      <c r="P45" s="2">
        <f>SUM(OSRRefP22_7x_0)</f>
        <v>0</v>
      </c>
      <c r="Q45" s="2"/>
      <c r="R45" s="6">
        <f t="shared" si="4"/>
        <v>0</v>
      </c>
      <c r="S45" s="2"/>
      <c r="T45" s="2">
        <f>SUM(OSRRefT22_7x_0)</f>
        <v>1157.7</v>
      </c>
      <c r="U45" s="2"/>
      <c r="V45" s="6">
        <f t="shared" si="5"/>
        <v>0</v>
      </c>
      <c r="W45" s="2"/>
      <c r="X45" s="2">
        <f t="shared" si="6"/>
        <v>-1157.7</v>
      </c>
      <c r="Y45" s="2"/>
      <c r="Z45" s="6">
        <f t="shared" si="7"/>
        <v>-1</v>
      </c>
    </row>
    <row r="46" spans="1:26" s="69" customFormat="1" ht="15" hidden="1" customHeight="1" outlineLevel="2" x14ac:dyDescent="0.25">
      <c r="A46" s="25"/>
      <c r="B46" s="12" t="str">
        <f>CONCATENATE("          ","6309"," - ","TELEPHONE")</f>
        <v xml:space="preserve">          6309 - TELEPHONE</v>
      </c>
      <c r="C46" s="12"/>
      <c r="D46" s="7"/>
      <c r="E46" s="3"/>
      <c r="F46" s="8">
        <f t="shared" si="0"/>
        <v>0</v>
      </c>
      <c r="G46" s="3"/>
      <c r="H46" s="7">
        <v>83.2</v>
      </c>
      <c r="I46" s="3"/>
      <c r="J46" s="8">
        <f t="shared" si="1"/>
        <v>0</v>
      </c>
      <c r="K46" s="3"/>
      <c r="L46" s="7">
        <f t="shared" si="2"/>
        <v>-83.2</v>
      </c>
      <c r="M46" s="3"/>
      <c r="N46" s="8">
        <f t="shared" si="3"/>
        <v>-1</v>
      </c>
      <c r="O46" s="12"/>
      <c r="P46" s="7">
        <v>0</v>
      </c>
      <c r="Q46" s="3"/>
      <c r="R46" s="8">
        <f t="shared" si="4"/>
        <v>0</v>
      </c>
      <c r="S46" s="3"/>
      <c r="T46" s="7">
        <v>1157.7</v>
      </c>
      <c r="U46" s="3"/>
      <c r="V46" s="8">
        <f t="shared" si="5"/>
        <v>0</v>
      </c>
      <c r="W46" s="3"/>
      <c r="X46" s="7">
        <f t="shared" si="6"/>
        <v>-1157.7</v>
      </c>
      <c r="Y46" s="3"/>
      <c r="Z46" s="8">
        <f t="shared" si="7"/>
        <v>-1</v>
      </c>
    </row>
    <row r="47" spans="1:26" s="64" customFormat="1" ht="15" customHeight="1" x14ac:dyDescent="0.25">
      <c r="A47" s="36"/>
      <c r="B47" s="36"/>
      <c r="C47" s="36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3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62" customFormat="1" ht="15" customHeight="1" x14ac:dyDescent="0.25">
      <c r="A48" s="11"/>
      <c r="B48" s="28" t="s">
        <v>290</v>
      </c>
      <c r="C48" s="11"/>
      <c r="D48" s="5">
        <f>SUM(0)</f>
        <v>0</v>
      </c>
      <c r="E48" s="5"/>
      <c r="F48" s="13">
        <f>IF(D$12=0,0,D48/D$12)</f>
        <v>0</v>
      </c>
      <c r="G48" s="5"/>
      <c r="H48" s="5">
        <f>SUM(0)</f>
        <v>0</v>
      </c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>
        <f>SUM(0)</f>
        <v>0</v>
      </c>
      <c r="Q48" s="5"/>
      <c r="R48" s="13">
        <f>IF(P$12=0,0,P48/P$12)</f>
        <v>0</v>
      </c>
      <c r="S48" s="5"/>
      <c r="T48" s="5">
        <f>SUM(0)</f>
        <v>0</v>
      </c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25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25">
      <c r="A50" s="11"/>
      <c r="B50" s="27" t="s">
        <v>291</v>
      </c>
      <c r="C50" s="27"/>
      <c r="D50" s="22">
        <f>+D21-D23+D48</f>
        <v>0</v>
      </c>
      <c r="E50" s="15"/>
      <c r="F50" s="23">
        <f>IF(D$12=0,0,D50/D$12)</f>
        <v>0</v>
      </c>
      <c r="G50" s="15"/>
      <c r="H50" s="22">
        <f>+H21-H23+H48</f>
        <v>-83.2</v>
      </c>
      <c r="I50" s="15"/>
      <c r="J50" s="23">
        <f>IF(H$12=0,0,H50/H$12)</f>
        <v>0</v>
      </c>
      <c r="K50" s="16"/>
      <c r="L50" s="22">
        <f>+D50-H50</f>
        <v>83.2</v>
      </c>
      <c r="M50" s="16"/>
      <c r="N50" s="23">
        <f>IF(H50=0,0,L50/H50)</f>
        <v>-1</v>
      </c>
      <c r="O50" s="28"/>
      <c r="P50" s="22">
        <f>+P21-P23+P48</f>
        <v>0</v>
      </c>
      <c r="Q50" s="15"/>
      <c r="R50" s="23">
        <f>IF(P$12=0,0,P50/P$12)</f>
        <v>0</v>
      </c>
      <c r="S50" s="15"/>
      <c r="T50" s="22">
        <f>+T21-T23+T48</f>
        <v>-46220.57</v>
      </c>
      <c r="U50" s="15"/>
      <c r="V50" s="23">
        <f>IF(T$12=0,0,T50/T$12)</f>
        <v>0</v>
      </c>
      <c r="W50" s="16"/>
      <c r="X50" s="22">
        <f>+P50-T50</f>
        <v>46220.57</v>
      </c>
      <c r="Y50" s="16"/>
      <c r="Z50" s="23">
        <f>IF(T50=0,0,X50/T50)</f>
        <v>-1</v>
      </c>
    </row>
    <row r="51" spans="1:26" ht="15" customHeight="1" x14ac:dyDescent="0.25">
      <c r="A51" s="10"/>
      <c r="B51" s="11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25">
      <c r="A52" s="48"/>
      <c r="B52" s="11" t="s">
        <v>292</v>
      </c>
      <c r="C52" s="11"/>
      <c r="D52" s="5"/>
      <c r="E52" s="5"/>
      <c r="F52" s="13">
        <f>IF(D$12=0,0,D52/D$12)</f>
        <v>0</v>
      </c>
      <c r="G52" s="5"/>
      <c r="H52" s="5"/>
      <c r="I52" s="5"/>
      <c r="J52" s="13">
        <f>IF(H$12=0,0,H52/H$12)</f>
        <v>0</v>
      </c>
      <c r="K52" s="5"/>
      <c r="L52" s="5">
        <f>+D52-H52</f>
        <v>0</v>
      </c>
      <c r="M52" s="5"/>
      <c r="N52" s="13">
        <f>IF(H52=0,0,L52/H52)</f>
        <v>0</v>
      </c>
      <c r="O52" s="11"/>
      <c r="P52" s="5"/>
      <c r="Q52" s="5"/>
      <c r="R52" s="13">
        <f>IF(P$12=0,0,P52/P$12)</f>
        <v>0</v>
      </c>
      <c r="S52" s="5"/>
      <c r="T52" s="5"/>
      <c r="U52" s="5"/>
      <c r="V52" s="13">
        <f>IF(T$12=0,0,T52/T$12)</f>
        <v>0</v>
      </c>
      <c r="W52" s="5"/>
      <c r="X52" s="5">
        <f>+P52-T52</f>
        <v>0</v>
      </c>
      <c r="Y52" s="5"/>
      <c r="Z52" s="13">
        <f>IF(T52=0,0,X52/T52)</f>
        <v>0</v>
      </c>
    </row>
    <row r="53" spans="1:26" ht="15" customHeight="1" x14ac:dyDescent="0.25">
      <c r="A53" s="10"/>
      <c r="B53" s="11"/>
      <c r="C53" s="11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O53" s="11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s="62" customFormat="1" ht="15" customHeight="1" x14ac:dyDescent="0.25">
      <c r="A54" s="11"/>
      <c r="B54" s="27" t="s">
        <v>293</v>
      </c>
      <c r="C54" s="27"/>
      <c r="D54" s="35">
        <f>+D50-D52</f>
        <v>0</v>
      </c>
      <c r="E54" s="15"/>
      <c r="F54" s="30">
        <f>IF(D$12=0,0,D54/D$12)</f>
        <v>0</v>
      </c>
      <c r="G54" s="15"/>
      <c r="H54" s="35">
        <f>+H50-H52</f>
        <v>-83.2</v>
      </c>
      <c r="I54" s="15"/>
      <c r="J54" s="30">
        <f>IF(H$12=0,0,H54/H$12)</f>
        <v>0</v>
      </c>
      <c r="K54" s="16"/>
      <c r="L54" s="35">
        <f>D54-H54</f>
        <v>83.2</v>
      </c>
      <c r="M54" s="16"/>
      <c r="N54" s="30">
        <f>IF(H54=0,0,L54/H54)</f>
        <v>-1</v>
      </c>
      <c r="O54" s="28"/>
      <c r="P54" s="35">
        <f>+P50-P52</f>
        <v>0</v>
      </c>
      <c r="Q54" s="15"/>
      <c r="R54" s="30">
        <f>IF(P$12=0,0,P54/P$12)</f>
        <v>0</v>
      </c>
      <c r="S54" s="15"/>
      <c r="T54" s="35">
        <f>+T50-T52</f>
        <v>-46220.57</v>
      </c>
      <c r="U54" s="15"/>
      <c r="V54" s="30">
        <f>IF(T$12=0,0,T54/T$12)</f>
        <v>0</v>
      </c>
      <c r="W54" s="16"/>
      <c r="X54" s="35">
        <f>P54-T54</f>
        <v>46220.57</v>
      </c>
      <c r="Y54" s="16"/>
      <c r="Z54" s="30">
        <f>IF(T54=0,0,X54/T54)</f>
        <v>-1</v>
      </c>
    </row>
    <row r="55" spans="1:26" ht="15" customHeight="1" x14ac:dyDescent="0.25">
      <c r="A55" s="10"/>
      <c r="B55" s="10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ht="15" customHeight="1" x14ac:dyDescent="0.25">
      <c r="A56" s="10"/>
      <c r="B56" s="10"/>
      <c r="C56" s="10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2" customFormat="1" ht="15" customHeight="1" x14ac:dyDescent="0.25">
      <c r="A57" s="11"/>
      <c r="B57" s="27" t="s">
        <v>296</v>
      </c>
      <c r="C57" s="27"/>
      <c r="D57" s="32">
        <f>SUM(D54:D56)</f>
        <v>0</v>
      </c>
      <c r="E57" s="15"/>
      <c r="F57" s="34">
        <f>IF(D$12=0,0,D57/D$12)</f>
        <v>0</v>
      </c>
      <c r="G57" s="15"/>
      <c r="H57" s="32">
        <f>SUM(H54:H56)</f>
        <v>-83.2</v>
      </c>
      <c r="I57" s="15"/>
      <c r="J57" s="34">
        <f>IF(H$12=0,0,H57/H$12)</f>
        <v>0</v>
      </c>
      <c r="K57" s="16"/>
      <c r="L57" s="32">
        <f>+D57-H57</f>
        <v>83.2</v>
      </c>
      <c r="M57" s="16"/>
      <c r="N57" s="34">
        <f>IF(H57=0,0,L57/H57)</f>
        <v>-1</v>
      </c>
      <c r="O57" s="28"/>
      <c r="P57" s="32">
        <f>SUM(P54:P56)</f>
        <v>0</v>
      </c>
      <c r="Q57" s="15"/>
      <c r="R57" s="34">
        <f>IF(P$12=0,0,P57/P$12)</f>
        <v>0</v>
      </c>
      <c r="S57" s="15"/>
      <c r="T57" s="32">
        <f>SUM(T54:T56)</f>
        <v>-46220.57</v>
      </c>
      <c r="U57" s="15"/>
      <c r="V57" s="34">
        <f>IF(T$12=0,0,T57/T$12)</f>
        <v>0</v>
      </c>
      <c r="W57" s="16"/>
      <c r="X57" s="32">
        <f>+P57-T57</f>
        <v>46220.57</v>
      </c>
      <c r="Y57" s="16"/>
      <c r="Z57" s="34">
        <f>IF(T57=0,0,X57/T57)</f>
        <v>-1</v>
      </c>
    </row>
    <row r="58" spans="1:26" ht="15" customHeight="1" x14ac:dyDescent="0.25">
      <c r="A58" s="10"/>
      <c r="C58" s="10"/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  <row r="59" spans="1:26" ht="15" customHeight="1" x14ac:dyDescent="0.25">
      <c r="A59" s="10"/>
      <c r="B59" s="50">
        <v>44727.879654085649</v>
      </c>
      <c r="D59" s="18"/>
      <c r="E59" s="18"/>
      <c r="G59" s="18"/>
      <c r="H59" s="18"/>
      <c r="I59" s="18"/>
      <c r="J59" s="41"/>
      <c r="K59" s="18"/>
      <c r="L59" s="18"/>
      <c r="M59" s="18"/>
      <c r="P59" s="18"/>
      <c r="Q59" s="18"/>
      <c r="R59" s="41"/>
      <c r="S59" s="18"/>
      <c r="T59" s="18"/>
      <c r="U59" s="18"/>
      <c r="V59" s="41"/>
      <c r="W59" s="18"/>
      <c r="X59" s="18"/>
    </row>
    <row r="60" spans="1:26" ht="15" customHeight="1" x14ac:dyDescent="0.25">
      <c r="A60" s="10"/>
      <c r="B60" s="53" t="s">
        <v>297</v>
      </c>
      <c r="D60" s="18"/>
      <c r="E60" s="18"/>
      <c r="G60" s="18"/>
      <c r="H60" s="18"/>
      <c r="I60" s="18"/>
      <c r="J60" s="41"/>
      <c r="K60" s="18"/>
      <c r="L60" s="18"/>
      <c r="M60" s="18"/>
      <c r="P60" s="18"/>
      <c r="Q60" s="18"/>
      <c r="R60" s="41"/>
      <c r="S60" s="18"/>
      <c r="T60" s="18"/>
      <c r="U60" s="18"/>
      <c r="V60" s="41"/>
      <c r="W60" s="18"/>
      <c r="X60" s="18"/>
    </row>
    <row r="61" spans="1:26" ht="15" customHeight="1" x14ac:dyDescent="0.25">
      <c r="A61" s="10"/>
      <c r="B61" s="55"/>
      <c r="D61" s="18"/>
      <c r="E61" s="18"/>
      <c r="G61" s="18"/>
      <c r="H61" s="18"/>
      <c r="I61" s="18"/>
      <c r="J61" s="41"/>
      <c r="K61" s="18"/>
      <c r="L61" s="18"/>
      <c r="M61" s="18"/>
      <c r="P61" s="18"/>
      <c r="Q61" s="18"/>
      <c r="R61" s="41"/>
      <c r="S61" s="18"/>
      <c r="T61" s="18"/>
      <c r="U61" s="18"/>
      <c r="V61" s="41"/>
      <c r="W61" s="18"/>
      <c r="X61" s="18"/>
    </row>
    <row r="62" spans="1:26" ht="15" customHeight="1" x14ac:dyDescent="0.25">
      <c r="D62" s="18"/>
      <c r="E62" s="18"/>
      <c r="G62" s="18"/>
      <c r="H62" s="18"/>
      <c r="I62" s="18"/>
      <c r="J62" s="41"/>
      <c r="K62" s="18"/>
      <c r="L62" s="18"/>
      <c r="M62" s="18"/>
      <c r="P62" s="18"/>
      <c r="Q62" s="18"/>
      <c r="R62" s="41"/>
      <c r="S62" s="18"/>
      <c r="T62" s="18"/>
      <c r="U62" s="18"/>
      <c r="V62" s="41"/>
      <c r="W62" s="18"/>
      <c r="X6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00F3D-0D5A-683A-22F9-2D5A4B84E2AE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","321"," - ","Corner Market")</f>
        <v>Department 321 - Corner Market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15967.099999999999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15967.099999999999</v>
      </c>
      <c r="M12" s="5"/>
      <c r="N12" s="13">
        <f>IF(H12=0,0,L12/H12)</f>
        <v>0</v>
      </c>
      <c r="O12" s="11"/>
      <c r="P12" s="5">
        <f>SUM(OSRRefP13x_0)</f>
        <v>116007.84</v>
      </c>
      <c r="Q12" s="5"/>
      <c r="R12" s="13"/>
      <c r="S12" s="5"/>
      <c r="T12" s="5">
        <f>SUM(OSRRefT13x_0)</f>
        <v>2476.4700000000003</v>
      </c>
      <c r="U12" s="5"/>
      <c r="V12" s="13"/>
      <c r="W12" s="5"/>
      <c r="X12" s="5">
        <f>+P12-T12</f>
        <v>113531.37</v>
      </c>
      <c r="Y12" s="5"/>
      <c r="Z12" s="13">
        <f>IF(T12=0,0,X12/T12)</f>
        <v>45.844032029461282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--2956.29</f>
        <v>2956.29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2956.29</v>
      </c>
      <c r="M13" s="3"/>
      <c r="N13" s="20">
        <f>IF(H13=0,0,L13/H13)</f>
        <v>0</v>
      </c>
      <c r="O13" s="12"/>
      <c r="P13" s="3">
        <f>--18760.79</f>
        <v>18760.79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18760.79</v>
      </c>
      <c r="Y13" s="3"/>
      <c r="Z13" s="20">
        <f>IF(T13=0,0,X13/T13)</f>
        <v>0</v>
      </c>
    </row>
    <row r="14" spans="1:26" s="69" customFormat="1" ht="15" hidden="1" customHeight="1" outlineLevel="1" x14ac:dyDescent="0.25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>+P14-T14</f>
        <v>-444.59</v>
      </c>
      <c r="Y14" s="3"/>
      <c r="Z14" s="20">
        <f>IF(T14=0,0,X14/T14)</f>
        <v>-1</v>
      </c>
    </row>
    <row r="15" spans="1:26" s="69" customFormat="1" ht="15" hidden="1" customHeight="1" outlineLevel="1" x14ac:dyDescent="0.25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--13010.81</f>
        <v>13010.81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13010.81</v>
      </c>
      <c r="M15" s="3"/>
      <c r="N15" s="20">
        <f>IF(H15=0,0,L15/H15)</f>
        <v>0</v>
      </c>
      <c r="O15" s="12"/>
      <c r="P15" s="3">
        <f>--97247.05</f>
        <v>97247.05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97247.05</v>
      </c>
      <c r="Y15" s="3"/>
      <c r="Z15" s="20">
        <f>IF(T15=0,0,X15/T15)</f>
        <v>0</v>
      </c>
    </row>
    <row r="16" spans="1:26" s="69" customFormat="1" ht="15" hidden="1" customHeight="1" outlineLevel="1" x14ac:dyDescent="0.25">
      <c r="A16" s="42"/>
      <c r="B16" s="12" t="str">
        <f>CONCATENATE("          ","4132"," - ","NON-TAXABLE SALES-JUICE")</f>
        <v xml:space="preserve">          4132 - NON-TAXABLE SALES-JUICE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0</f>
        <v>0</v>
      </c>
      <c r="Q16" s="3"/>
      <c r="R16" s="20"/>
      <c r="S16" s="3"/>
      <c r="T16" s="3">
        <f>--2031.88</f>
        <v>2031.88</v>
      </c>
      <c r="U16" s="3"/>
      <c r="V16" s="20"/>
      <c r="W16" s="3"/>
      <c r="X16" s="3">
        <f>+P16-T16</f>
        <v>-2031.88</v>
      </c>
      <c r="Y16" s="3"/>
      <c r="Z16" s="20">
        <f>IF(T16=0,0,X16/T16)</f>
        <v>-1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25">
      <c r="A18" s="11"/>
      <c r="B18" s="28" t="s">
        <v>287</v>
      </c>
      <c r="C18" s="11"/>
      <c r="D18" s="5">
        <f>SUM(OSRRefD16x_0)</f>
        <v>4385.58</v>
      </c>
      <c r="E18" s="5"/>
      <c r="F18" s="13">
        <f>IF(D$12=0,0,D18/D$12)</f>
        <v>0.27466352687714113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4385.58</v>
      </c>
      <c r="M18" s="5"/>
      <c r="N18" s="13">
        <f>IF(H18=0,0,L18/H18)</f>
        <v>0</v>
      </c>
      <c r="O18" s="11"/>
      <c r="P18" s="5">
        <f>SUM(OSRRefP16x_0)</f>
        <v>61935.289999999994</v>
      </c>
      <c r="Q18" s="5"/>
      <c r="R18" s="13">
        <f>IF(P$12=0,0,P18/P$12)</f>
        <v>0.53388883027216083</v>
      </c>
      <c r="S18" s="5"/>
      <c r="T18" s="5">
        <f>SUM(OSRRefT16x_0)</f>
        <v>19579.73</v>
      </c>
      <c r="U18" s="5"/>
      <c r="V18" s="13">
        <f>IF(T$12=0,0,T18/T$12)</f>
        <v>7.9063061535169004</v>
      </c>
      <c r="W18" s="5"/>
      <c r="X18" s="5">
        <f>+P18-T18</f>
        <v>42355.56</v>
      </c>
      <c r="Y18" s="5"/>
      <c r="Z18" s="13">
        <f>IF(T18=0,0,X18/T18)</f>
        <v>2.1632351416490421</v>
      </c>
    </row>
    <row r="19" spans="1:26" s="69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>
        <v>0</v>
      </c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-8062</v>
      </c>
      <c r="Q19" s="3"/>
      <c r="R19" s="20">
        <f>IF(P$12=0,0,P19/P$12)</f>
        <v>-6.9495303076067966E-2</v>
      </c>
      <c r="S19" s="3"/>
      <c r="T19" s="3"/>
      <c r="U19" s="3"/>
      <c r="V19" s="20">
        <f>IF(T$12=0,0,T19/T$12)</f>
        <v>0</v>
      </c>
      <c r="W19" s="3"/>
      <c r="X19" s="3">
        <f>+P19-T19</f>
        <v>-8062</v>
      </c>
      <c r="Y19" s="3"/>
      <c r="Z19" s="20">
        <f>IF(T19=0,0,X19/T19)</f>
        <v>0</v>
      </c>
    </row>
    <row r="20" spans="1:26" s="69" customFormat="1" ht="15" hidden="1" customHeight="1" outlineLevel="1" x14ac:dyDescent="0.25">
      <c r="A20" s="42"/>
      <c r="B20" s="12" t="str">
        <f>CONCATENATE("          ","5053"," - ","PURCHASES @ COST-FOOD")</f>
        <v xml:space="preserve">          5053 - PURCHASES @ COST-FOOD</v>
      </c>
      <c r="C20" s="12"/>
      <c r="D20" s="3"/>
      <c r="E20" s="3"/>
      <c r="F20" s="20">
        <f>IF(D$12=0,0,D20/D$12)</f>
        <v>0</v>
      </c>
      <c r="G20" s="3"/>
      <c r="H20" s="3"/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0.73</v>
      </c>
      <c r="U20" s="3"/>
      <c r="V20" s="20">
        <f>IF(T$12=0,0,T20/T$12)</f>
        <v>2.9477441681102534E-4</v>
      </c>
      <c r="W20" s="3"/>
      <c r="X20" s="3">
        <f>+P20-T20</f>
        <v>-0.73</v>
      </c>
      <c r="Y20" s="3"/>
      <c r="Z20" s="20">
        <f>IF(T20=0,0,X20/T20)</f>
        <v>-1</v>
      </c>
    </row>
    <row r="21" spans="1:26" s="69" customFormat="1" ht="15" hidden="1" customHeight="1" outlineLevel="1" x14ac:dyDescent="0.25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4385.58</v>
      </c>
      <c r="E21" s="3"/>
      <c r="F21" s="20">
        <f>IF(D$12=0,0,D21/D$12)</f>
        <v>0.27466352687714113</v>
      </c>
      <c r="G21" s="3"/>
      <c r="H21" s="3"/>
      <c r="I21" s="3"/>
      <c r="J21" s="20">
        <f>IF(H$12=0,0,H21/H$12)</f>
        <v>0</v>
      </c>
      <c r="K21" s="3"/>
      <c r="L21" s="3">
        <f>+D21-H21</f>
        <v>4385.58</v>
      </c>
      <c r="M21" s="3"/>
      <c r="N21" s="20">
        <f>IF(H21=0,0,L21/H21)</f>
        <v>0</v>
      </c>
      <c r="O21" s="12"/>
      <c r="P21" s="3">
        <v>69997.289999999994</v>
      </c>
      <c r="Q21" s="3"/>
      <c r="R21" s="20">
        <f>IF(P$12=0,0,P21/P$12)</f>
        <v>0.60338413334822882</v>
      </c>
      <c r="S21" s="3"/>
      <c r="T21" s="3">
        <v>19579</v>
      </c>
      <c r="U21" s="3"/>
      <c r="V21" s="20">
        <f>IF(T$12=0,0,T21/T$12)</f>
        <v>7.9060113791000894</v>
      </c>
      <c r="W21" s="3"/>
      <c r="X21" s="3">
        <f>+P21-T21</f>
        <v>50418.289999999994</v>
      </c>
      <c r="Y21" s="3"/>
      <c r="Z21" s="20">
        <f>IF(T21=0,0,X21/T21)</f>
        <v>2.5751207926860409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25">
      <c r="A23" s="11"/>
      <c r="B23" s="27" t="s">
        <v>288</v>
      </c>
      <c r="C23" s="27"/>
      <c r="D23" s="22">
        <f>D12-D18</f>
        <v>11581.519999999999</v>
      </c>
      <c r="E23" s="15"/>
      <c r="F23" s="23">
        <f>IF(D$12=0,0,D23/D$12)</f>
        <v>0.72533647312285887</v>
      </c>
      <c r="G23" s="15"/>
      <c r="H23" s="22">
        <f>H12-H18</f>
        <v>0</v>
      </c>
      <c r="I23" s="15"/>
      <c r="J23" s="23">
        <f>IF(H$12=0,0,H23/H$12)</f>
        <v>0</v>
      </c>
      <c r="K23" s="16"/>
      <c r="L23" s="22">
        <f>+D23-H23</f>
        <v>11581.519999999999</v>
      </c>
      <c r="M23" s="16"/>
      <c r="N23" s="23">
        <f>IF(H23=0,0,L23/H23)</f>
        <v>0</v>
      </c>
      <c r="O23" s="28"/>
      <c r="P23" s="22">
        <f>P12-P18</f>
        <v>54072.55</v>
      </c>
      <c r="Q23" s="15"/>
      <c r="R23" s="23">
        <f>IF(P$12=0,0,P23/P$12)</f>
        <v>0.46611116972783911</v>
      </c>
      <c r="S23" s="15"/>
      <c r="T23" s="22">
        <f>T12-T18</f>
        <v>-17103.259999999998</v>
      </c>
      <c r="U23" s="15"/>
      <c r="V23" s="23">
        <f>IF(T$12=0,0,T23/T$12)</f>
        <v>-6.9063061535168995</v>
      </c>
      <c r="W23" s="16"/>
      <c r="X23" s="22">
        <f>+P23-T23</f>
        <v>71175.81</v>
      </c>
      <c r="Y23" s="16"/>
      <c r="Z23" s="23">
        <f>IF(T23=0,0,X23/T23)</f>
        <v>-4.1615347015715134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25">
      <c r="A25" s="11"/>
      <c r="B25" s="28" t="s">
        <v>289</v>
      </c>
      <c r="C25" s="11"/>
      <c r="D25" s="21" cm="1">
        <f t="array" ref="D25">SUM(OSRRefD22x_0)</f>
        <v>10632.47</v>
      </c>
      <c r="E25" s="21"/>
      <c r="F25" s="31">
        <f t="shared" ref="F25:F56" si="0">IF(D$12=0,0,D25/D$12)</f>
        <v>0.66589862905599639</v>
      </c>
      <c r="G25" s="21"/>
      <c r="H25" s="21" cm="1">
        <f t="array" ref="H25">SUM(OSRRefH22x_0)</f>
        <v>630.44999999999993</v>
      </c>
      <c r="I25" s="21"/>
      <c r="J25" s="31">
        <f t="shared" ref="J25:J56" si="1">IF(H$12=0,0,H25/H$12)</f>
        <v>0</v>
      </c>
      <c r="K25" s="5"/>
      <c r="L25" s="21">
        <f t="shared" ref="L25:L56" si="2">+D25-H25</f>
        <v>10002.019999999999</v>
      </c>
      <c r="M25" s="5"/>
      <c r="N25" s="31">
        <f t="shared" ref="N25:N56" si="3">IF(H25=0,0,L25/H25)</f>
        <v>15.864890157823776</v>
      </c>
      <c r="O25" s="11"/>
      <c r="P25" s="21" cm="1">
        <f t="array" ref="P25">SUM(OSRRefP22x_0)</f>
        <v>80695.979999999967</v>
      </c>
      <c r="Q25" s="21"/>
      <c r="R25" s="31">
        <f t="shared" ref="R25:R56" si="4">IF(P$12=0,0,P25/P$12)</f>
        <v>0.69560798649470557</v>
      </c>
      <c r="S25" s="21"/>
      <c r="T25" s="21" cm="1">
        <f t="array" ref="T25">SUM(OSRRefT22x_0)</f>
        <v>41688.12999999999</v>
      </c>
      <c r="U25" s="21"/>
      <c r="V25" s="31">
        <f t="shared" ref="V25:V56" si="5">IF(T$12=0,0,T25/T$12)</f>
        <v>16.833690696838641</v>
      </c>
      <c r="W25" s="5"/>
      <c r="X25" s="21">
        <f t="shared" ref="X25:X56" si="6">+P25-T25</f>
        <v>39007.849999999977</v>
      </c>
      <c r="Y25" s="5"/>
      <c r="Z25" s="31">
        <f t="shared" ref="Z25:Z56" si="7">IF(T25=0,0,X25/T25)</f>
        <v>0.93570639891978813</v>
      </c>
    </row>
    <row r="26" spans="1:26" s="68" customFormat="1" ht="15" customHeight="1" outlineLevel="1" collapsed="1" x14ac:dyDescent="0.25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2724.01</v>
      </c>
      <c r="E26" s="2"/>
      <c r="F26" s="6">
        <f t="shared" si="0"/>
        <v>0.17060142417846699</v>
      </c>
      <c r="G26" s="2"/>
      <c r="H26" s="2">
        <f>SUM(OSRRefH22_0x_0)</f>
        <v>0</v>
      </c>
      <c r="I26" s="2"/>
      <c r="J26" s="6">
        <f t="shared" si="1"/>
        <v>0</v>
      </c>
      <c r="K26" s="2"/>
      <c r="L26" s="2">
        <f t="shared" si="2"/>
        <v>2724.01</v>
      </c>
      <c r="M26" s="2"/>
      <c r="N26" s="6">
        <f t="shared" si="3"/>
        <v>0</v>
      </c>
      <c r="O26" s="14"/>
      <c r="P26" s="2">
        <f>SUM(OSRRefP22_0x_0)</f>
        <v>15089.869999999999</v>
      </c>
      <c r="Q26" s="2"/>
      <c r="R26" s="6">
        <f t="shared" si="4"/>
        <v>0.13007629484352093</v>
      </c>
      <c r="S26" s="2"/>
      <c r="T26" s="2">
        <f>SUM(OSRRefT22_0x_0)</f>
        <v>8751.99</v>
      </c>
      <c r="U26" s="2"/>
      <c r="V26" s="6">
        <f t="shared" si="5"/>
        <v>3.5340585591588023</v>
      </c>
      <c r="W26" s="2"/>
      <c r="X26" s="2">
        <f t="shared" si="6"/>
        <v>6337.8799999999992</v>
      </c>
      <c r="Y26" s="2"/>
      <c r="Z26" s="6">
        <f t="shared" si="7"/>
        <v>0.72416444717144324</v>
      </c>
    </row>
    <row r="27" spans="1:26" s="69" customFormat="1" ht="15" hidden="1" customHeight="1" outlineLevel="2" x14ac:dyDescent="0.25">
      <c r="A27" s="25"/>
      <c r="B27" s="12" t="str">
        <f>CONCATENATE("          ","6111"," - ","F.I.C.A.")</f>
        <v xml:space="preserve">          6111 - F.I.C.A.</v>
      </c>
      <c r="C27" s="12"/>
      <c r="D27" s="7">
        <v>449.07</v>
      </c>
      <c r="E27" s="3"/>
      <c r="F27" s="8">
        <f t="shared" si="0"/>
        <v>2.8124706427591739E-2</v>
      </c>
      <c r="G27" s="3"/>
      <c r="H27" s="7"/>
      <c r="I27" s="3"/>
      <c r="J27" s="8">
        <f t="shared" si="1"/>
        <v>0</v>
      </c>
      <c r="K27" s="3"/>
      <c r="L27" s="7">
        <f t="shared" si="2"/>
        <v>449.07</v>
      </c>
      <c r="M27" s="3"/>
      <c r="N27" s="8">
        <f t="shared" si="3"/>
        <v>0</v>
      </c>
      <c r="O27" s="12"/>
      <c r="P27" s="7">
        <v>2822.82</v>
      </c>
      <c r="Q27" s="3"/>
      <c r="R27" s="8">
        <f t="shared" si="4"/>
        <v>2.4333010596525203E-2</v>
      </c>
      <c r="S27" s="3"/>
      <c r="T27" s="7">
        <v>1667.09</v>
      </c>
      <c r="U27" s="3"/>
      <c r="V27" s="8">
        <f t="shared" si="5"/>
        <v>0.67317189386505782</v>
      </c>
      <c r="W27" s="3"/>
      <c r="X27" s="7">
        <f t="shared" si="6"/>
        <v>1155.7300000000002</v>
      </c>
      <c r="Y27" s="3"/>
      <c r="Z27" s="8">
        <f t="shared" si="7"/>
        <v>0.69326191147448568</v>
      </c>
    </row>
    <row r="28" spans="1:26" s="69" customFormat="1" ht="15" hidden="1" customHeight="1" outlineLevel="2" x14ac:dyDescent="0.25">
      <c r="A28" s="25"/>
      <c r="B28" s="12" t="str">
        <f>CONCATENATE("          ","6112"," - ","COMPENSATION INSURANCE")</f>
        <v xml:space="preserve">          6112 - COMPENSATION INSURANCE</v>
      </c>
      <c r="C28" s="12"/>
      <c r="D28" s="7">
        <v>170.01</v>
      </c>
      <c r="E28" s="3"/>
      <c r="F28" s="8">
        <f t="shared" si="0"/>
        <v>1.0647518960863276E-2</v>
      </c>
      <c r="G28" s="3"/>
      <c r="H28" s="7"/>
      <c r="I28" s="3"/>
      <c r="J28" s="8">
        <f t="shared" si="1"/>
        <v>0</v>
      </c>
      <c r="K28" s="3"/>
      <c r="L28" s="7">
        <f t="shared" si="2"/>
        <v>170.01</v>
      </c>
      <c r="M28" s="3"/>
      <c r="N28" s="8">
        <f t="shared" si="3"/>
        <v>0</v>
      </c>
      <c r="O28" s="12"/>
      <c r="P28" s="7">
        <v>664.24</v>
      </c>
      <c r="Q28" s="3"/>
      <c r="R28" s="8">
        <f t="shared" si="4"/>
        <v>5.7258199101026279E-3</v>
      </c>
      <c r="S28" s="3"/>
      <c r="T28" s="7">
        <v>331.61</v>
      </c>
      <c r="U28" s="3"/>
      <c r="V28" s="8">
        <f t="shared" si="5"/>
        <v>0.13390430734069056</v>
      </c>
      <c r="W28" s="3"/>
      <c r="X28" s="7">
        <f t="shared" si="6"/>
        <v>332.63</v>
      </c>
      <c r="Y28" s="3"/>
      <c r="Z28" s="8">
        <f t="shared" si="7"/>
        <v>1.0030759024154881</v>
      </c>
    </row>
    <row r="29" spans="1:26" s="69" customFormat="1" ht="15" hidden="1" customHeight="1" outlineLevel="2" x14ac:dyDescent="0.25">
      <c r="A29" s="25"/>
      <c r="B29" s="12" t="str">
        <f>CONCATENATE("          ","6113"," - ","GROUP INSURANCE")</f>
        <v xml:space="preserve">          6113 - GROUP INSURANCE</v>
      </c>
      <c r="C29" s="12"/>
      <c r="D29" s="7">
        <v>1284.4100000000001</v>
      </c>
      <c r="E29" s="3"/>
      <c r="F29" s="8">
        <f t="shared" si="0"/>
        <v>8.0441031871786375E-2</v>
      </c>
      <c r="G29" s="3"/>
      <c r="H29" s="7"/>
      <c r="I29" s="3"/>
      <c r="J29" s="8">
        <f t="shared" si="1"/>
        <v>0</v>
      </c>
      <c r="K29" s="3"/>
      <c r="L29" s="7">
        <f t="shared" si="2"/>
        <v>1284.4100000000001</v>
      </c>
      <c r="M29" s="3"/>
      <c r="N29" s="8">
        <f t="shared" si="3"/>
        <v>0</v>
      </c>
      <c r="O29" s="12"/>
      <c r="P29" s="7">
        <v>6455.89</v>
      </c>
      <c r="Q29" s="3"/>
      <c r="R29" s="8">
        <f t="shared" si="4"/>
        <v>5.5650462934229275E-2</v>
      </c>
      <c r="S29" s="3"/>
      <c r="T29" s="7">
        <v>3385.22</v>
      </c>
      <c r="U29" s="3"/>
      <c r="V29" s="8">
        <f t="shared" si="5"/>
        <v>1.366953768872629</v>
      </c>
      <c r="W29" s="3"/>
      <c r="X29" s="7">
        <f t="shared" si="6"/>
        <v>3070.6700000000005</v>
      </c>
      <c r="Y29" s="3"/>
      <c r="Z29" s="8">
        <f t="shared" si="7"/>
        <v>0.90708137137320488</v>
      </c>
    </row>
    <row r="30" spans="1:26" s="69" customFormat="1" ht="15" hidden="1" customHeight="1" outlineLevel="2" x14ac:dyDescent="0.25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7">
        <v>29.87</v>
      </c>
      <c r="E30" s="3"/>
      <c r="F30" s="8">
        <f t="shared" si="0"/>
        <v>1.8707216714368923E-3</v>
      </c>
      <c r="G30" s="3"/>
      <c r="H30" s="7"/>
      <c r="I30" s="3"/>
      <c r="J30" s="8">
        <f t="shared" si="1"/>
        <v>0</v>
      </c>
      <c r="K30" s="3"/>
      <c r="L30" s="7">
        <f t="shared" si="2"/>
        <v>29.87</v>
      </c>
      <c r="M30" s="3"/>
      <c r="N30" s="8">
        <f t="shared" si="3"/>
        <v>0</v>
      </c>
      <c r="O30" s="12"/>
      <c r="P30" s="7">
        <v>114.96</v>
      </c>
      <c r="Q30" s="3"/>
      <c r="R30" s="8">
        <f t="shared" si="4"/>
        <v>9.9096750702366322E-4</v>
      </c>
      <c r="S30" s="3"/>
      <c r="T30" s="7">
        <v>62.01</v>
      </c>
      <c r="U30" s="3"/>
      <c r="V30" s="8">
        <f t="shared" si="5"/>
        <v>2.5039673406098192E-2</v>
      </c>
      <c r="W30" s="3"/>
      <c r="X30" s="7">
        <f t="shared" si="6"/>
        <v>52.949999999999996</v>
      </c>
      <c r="Y30" s="3"/>
      <c r="Z30" s="8">
        <f t="shared" si="7"/>
        <v>0.85389453313981611</v>
      </c>
    </row>
    <row r="31" spans="1:26" s="69" customFormat="1" ht="15" hidden="1" customHeight="1" outlineLevel="2" x14ac:dyDescent="0.25">
      <c r="A31" s="25"/>
      <c r="B31" s="12" t="str">
        <f>CONCATENATE("          ","6115"," - ","P.E.R.S.")</f>
        <v xml:space="preserve">          6115 - P.E.R.S.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/>
      <c r="Q31" s="3"/>
      <c r="R31" s="8">
        <f t="shared" si="4"/>
        <v>0</v>
      </c>
      <c r="S31" s="3"/>
      <c r="T31" s="7">
        <v>1254.1099999999999</v>
      </c>
      <c r="U31" s="3"/>
      <c r="V31" s="8">
        <f t="shared" si="5"/>
        <v>0.50641033406421232</v>
      </c>
      <c r="W31" s="3"/>
      <c r="X31" s="7">
        <f t="shared" si="6"/>
        <v>-1254.1099999999999</v>
      </c>
      <c r="Y31" s="3"/>
      <c r="Z31" s="8">
        <f t="shared" si="7"/>
        <v>-1</v>
      </c>
    </row>
    <row r="32" spans="1:26" s="69" customFormat="1" ht="15" hidden="1" customHeight="1" outlineLevel="2" x14ac:dyDescent="0.25">
      <c r="A32" s="25"/>
      <c r="B32" s="12" t="str">
        <f>CONCATENATE("          ","6117"," - ","RETIREMENT STAFF HOURLY")</f>
        <v xml:space="preserve">          6117 - RETIREMENT STAFF HOURLY</v>
      </c>
      <c r="C32" s="12"/>
      <c r="D32" s="7">
        <v>211.83</v>
      </c>
      <c r="E32" s="3"/>
      <c r="F32" s="8">
        <f t="shared" si="0"/>
        <v>1.3266654558435785E-2</v>
      </c>
      <c r="G32" s="3"/>
      <c r="H32" s="7"/>
      <c r="I32" s="3"/>
      <c r="J32" s="8">
        <f t="shared" si="1"/>
        <v>0</v>
      </c>
      <c r="K32" s="3"/>
      <c r="L32" s="7">
        <f t="shared" si="2"/>
        <v>211.83</v>
      </c>
      <c r="M32" s="3"/>
      <c r="N32" s="8">
        <f t="shared" si="3"/>
        <v>0</v>
      </c>
      <c r="O32" s="12"/>
      <c r="P32" s="7">
        <v>1180.49</v>
      </c>
      <c r="Q32" s="3"/>
      <c r="R32" s="8">
        <f t="shared" si="4"/>
        <v>1.017595017716044E-2</v>
      </c>
      <c r="S32" s="3"/>
      <c r="T32" s="7"/>
      <c r="U32" s="3"/>
      <c r="V32" s="8">
        <f t="shared" si="5"/>
        <v>0</v>
      </c>
      <c r="W32" s="3"/>
      <c r="X32" s="7">
        <f t="shared" si="6"/>
        <v>1180.49</v>
      </c>
      <c r="Y32" s="3"/>
      <c r="Z32" s="8">
        <f t="shared" si="7"/>
        <v>0</v>
      </c>
    </row>
    <row r="33" spans="1:26" s="69" customFormat="1" ht="15" hidden="1" customHeight="1" outlineLevel="2" x14ac:dyDescent="0.25">
      <c r="A33" s="25"/>
      <c r="B33" s="12" t="str">
        <f>CONCATENATE("          ","6118"," - ","VACATION")</f>
        <v xml:space="preserve">          6118 - VACATION</v>
      </c>
      <c r="C33" s="12"/>
      <c r="D33" s="7">
        <v>163.24</v>
      </c>
      <c r="E33" s="3"/>
      <c r="F33" s="8">
        <f t="shared" si="0"/>
        <v>1.0223522117353809E-2</v>
      </c>
      <c r="G33" s="3"/>
      <c r="H33" s="7"/>
      <c r="I33" s="3"/>
      <c r="J33" s="8">
        <f t="shared" si="1"/>
        <v>0</v>
      </c>
      <c r="K33" s="3"/>
      <c r="L33" s="7">
        <f t="shared" si="2"/>
        <v>163.24</v>
      </c>
      <c r="M33" s="3"/>
      <c r="N33" s="8">
        <f t="shared" si="3"/>
        <v>0</v>
      </c>
      <c r="O33" s="12"/>
      <c r="P33" s="7">
        <v>1142.68</v>
      </c>
      <c r="Q33" s="3"/>
      <c r="R33" s="8">
        <f t="shared" si="4"/>
        <v>9.850023929417185E-3</v>
      </c>
      <c r="S33" s="3"/>
      <c r="T33" s="7">
        <v>958.88</v>
      </c>
      <c r="U33" s="3"/>
      <c r="V33" s="8">
        <f t="shared" si="5"/>
        <v>0.38719629149555612</v>
      </c>
      <c r="W33" s="3"/>
      <c r="X33" s="7">
        <f t="shared" si="6"/>
        <v>183.80000000000007</v>
      </c>
      <c r="Y33" s="3"/>
      <c r="Z33" s="8">
        <f t="shared" si="7"/>
        <v>0.19168196228933762</v>
      </c>
    </row>
    <row r="34" spans="1:26" s="69" customFormat="1" ht="15" hidden="1" customHeight="1" outlineLevel="2" x14ac:dyDescent="0.25">
      <c r="A34" s="25"/>
      <c r="B34" s="12" t="str">
        <f>CONCATENATE("          ","6119"," - ","SICK LEAVE")</f>
        <v xml:space="preserve">          6119 - SICK LEAVE</v>
      </c>
      <c r="C34" s="12"/>
      <c r="D34" s="7">
        <v>195.58</v>
      </c>
      <c r="E34" s="3"/>
      <c r="F34" s="8">
        <f t="shared" si="0"/>
        <v>1.2248936876452206E-2</v>
      </c>
      <c r="G34" s="3"/>
      <c r="H34" s="7"/>
      <c r="I34" s="3"/>
      <c r="J34" s="8">
        <f t="shared" si="1"/>
        <v>0</v>
      </c>
      <c r="K34" s="3"/>
      <c r="L34" s="7">
        <f t="shared" si="2"/>
        <v>195.58</v>
      </c>
      <c r="M34" s="3"/>
      <c r="N34" s="8">
        <f t="shared" si="3"/>
        <v>0</v>
      </c>
      <c r="O34" s="12"/>
      <c r="P34" s="7">
        <v>1369.06</v>
      </c>
      <c r="Q34" s="3"/>
      <c r="R34" s="8">
        <f t="shared" si="4"/>
        <v>1.18014437644904E-2</v>
      </c>
      <c r="S34" s="3"/>
      <c r="T34" s="7">
        <v>767.52</v>
      </c>
      <c r="U34" s="3"/>
      <c r="V34" s="8">
        <f t="shared" si="5"/>
        <v>0.30992501423397006</v>
      </c>
      <c r="W34" s="3"/>
      <c r="X34" s="7">
        <f t="shared" si="6"/>
        <v>601.54</v>
      </c>
      <c r="Y34" s="3"/>
      <c r="Z34" s="8">
        <f t="shared" si="7"/>
        <v>0.78374504898895136</v>
      </c>
    </row>
    <row r="35" spans="1:26" s="69" customFormat="1" ht="15" hidden="1" customHeight="1" outlineLevel="2" x14ac:dyDescent="0.25">
      <c r="A35" s="25"/>
      <c r="B35" s="12" t="str">
        <f>CONCATENATE("          ","6156"," - ","EMPLOYEE MEALS")</f>
        <v xml:space="preserve">          6156 - EMPLOYEE MEALS</v>
      </c>
      <c r="C35" s="12"/>
      <c r="D35" s="7">
        <v>220</v>
      </c>
      <c r="E35" s="3"/>
      <c r="F35" s="8">
        <f t="shared" si="0"/>
        <v>1.3778331694546913E-2</v>
      </c>
      <c r="G35" s="3"/>
      <c r="H35" s="7"/>
      <c r="I35" s="3"/>
      <c r="J35" s="8">
        <f t="shared" si="1"/>
        <v>0</v>
      </c>
      <c r="K35" s="3"/>
      <c r="L35" s="7">
        <f t="shared" si="2"/>
        <v>220</v>
      </c>
      <c r="M35" s="3"/>
      <c r="N35" s="8">
        <f t="shared" si="3"/>
        <v>0</v>
      </c>
      <c r="O35" s="12"/>
      <c r="P35" s="7">
        <v>1339.73</v>
      </c>
      <c r="Q35" s="3"/>
      <c r="R35" s="8">
        <f t="shared" si="4"/>
        <v>1.1548616024572134E-2</v>
      </c>
      <c r="S35" s="3"/>
      <c r="T35" s="7">
        <v>325.55</v>
      </c>
      <c r="U35" s="3"/>
      <c r="V35" s="8">
        <f t="shared" si="5"/>
        <v>0.13145727588058809</v>
      </c>
      <c r="W35" s="3"/>
      <c r="X35" s="7">
        <f t="shared" si="6"/>
        <v>1014.1800000000001</v>
      </c>
      <c r="Y35" s="3"/>
      <c r="Z35" s="8">
        <f t="shared" si="7"/>
        <v>3.1152818307479651</v>
      </c>
    </row>
    <row r="36" spans="1:26" s="68" customFormat="1" ht="15" customHeight="1" outlineLevel="1" collapsed="1" x14ac:dyDescent="0.25">
      <c r="A36" s="26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6542.08</v>
      </c>
      <c r="E36" s="2"/>
      <c r="F36" s="6">
        <f t="shared" si="0"/>
        <v>0.4097224918739158</v>
      </c>
      <c r="G36" s="2"/>
      <c r="H36" s="2">
        <f>SUM(OSRRefH22_1x_0)</f>
        <v>0</v>
      </c>
      <c r="I36" s="2"/>
      <c r="J36" s="6">
        <f t="shared" si="1"/>
        <v>0</v>
      </c>
      <c r="K36" s="2"/>
      <c r="L36" s="2">
        <f t="shared" si="2"/>
        <v>6542.08</v>
      </c>
      <c r="M36" s="2"/>
      <c r="N36" s="6">
        <f t="shared" si="3"/>
        <v>0</v>
      </c>
      <c r="O36" s="14"/>
      <c r="P36" s="2">
        <f>SUM(OSRRefP22_1x_0)</f>
        <v>44364.87</v>
      </c>
      <c r="Q36" s="2"/>
      <c r="R36" s="6">
        <f t="shared" si="4"/>
        <v>0.3824299288737727</v>
      </c>
      <c r="S36" s="2"/>
      <c r="T36" s="2">
        <f>SUM(OSRRefT22_1x_0)</f>
        <v>15859.96</v>
      </c>
      <c r="U36" s="2"/>
      <c r="V36" s="6">
        <f t="shared" si="5"/>
        <v>6.404260903624917</v>
      </c>
      <c r="W36" s="2"/>
      <c r="X36" s="2">
        <f t="shared" si="6"/>
        <v>28504.910000000003</v>
      </c>
      <c r="Y36" s="2"/>
      <c r="Z36" s="6">
        <f t="shared" si="7"/>
        <v>1.7972876350255615</v>
      </c>
    </row>
    <row r="37" spans="1:26" s="69" customFormat="1" ht="15" hidden="1" customHeight="1" outlineLevel="2" x14ac:dyDescent="0.25">
      <c r="A37" s="25"/>
      <c r="B37" s="12" t="str">
        <f>CONCATENATE("          ","6002"," - ","STAFF SALARIES")</f>
        <v xml:space="preserve">          6002 - STAFF SALARIES</v>
      </c>
      <c r="C37" s="12"/>
      <c r="D37" s="7"/>
      <c r="E37" s="3"/>
      <c r="F37" s="8">
        <f t="shared" si="0"/>
        <v>0</v>
      </c>
      <c r="G37" s="3"/>
      <c r="H37" s="7"/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13728</v>
      </c>
      <c r="U37" s="3"/>
      <c r="V37" s="8">
        <f t="shared" si="5"/>
        <v>5.5433742383311726</v>
      </c>
      <c r="W37" s="3"/>
      <c r="X37" s="7">
        <f t="shared" si="6"/>
        <v>-13728</v>
      </c>
      <c r="Y37" s="3"/>
      <c r="Z37" s="8">
        <f t="shared" si="7"/>
        <v>-1</v>
      </c>
    </row>
    <row r="38" spans="1:26" s="69" customFormat="1" ht="15" hidden="1" customHeight="1" outlineLevel="2" x14ac:dyDescent="0.25">
      <c r="A38" s="25"/>
      <c r="B38" s="12" t="str">
        <f>CONCATENATE("          ","6004"," - ","STAFF HOURLY")</f>
        <v xml:space="preserve">          6004 - STAFF HOURLY</v>
      </c>
      <c r="C38" s="12"/>
      <c r="D38" s="7">
        <v>3994.09</v>
      </c>
      <c r="E38" s="3"/>
      <c r="F38" s="8">
        <f t="shared" si="0"/>
        <v>0.2501449856266949</v>
      </c>
      <c r="G38" s="3"/>
      <c r="H38" s="7"/>
      <c r="I38" s="3"/>
      <c r="J38" s="8">
        <f t="shared" si="1"/>
        <v>0</v>
      </c>
      <c r="K38" s="3"/>
      <c r="L38" s="7">
        <f t="shared" si="2"/>
        <v>3994.09</v>
      </c>
      <c r="M38" s="3"/>
      <c r="N38" s="8">
        <f t="shared" si="3"/>
        <v>0</v>
      </c>
      <c r="O38" s="12"/>
      <c r="P38" s="7">
        <v>28627.08</v>
      </c>
      <c r="Q38" s="3"/>
      <c r="R38" s="8">
        <f t="shared" si="4"/>
        <v>0.24676849426728403</v>
      </c>
      <c r="S38" s="3"/>
      <c r="T38" s="7"/>
      <c r="U38" s="3"/>
      <c r="V38" s="8">
        <f t="shared" si="5"/>
        <v>0</v>
      </c>
      <c r="W38" s="3"/>
      <c r="X38" s="7">
        <f t="shared" si="6"/>
        <v>28627.08</v>
      </c>
      <c r="Y38" s="3"/>
      <c r="Z38" s="8">
        <f t="shared" si="7"/>
        <v>0</v>
      </c>
    </row>
    <row r="39" spans="1:26" s="69" customFormat="1" ht="15" hidden="1" customHeight="1" outlineLevel="2" x14ac:dyDescent="0.25">
      <c r="A39" s="25"/>
      <c r="B39" s="12" t="str">
        <f>CONCATENATE("          ","6005"," - ","TEMPORARY WAGES-HOURLY")</f>
        <v xml:space="preserve">          6005 - TEMPORARY WAGES-HOURLY</v>
      </c>
      <c r="C39" s="12"/>
      <c r="D39" s="7"/>
      <c r="E39" s="3"/>
      <c r="F39" s="8">
        <f t="shared" si="0"/>
        <v>0</v>
      </c>
      <c r="G39" s="3"/>
      <c r="H39" s="7"/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>
        <v>638.94000000000005</v>
      </c>
      <c r="Q39" s="3"/>
      <c r="R39" s="8">
        <f t="shared" si="4"/>
        <v>5.50773120161534E-3</v>
      </c>
      <c r="S39" s="3"/>
      <c r="T39" s="7">
        <v>2131.96</v>
      </c>
      <c r="U39" s="3"/>
      <c r="V39" s="8">
        <f t="shared" si="5"/>
        <v>0.86088666529374469</v>
      </c>
      <c r="W39" s="3"/>
      <c r="X39" s="7">
        <f t="shared" si="6"/>
        <v>-1493.02</v>
      </c>
      <c r="Y39" s="3"/>
      <c r="Z39" s="8">
        <f t="shared" si="7"/>
        <v>-0.70030394566502185</v>
      </c>
    </row>
    <row r="40" spans="1:26" s="69" customFormat="1" ht="15" hidden="1" customHeight="1" outlineLevel="2" x14ac:dyDescent="0.25">
      <c r="A40" s="25"/>
      <c r="B40" s="12" t="str">
        <f>CONCATENATE("          ","6006"," - ","TEMPORARY PART TIME")</f>
        <v xml:space="preserve">          6006 - TEMPORARY PART TIME</v>
      </c>
      <c r="C40" s="12"/>
      <c r="D40" s="7">
        <v>1589.04</v>
      </c>
      <c r="E40" s="3"/>
      <c r="F40" s="8">
        <f t="shared" si="0"/>
        <v>9.951963725410376E-2</v>
      </c>
      <c r="G40" s="3"/>
      <c r="H40" s="7"/>
      <c r="I40" s="3"/>
      <c r="J40" s="8">
        <f t="shared" si="1"/>
        <v>0</v>
      </c>
      <c r="K40" s="3"/>
      <c r="L40" s="7">
        <f t="shared" si="2"/>
        <v>1589.04</v>
      </c>
      <c r="M40" s="3"/>
      <c r="N40" s="8">
        <f t="shared" si="3"/>
        <v>0</v>
      </c>
      <c r="O40" s="12"/>
      <c r="P40" s="7">
        <v>6791.04</v>
      </c>
      <c r="Q40" s="3"/>
      <c r="R40" s="8">
        <f t="shared" si="4"/>
        <v>5.8539491813656731E-2</v>
      </c>
      <c r="S40" s="3"/>
      <c r="T40" s="7"/>
      <c r="U40" s="3"/>
      <c r="V40" s="8">
        <f t="shared" si="5"/>
        <v>0</v>
      </c>
      <c r="W40" s="3"/>
      <c r="X40" s="7">
        <f t="shared" si="6"/>
        <v>6791.04</v>
      </c>
      <c r="Y40" s="3"/>
      <c r="Z40" s="8">
        <f t="shared" si="7"/>
        <v>0</v>
      </c>
    </row>
    <row r="41" spans="1:26" s="69" customFormat="1" ht="15" hidden="1" customHeight="1" outlineLevel="2" x14ac:dyDescent="0.25">
      <c r="A41" s="25"/>
      <c r="B41" s="12" t="str">
        <f>CONCATENATE("          ","6007"," - ","STUDENT HOURLY")</f>
        <v xml:space="preserve">          6007 - STUDENT HOURLY</v>
      </c>
      <c r="C41" s="12"/>
      <c r="D41" s="7">
        <v>662.4</v>
      </c>
      <c r="E41" s="3"/>
      <c r="F41" s="8">
        <f t="shared" si="0"/>
        <v>4.1485304156672162E-2</v>
      </c>
      <c r="G41" s="3"/>
      <c r="H41" s="7"/>
      <c r="I41" s="3"/>
      <c r="J41" s="8">
        <f t="shared" si="1"/>
        <v>0</v>
      </c>
      <c r="K41" s="3"/>
      <c r="L41" s="7">
        <f t="shared" si="2"/>
        <v>662.4</v>
      </c>
      <c r="M41" s="3"/>
      <c r="N41" s="8">
        <f t="shared" si="3"/>
        <v>0</v>
      </c>
      <c r="O41" s="12"/>
      <c r="P41" s="7">
        <v>6285.66</v>
      </c>
      <c r="Q41" s="3"/>
      <c r="R41" s="8">
        <f t="shared" si="4"/>
        <v>5.4183062110284959E-2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6285.66</v>
      </c>
      <c r="Y41" s="3"/>
      <c r="Z41" s="8">
        <f t="shared" si="7"/>
        <v>0</v>
      </c>
    </row>
    <row r="42" spans="1:26" s="69" customFormat="1" ht="15" hidden="1" customHeight="1" outlineLevel="2" x14ac:dyDescent="0.25">
      <c r="A42" s="25"/>
      <c r="B42" s="12" t="str">
        <f>CONCATENATE("          ","6008"," - ","STUDENT HOURLY-FICA EXEMPT")</f>
        <v xml:space="preserve">          6008 - STUDENT HOURLY-FICA EXEMPT</v>
      </c>
      <c r="C42" s="12"/>
      <c r="D42" s="7">
        <v>296.55</v>
      </c>
      <c r="E42" s="3"/>
      <c r="F42" s="8">
        <f t="shared" si="0"/>
        <v>1.8572564836444941E-2</v>
      </c>
      <c r="G42" s="3"/>
      <c r="H42" s="7"/>
      <c r="I42" s="3"/>
      <c r="J42" s="8">
        <f t="shared" si="1"/>
        <v>0</v>
      </c>
      <c r="K42" s="3"/>
      <c r="L42" s="7">
        <f t="shared" si="2"/>
        <v>296.55</v>
      </c>
      <c r="M42" s="3"/>
      <c r="N42" s="8">
        <f t="shared" si="3"/>
        <v>0</v>
      </c>
      <c r="O42" s="12"/>
      <c r="P42" s="7">
        <v>2022.15</v>
      </c>
      <c r="Q42" s="3"/>
      <c r="R42" s="8">
        <f t="shared" si="4"/>
        <v>1.7431149480931635E-2</v>
      </c>
      <c r="S42" s="3"/>
      <c r="T42" s="7"/>
      <c r="U42" s="3"/>
      <c r="V42" s="8">
        <f t="shared" si="5"/>
        <v>0</v>
      </c>
      <c r="W42" s="3"/>
      <c r="X42" s="7">
        <f t="shared" si="6"/>
        <v>2022.15</v>
      </c>
      <c r="Y42" s="3"/>
      <c r="Z42" s="8">
        <f t="shared" si="7"/>
        <v>0</v>
      </c>
    </row>
    <row r="43" spans="1:26" s="68" customFormat="1" ht="15" customHeight="1" outlineLevel="1" collapsed="1" x14ac:dyDescent="0.25">
      <c r="A43" s="26"/>
      <c r="B43" s="14" t="str">
        <f>CONCATENATE("     ","Advertising/Promo                                 ")</f>
        <v xml:space="preserve">     Advertising/Promo                                 </v>
      </c>
      <c r="C43" s="14"/>
      <c r="D43" s="2">
        <f>SUM(OSRRefD22_2x_0)</f>
        <v>0</v>
      </c>
      <c r="E43" s="2"/>
      <c r="F43" s="6">
        <f t="shared" si="0"/>
        <v>0</v>
      </c>
      <c r="G43" s="2"/>
      <c r="H43" s="2">
        <f>SUM(OSRRefH22_2x_0)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SUM(OSRRefP22_2x_0)</f>
        <v>487.64</v>
      </c>
      <c r="Q43" s="2"/>
      <c r="R43" s="6">
        <f t="shared" si="4"/>
        <v>4.2035090042190255E-3</v>
      </c>
      <c r="S43" s="2"/>
      <c r="T43" s="2">
        <f>SUM(OSRRefT22_2x_0)</f>
        <v>0</v>
      </c>
      <c r="U43" s="2"/>
      <c r="V43" s="6">
        <f t="shared" si="5"/>
        <v>0</v>
      </c>
      <c r="W43" s="2"/>
      <c r="X43" s="2">
        <f t="shared" si="6"/>
        <v>487.64</v>
      </c>
      <c r="Y43" s="2"/>
      <c r="Z43" s="6">
        <f t="shared" si="7"/>
        <v>0</v>
      </c>
    </row>
    <row r="44" spans="1:26" s="69" customFormat="1" ht="15" hidden="1" customHeight="1" outlineLevel="2" x14ac:dyDescent="0.25">
      <c r="A44" s="25"/>
      <c r="B44" s="12" t="str">
        <f>CONCATENATE("          ","6362"," - ","ADVERTISING EXPENSE")</f>
        <v xml:space="preserve">          6362 - ADVERTISING EXPENSE</v>
      </c>
      <c r="C44" s="12"/>
      <c r="D44" s="7"/>
      <c r="E44" s="3"/>
      <c r="F44" s="8">
        <f t="shared" si="0"/>
        <v>0</v>
      </c>
      <c r="G44" s="3"/>
      <c r="H44" s="7"/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487.64</v>
      </c>
      <c r="Q44" s="3"/>
      <c r="R44" s="8">
        <f t="shared" si="4"/>
        <v>4.2035090042190255E-3</v>
      </c>
      <c r="S44" s="3"/>
      <c r="T44" s="7"/>
      <c r="U44" s="3"/>
      <c r="V44" s="8">
        <f t="shared" si="5"/>
        <v>0</v>
      </c>
      <c r="W44" s="3"/>
      <c r="X44" s="7">
        <f t="shared" si="6"/>
        <v>487.64</v>
      </c>
      <c r="Y44" s="3"/>
      <c r="Z44" s="8">
        <f t="shared" si="7"/>
        <v>0</v>
      </c>
    </row>
    <row r="45" spans="1:26" s="68" customFormat="1" ht="15" customHeight="1" outlineLevel="1" collapsed="1" x14ac:dyDescent="0.25">
      <c r="A45" s="26"/>
      <c r="B45" s="14" t="str">
        <f>CONCATENATE("     ","Bad Debts/Over/Short                              ")</f>
        <v xml:space="preserve">     Bad Debts/Over/Short                              </v>
      </c>
      <c r="C45" s="14"/>
      <c r="D45" s="2">
        <f>SUM(OSRRefD22_3x_0)</f>
        <v>-6.36</v>
      </c>
      <c r="E45" s="2"/>
      <c r="F45" s="6">
        <f t="shared" si="0"/>
        <v>-3.9831904353326532E-4</v>
      </c>
      <c r="G45" s="2"/>
      <c r="H45" s="2">
        <f>SUM(OSRRefH22_3x_0)</f>
        <v>0</v>
      </c>
      <c r="I45" s="2"/>
      <c r="J45" s="6">
        <f t="shared" si="1"/>
        <v>0</v>
      </c>
      <c r="K45" s="2"/>
      <c r="L45" s="2">
        <f t="shared" si="2"/>
        <v>-6.36</v>
      </c>
      <c r="M45" s="2"/>
      <c r="N45" s="6">
        <f t="shared" si="3"/>
        <v>0</v>
      </c>
      <c r="O45" s="14"/>
      <c r="P45" s="2">
        <f>SUM(OSRRefP22_3x_0)</f>
        <v>-12.74</v>
      </c>
      <c r="Q45" s="2"/>
      <c r="R45" s="6">
        <f t="shared" si="4"/>
        <v>-1.0982016387857925E-4</v>
      </c>
      <c r="S45" s="2"/>
      <c r="T45" s="2">
        <f>SUM(OSRRefT22_3x_0)</f>
        <v>3.31</v>
      </c>
      <c r="U45" s="2"/>
      <c r="V45" s="6">
        <f t="shared" si="5"/>
        <v>1.3365798899239642E-3</v>
      </c>
      <c r="W45" s="2"/>
      <c r="X45" s="2">
        <f t="shared" si="6"/>
        <v>-16.05</v>
      </c>
      <c r="Y45" s="2"/>
      <c r="Z45" s="6">
        <f t="shared" si="7"/>
        <v>-4.8489425981873113</v>
      </c>
    </row>
    <row r="46" spans="1:26" s="69" customFormat="1" ht="15" hidden="1" customHeight="1" outlineLevel="2" x14ac:dyDescent="0.25">
      <c r="A46" s="25"/>
      <c r="B46" s="12" t="str">
        <f>CONCATENATE("          ","6272"," - ","CASH (OVER/SHORT)")</f>
        <v xml:space="preserve">          6272 - CASH (OVER/SHORT)</v>
      </c>
      <c r="C46" s="12"/>
      <c r="D46" s="7">
        <v>-6.36</v>
      </c>
      <c r="E46" s="3"/>
      <c r="F46" s="8">
        <f t="shared" si="0"/>
        <v>-3.9831904353326532E-4</v>
      </c>
      <c r="G46" s="3"/>
      <c r="H46" s="7"/>
      <c r="I46" s="3"/>
      <c r="J46" s="8">
        <f t="shared" si="1"/>
        <v>0</v>
      </c>
      <c r="K46" s="3"/>
      <c r="L46" s="7">
        <f t="shared" si="2"/>
        <v>-6.36</v>
      </c>
      <c r="M46" s="3"/>
      <c r="N46" s="8">
        <f t="shared" si="3"/>
        <v>0</v>
      </c>
      <c r="O46" s="12"/>
      <c r="P46" s="7">
        <v>-12.74</v>
      </c>
      <c r="Q46" s="3"/>
      <c r="R46" s="8">
        <f t="shared" si="4"/>
        <v>-1.0982016387857925E-4</v>
      </c>
      <c r="S46" s="3"/>
      <c r="T46" s="7">
        <v>3.31</v>
      </c>
      <c r="U46" s="3"/>
      <c r="V46" s="8">
        <f t="shared" si="5"/>
        <v>1.3365798899239642E-3</v>
      </c>
      <c r="W46" s="3"/>
      <c r="X46" s="7">
        <f t="shared" si="6"/>
        <v>-16.05</v>
      </c>
      <c r="Y46" s="3"/>
      <c r="Z46" s="8">
        <f t="shared" si="7"/>
        <v>-4.8489425981873113</v>
      </c>
    </row>
    <row r="47" spans="1:26" s="68" customFormat="1" ht="15" customHeight="1" outlineLevel="1" collapsed="1" x14ac:dyDescent="0.25">
      <c r="A47" s="26"/>
      <c r="B47" s="14" t="str">
        <f>CONCATENATE("     ","Bank/card Fees                                    ")</f>
        <v xml:space="preserve">     Bank/card Fees                                    </v>
      </c>
      <c r="C47" s="14"/>
      <c r="D47" s="2">
        <f>SUM(OSRRefD22_4x_0)</f>
        <v>565.12</v>
      </c>
      <c r="E47" s="2"/>
      <c r="F47" s="6">
        <f t="shared" si="0"/>
        <v>3.5392776396465236E-2</v>
      </c>
      <c r="G47" s="2"/>
      <c r="H47" s="2">
        <f>SUM(OSRRefH22_4x_0)</f>
        <v>99.95</v>
      </c>
      <c r="I47" s="2"/>
      <c r="J47" s="6">
        <f t="shared" si="1"/>
        <v>0</v>
      </c>
      <c r="K47" s="2"/>
      <c r="L47" s="2">
        <f t="shared" si="2"/>
        <v>465.17</v>
      </c>
      <c r="M47" s="2"/>
      <c r="N47" s="6">
        <f t="shared" si="3"/>
        <v>4.6540270135067532</v>
      </c>
      <c r="O47" s="14"/>
      <c r="P47" s="2">
        <f>SUM(OSRRefP22_4x_0)</f>
        <v>4917.3900000000003</v>
      </c>
      <c r="Q47" s="2"/>
      <c r="R47" s="6">
        <f t="shared" si="4"/>
        <v>4.2388428230367883E-2</v>
      </c>
      <c r="S47" s="2"/>
      <c r="T47" s="2">
        <f>SUM(OSRRefT22_4x_0)</f>
        <v>1673.08</v>
      </c>
      <c r="U47" s="2"/>
      <c r="V47" s="6">
        <f t="shared" si="5"/>
        <v>0.67559065928519213</v>
      </c>
      <c r="W47" s="2"/>
      <c r="X47" s="2">
        <f t="shared" si="6"/>
        <v>3244.3100000000004</v>
      </c>
      <c r="Y47" s="2"/>
      <c r="Z47" s="6">
        <f t="shared" si="7"/>
        <v>1.9391242498864374</v>
      </c>
    </row>
    <row r="48" spans="1:26" s="69" customFormat="1" ht="15" hidden="1" customHeight="1" outlineLevel="2" x14ac:dyDescent="0.25">
      <c r="A48" s="25"/>
      <c r="B48" s="12" t="str">
        <f>CONCATENATE("          ","6381"," - ","BANK/CREDIT CARD FEES")</f>
        <v xml:space="preserve">          6381 - BANK/CREDIT CARD FEES</v>
      </c>
      <c r="C48" s="12"/>
      <c r="D48" s="7">
        <v>565.12</v>
      </c>
      <c r="E48" s="3"/>
      <c r="F48" s="8">
        <f t="shared" si="0"/>
        <v>3.5392776396465236E-2</v>
      </c>
      <c r="G48" s="3"/>
      <c r="H48" s="7">
        <v>99.95</v>
      </c>
      <c r="I48" s="3"/>
      <c r="J48" s="8">
        <f t="shared" si="1"/>
        <v>0</v>
      </c>
      <c r="K48" s="3"/>
      <c r="L48" s="7">
        <f t="shared" si="2"/>
        <v>465.17</v>
      </c>
      <c r="M48" s="3"/>
      <c r="N48" s="8">
        <f t="shared" si="3"/>
        <v>4.6540270135067532</v>
      </c>
      <c r="O48" s="12"/>
      <c r="P48" s="7">
        <v>4917.3900000000003</v>
      </c>
      <c r="Q48" s="3"/>
      <c r="R48" s="8">
        <f t="shared" si="4"/>
        <v>4.2388428230367883E-2</v>
      </c>
      <c r="S48" s="3"/>
      <c r="T48" s="7">
        <v>1673.08</v>
      </c>
      <c r="U48" s="3"/>
      <c r="V48" s="8">
        <f t="shared" si="5"/>
        <v>0.67559065928519213</v>
      </c>
      <c r="W48" s="3"/>
      <c r="X48" s="7">
        <f t="shared" si="6"/>
        <v>3244.3100000000004</v>
      </c>
      <c r="Y48" s="3"/>
      <c r="Z48" s="8">
        <f t="shared" si="7"/>
        <v>1.9391242498864374</v>
      </c>
    </row>
    <row r="49" spans="1:26" s="68" customFormat="1" ht="15" customHeight="1" outlineLevel="1" collapsed="1" x14ac:dyDescent="0.25">
      <c r="A49" s="26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SUM(OSRRefD22_5x_0)</f>
        <v>264.56</v>
      </c>
      <c r="E49" s="2"/>
      <c r="F49" s="6">
        <f t="shared" si="0"/>
        <v>1.656907015049696E-2</v>
      </c>
      <c r="G49" s="2"/>
      <c r="H49" s="2">
        <f>SUM(OSRRefH22_5x_0)</f>
        <v>1075.3699999999999</v>
      </c>
      <c r="I49" s="2"/>
      <c r="J49" s="6">
        <f t="shared" si="1"/>
        <v>0</v>
      </c>
      <c r="K49" s="2"/>
      <c r="L49" s="2">
        <f t="shared" si="2"/>
        <v>-810.81</v>
      </c>
      <c r="M49" s="2"/>
      <c r="N49" s="6">
        <f t="shared" si="3"/>
        <v>-0.75398235026084048</v>
      </c>
      <c r="O49" s="14"/>
      <c r="P49" s="2">
        <f>SUM(OSRRefP22_5x_0)</f>
        <v>5342.92</v>
      </c>
      <c r="Q49" s="2"/>
      <c r="R49" s="6">
        <f t="shared" si="4"/>
        <v>4.6056542385411195E-2</v>
      </c>
      <c r="S49" s="2"/>
      <c r="T49" s="2">
        <f>SUM(OSRRefT22_5x_0)</f>
        <v>11829.07</v>
      </c>
      <c r="U49" s="2"/>
      <c r="V49" s="6">
        <f t="shared" si="5"/>
        <v>4.7765852200915004</v>
      </c>
      <c r="W49" s="2"/>
      <c r="X49" s="2">
        <f t="shared" si="6"/>
        <v>-6486.15</v>
      </c>
      <c r="Y49" s="2"/>
      <c r="Z49" s="6">
        <f t="shared" si="7"/>
        <v>-0.54832290281484508</v>
      </c>
    </row>
    <row r="50" spans="1:26" s="69" customFormat="1" ht="15" hidden="1" customHeight="1" outlineLevel="2" x14ac:dyDescent="0.25">
      <c r="A50" s="25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264.56</v>
      </c>
      <c r="E50" s="3"/>
      <c r="F50" s="8">
        <f t="shared" si="0"/>
        <v>1.656907015049696E-2</v>
      </c>
      <c r="G50" s="3"/>
      <c r="H50" s="7">
        <v>1075.3699999999999</v>
      </c>
      <c r="I50" s="3"/>
      <c r="J50" s="8">
        <f t="shared" si="1"/>
        <v>0</v>
      </c>
      <c r="K50" s="3"/>
      <c r="L50" s="7">
        <f t="shared" si="2"/>
        <v>-810.81</v>
      </c>
      <c r="M50" s="3"/>
      <c r="N50" s="8">
        <f t="shared" si="3"/>
        <v>-0.75398235026084048</v>
      </c>
      <c r="O50" s="12"/>
      <c r="P50" s="7">
        <v>5342.92</v>
      </c>
      <c r="Q50" s="3"/>
      <c r="R50" s="8">
        <f t="shared" si="4"/>
        <v>4.6056542385411195E-2</v>
      </c>
      <c r="S50" s="3"/>
      <c r="T50" s="7">
        <v>11829.07</v>
      </c>
      <c r="U50" s="3"/>
      <c r="V50" s="8">
        <f t="shared" si="5"/>
        <v>4.7765852200915004</v>
      </c>
      <c r="W50" s="3"/>
      <c r="X50" s="7">
        <f t="shared" si="6"/>
        <v>-6486.15</v>
      </c>
      <c r="Y50" s="3"/>
      <c r="Z50" s="8">
        <f t="shared" si="7"/>
        <v>-0.54832290281484508</v>
      </c>
    </row>
    <row r="51" spans="1:26" s="68" customFormat="1" ht="15" customHeight="1" outlineLevel="1" collapsed="1" x14ac:dyDescent="0.25">
      <c r="A51" s="26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si="0"/>
        <v>0</v>
      </c>
      <c r="G51" s="2"/>
      <c r="H51" s="2">
        <f>SUM(OSRRefH22_6x_0)</f>
        <v>-646.37</v>
      </c>
      <c r="I51" s="2"/>
      <c r="J51" s="6">
        <f t="shared" si="1"/>
        <v>0</v>
      </c>
      <c r="K51" s="2"/>
      <c r="L51" s="2">
        <f t="shared" si="2"/>
        <v>646.37</v>
      </c>
      <c r="M51" s="2"/>
      <c r="N51" s="6">
        <f t="shared" si="3"/>
        <v>-1</v>
      </c>
      <c r="O51" s="14"/>
      <c r="P51" s="2">
        <f>SUM(OSRRefP22_6x_0)</f>
        <v>1153.93</v>
      </c>
      <c r="Q51" s="2"/>
      <c r="R51" s="6">
        <f t="shared" si="4"/>
        <v>9.9470001337840629E-3</v>
      </c>
      <c r="S51" s="2"/>
      <c r="T51" s="2">
        <f>SUM(OSRRefT22_6x_0)</f>
        <v>1138.94</v>
      </c>
      <c r="U51" s="2"/>
      <c r="V51" s="6">
        <f t="shared" si="5"/>
        <v>0.4599046223051359</v>
      </c>
      <c r="W51" s="2"/>
      <c r="X51" s="2">
        <f t="shared" si="6"/>
        <v>14.990000000000009</v>
      </c>
      <c r="Y51" s="2"/>
      <c r="Z51" s="6">
        <f t="shared" si="7"/>
        <v>1.3161360563330823E-2</v>
      </c>
    </row>
    <row r="52" spans="1:26" s="69" customFormat="1" ht="15" hidden="1" customHeight="1" outlineLevel="2" x14ac:dyDescent="0.25">
      <c r="A52" s="25"/>
      <c r="B52" s="12" t="str">
        <f>CONCATENATE("          ","6279"," - ","GENERAL EXPENSE")</f>
        <v xml:space="preserve">          6279 - GENERAL EXPENSE</v>
      </c>
      <c r="C52" s="12"/>
      <c r="D52" s="7"/>
      <c r="E52" s="3"/>
      <c r="F52" s="8">
        <f t="shared" si="0"/>
        <v>0</v>
      </c>
      <c r="G52" s="3"/>
      <c r="H52" s="7">
        <v>-646.37</v>
      </c>
      <c r="I52" s="3"/>
      <c r="J52" s="8">
        <f t="shared" si="1"/>
        <v>0</v>
      </c>
      <c r="K52" s="3"/>
      <c r="L52" s="7">
        <f t="shared" si="2"/>
        <v>646.37</v>
      </c>
      <c r="M52" s="3"/>
      <c r="N52" s="8">
        <f t="shared" si="3"/>
        <v>-1</v>
      </c>
      <c r="O52" s="12"/>
      <c r="P52" s="7">
        <v>1153.93</v>
      </c>
      <c r="Q52" s="3"/>
      <c r="R52" s="8">
        <f t="shared" si="4"/>
        <v>9.9470001337840629E-3</v>
      </c>
      <c r="S52" s="3"/>
      <c r="T52" s="7">
        <v>1138.94</v>
      </c>
      <c r="U52" s="3"/>
      <c r="V52" s="8">
        <f t="shared" si="5"/>
        <v>0.4599046223051359</v>
      </c>
      <c r="W52" s="3"/>
      <c r="X52" s="7">
        <f t="shared" si="6"/>
        <v>14.990000000000009</v>
      </c>
      <c r="Y52" s="3"/>
      <c r="Z52" s="8">
        <f t="shared" si="7"/>
        <v>1.3161360563330823E-2</v>
      </c>
    </row>
    <row r="53" spans="1:26" s="68" customFormat="1" ht="15" customHeight="1" outlineLevel="1" collapsed="1" x14ac:dyDescent="0.25">
      <c r="A53" s="26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SUM(OSRRefD22_7x_0)</f>
        <v>467.96</v>
      </c>
      <c r="E53" s="2"/>
      <c r="F53" s="6">
        <f t="shared" si="0"/>
        <v>2.9307764089909878E-2</v>
      </c>
      <c r="G53" s="2"/>
      <c r="H53" s="2">
        <f>SUM(OSRRefH22_7x_0)</f>
        <v>0</v>
      </c>
      <c r="I53" s="2"/>
      <c r="J53" s="6">
        <f t="shared" si="1"/>
        <v>0</v>
      </c>
      <c r="K53" s="2"/>
      <c r="L53" s="2">
        <f t="shared" si="2"/>
        <v>467.96</v>
      </c>
      <c r="M53" s="2"/>
      <c r="N53" s="6">
        <f t="shared" si="3"/>
        <v>0</v>
      </c>
      <c r="O53" s="14"/>
      <c r="P53" s="2">
        <f>SUM(OSRRefP22_7x_0)</f>
        <v>2211.25</v>
      </c>
      <c r="Q53" s="2"/>
      <c r="R53" s="6">
        <f t="shared" si="4"/>
        <v>1.9061211725000655E-2</v>
      </c>
      <c r="S53" s="2"/>
      <c r="T53" s="2">
        <f>SUM(OSRRefT22_7x_0)</f>
        <v>540.85</v>
      </c>
      <c r="U53" s="2"/>
      <c r="V53" s="6">
        <f t="shared" si="5"/>
        <v>0.21839553881129187</v>
      </c>
      <c r="W53" s="2"/>
      <c r="X53" s="2">
        <f t="shared" si="6"/>
        <v>1670.4</v>
      </c>
      <c r="Y53" s="2"/>
      <c r="Z53" s="6">
        <f t="shared" si="7"/>
        <v>3.0884718498659516</v>
      </c>
    </row>
    <row r="54" spans="1:26" s="69" customFormat="1" ht="15" hidden="1" customHeight="1" outlineLevel="2" x14ac:dyDescent="0.25">
      <c r="A54" s="25"/>
      <c r="B54" s="12" t="str">
        <f>CONCATENATE("          ","6373"," - ","MAINTENANCE CONTRACTS")</f>
        <v xml:space="preserve">          6373 - MAINTENANCE CONTRACTS</v>
      </c>
      <c r="C54" s="12"/>
      <c r="D54" s="7">
        <v>384.19</v>
      </c>
      <c r="E54" s="3"/>
      <c r="F54" s="8">
        <f t="shared" si="0"/>
        <v>2.4061351153308992E-2</v>
      </c>
      <c r="G54" s="3"/>
      <c r="H54" s="7"/>
      <c r="I54" s="3"/>
      <c r="J54" s="8">
        <f t="shared" si="1"/>
        <v>0</v>
      </c>
      <c r="K54" s="3"/>
      <c r="L54" s="7">
        <f t="shared" si="2"/>
        <v>384.19</v>
      </c>
      <c r="M54" s="3"/>
      <c r="N54" s="8">
        <f t="shared" si="3"/>
        <v>0</v>
      </c>
      <c r="O54" s="12"/>
      <c r="P54" s="7">
        <v>531.95000000000005</v>
      </c>
      <c r="Q54" s="3"/>
      <c r="R54" s="8">
        <f t="shared" si="4"/>
        <v>4.5854659478186998E-3</v>
      </c>
      <c r="S54" s="3"/>
      <c r="T54" s="7">
        <v>223.29</v>
      </c>
      <c r="U54" s="3"/>
      <c r="V54" s="8">
        <f t="shared" si="5"/>
        <v>9.0164629492786086E-2</v>
      </c>
      <c r="W54" s="3"/>
      <c r="X54" s="7">
        <f t="shared" si="6"/>
        <v>308.66000000000008</v>
      </c>
      <c r="Y54" s="3"/>
      <c r="Z54" s="8">
        <f t="shared" si="7"/>
        <v>1.3823279143714455</v>
      </c>
    </row>
    <row r="55" spans="1:26" s="69" customFormat="1" ht="15" hidden="1" customHeight="1" outlineLevel="2" x14ac:dyDescent="0.25">
      <c r="A55" s="25"/>
      <c r="B55" s="12" t="str">
        <f>CONCATENATE("          ","6375"," - ","OUTSIDE REPAIRS &amp; MAINTENANCE")</f>
        <v xml:space="preserve">          6375 - OUTSIDE REPAIRS &amp; MAINTENANCE</v>
      </c>
      <c r="C55" s="12"/>
      <c r="D55" s="7">
        <v>83.77</v>
      </c>
      <c r="E55" s="3"/>
      <c r="F55" s="8">
        <f t="shared" si="0"/>
        <v>5.246412936600886E-3</v>
      </c>
      <c r="G55" s="3"/>
      <c r="H55" s="7"/>
      <c r="I55" s="3"/>
      <c r="J55" s="8">
        <f t="shared" si="1"/>
        <v>0</v>
      </c>
      <c r="K55" s="3"/>
      <c r="L55" s="7">
        <f t="shared" si="2"/>
        <v>83.77</v>
      </c>
      <c r="M55" s="3"/>
      <c r="N55" s="8">
        <f t="shared" si="3"/>
        <v>0</v>
      </c>
      <c r="O55" s="12"/>
      <c r="P55" s="7">
        <v>1679.3</v>
      </c>
      <c r="Q55" s="3"/>
      <c r="R55" s="8">
        <f t="shared" si="4"/>
        <v>1.4475745777181956E-2</v>
      </c>
      <c r="S55" s="3"/>
      <c r="T55" s="7">
        <v>317.56</v>
      </c>
      <c r="U55" s="3"/>
      <c r="V55" s="8">
        <f t="shared" si="5"/>
        <v>0.12823090931850575</v>
      </c>
      <c r="W55" s="3"/>
      <c r="X55" s="7">
        <f t="shared" si="6"/>
        <v>1361.74</v>
      </c>
      <c r="Y55" s="3"/>
      <c r="Z55" s="8">
        <f t="shared" si="7"/>
        <v>4.2881345257589114</v>
      </c>
    </row>
    <row r="56" spans="1:26" s="68" customFormat="1" ht="15" customHeight="1" outlineLevel="1" collapsed="1" x14ac:dyDescent="0.25">
      <c r="A56" s="26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2">
        <f>SUM(OSRRefD22_8x_0)</f>
        <v>0</v>
      </c>
      <c r="E56" s="2"/>
      <c r="F56" s="6">
        <f t="shared" si="0"/>
        <v>0</v>
      </c>
      <c r="G56" s="2"/>
      <c r="H56" s="2">
        <f>SUM(OSRRefH22_8x_0)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SUM(OSRRefP22_8x_0)</f>
        <v>4367.51</v>
      </c>
      <c r="Q56" s="2"/>
      <c r="R56" s="6">
        <f t="shared" si="4"/>
        <v>3.7648403763056018E-2</v>
      </c>
      <c r="S56" s="2"/>
      <c r="T56" s="2">
        <f>SUM(OSRRefT22_8x_0)</f>
        <v>185.7</v>
      </c>
      <c r="U56" s="2"/>
      <c r="V56" s="6">
        <f t="shared" si="5"/>
        <v>7.4985766029873155E-2</v>
      </c>
      <c r="W56" s="2"/>
      <c r="X56" s="2">
        <f t="shared" si="6"/>
        <v>4181.8100000000004</v>
      </c>
      <c r="Y56" s="2"/>
      <c r="Z56" s="6">
        <f t="shared" si="7"/>
        <v>22.519170705438885</v>
      </c>
    </row>
    <row r="57" spans="1:26" s="69" customFormat="1" ht="15" hidden="1" customHeight="1" outlineLevel="2" x14ac:dyDescent="0.25">
      <c r="A57" s="25"/>
      <c r="B57" s="12" t="str">
        <f>CONCATENATE("          ","6254"," - ","ROYALTY &amp; COMMISSIONS")</f>
        <v xml:space="preserve">          6254 - ROYALTY &amp; COMMISSIONS</v>
      </c>
      <c r="C57" s="12"/>
      <c r="D57" s="7"/>
      <c r="E57" s="3"/>
      <c r="F57" s="8">
        <f t="shared" ref="F57:F73" si="8">IF(D$12=0,0,D57/D$12)</f>
        <v>0</v>
      </c>
      <c r="G57" s="3"/>
      <c r="H57" s="7"/>
      <c r="I57" s="3"/>
      <c r="J57" s="8">
        <f t="shared" ref="J57:J73" si="9">IF(H$12=0,0,H57/H$12)</f>
        <v>0</v>
      </c>
      <c r="K57" s="3"/>
      <c r="L57" s="7">
        <f t="shared" ref="L57:L73" si="10">+D57-H57</f>
        <v>0</v>
      </c>
      <c r="M57" s="3"/>
      <c r="N57" s="8">
        <f t="shared" ref="N57:N73" si="11">IF(H57=0,0,L57/H57)</f>
        <v>0</v>
      </c>
      <c r="O57" s="12"/>
      <c r="P57" s="7">
        <v>4367.51</v>
      </c>
      <c r="Q57" s="3"/>
      <c r="R57" s="8">
        <f t="shared" ref="R57:R73" si="12">IF(P$12=0,0,P57/P$12)</f>
        <v>3.7648403763056018E-2</v>
      </c>
      <c r="S57" s="3"/>
      <c r="T57" s="7">
        <v>185.7</v>
      </c>
      <c r="U57" s="3"/>
      <c r="V57" s="8">
        <f t="shared" ref="V57:V73" si="13">IF(T$12=0,0,T57/T$12)</f>
        <v>7.4985766029873155E-2</v>
      </c>
      <c r="W57" s="3"/>
      <c r="X57" s="7">
        <f t="shared" ref="X57:X73" si="14">+P57-T57</f>
        <v>4181.8100000000004</v>
      </c>
      <c r="Y57" s="3"/>
      <c r="Z57" s="8">
        <f t="shared" ref="Z57:Z73" si="15">IF(T57=0,0,X57/T57)</f>
        <v>22.519170705438885</v>
      </c>
    </row>
    <row r="58" spans="1:26" s="68" customFormat="1" ht="15" customHeight="1" outlineLevel="1" collapsed="1" x14ac:dyDescent="0.25">
      <c r="A58" s="26"/>
      <c r="B58" s="14" t="str">
        <f>CONCATENATE("     ","Services                                          ")</f>
        <v xml:space="preserve">     Services                                          </v>
      </c>
      <c r="C58" s="14"/>
      <c r="D58" s="2">
        <f>SUM(OSRRefD22_9x_0)</f>
        <v>0</v>
      </c>
      <c r="E58" s="2"/>
      <c r="F58" s="6">
        <f t="shared" si="8"/>
        <v>0</v>
      </c>
      <c r="G58" s="2"/>
      <c r="H58" s="2">
        <f>SUM(OSRRefH22_9x_0)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SUM(OSRRefP22_9x_0)</f>
        <v>422.24</v>
      </c>
      <c r="Q58" s="2"/>
      <c r="R58" s="6">
        <f t="shared" si="12"/>
        <v>3.6397540028329121E-3</v>
      </c>
      <c r="S58" s="2"/>
      <c r="T58" s="2">
        <f>SUM(OSRRefT22_9x_0)</f>
        <v>-63.319999999999993</v>
      </c>
      <c r="U58" s="2"/>
      <c r="V58" s="6">
        <f t="shared" si="13"/>
        <v>-2.556865215407414E-2</v>
      </c>
      <c r="W58" s="2"/>
      <c r="X58" s="2">
        <f t="shared" si="14"/>
        <v>485.56</v>
      </c>
      <c r="Y58" s="2"/>
      <c r="Z58" s="6">
        <f t="shared" si="15"/>
        <v>-7.6683512318382823</v>
      </c>
    </row>
    <row r="59" spans="1:26" s="69" customFormat="1" ht="15" hidden="1" customHeight="1" outlineLevel="2" x14ac:dyDescent="0.25">
      <c r="A59" s="25"/>
      <c r="B59" s="12" t="str">
        <f>CONCATENATE("          ","6282"," - ","JANITORIAL/EXTERMINATOR EXPENS")</f>
        <v xml:space="preserve">          6282 - JANITORIAL/EXTERMINATOR EXPENS</v>
      </c>
      <c r="C59" s="12"/>
      <c r="D59" s="7"/>
      <c r="E59" s="3"/>
      <c r="F59" s="8">
        <f t="shared" si="8"/>
        <v>0</v>
      </c>
      <c r="G59" s="3"/>
      <c r="H59" s="7"/>
      <c r="I59" s="3"/>
      <c r="J59" s="8">
        <f t="shared" si="9"/>
        <v>0</v>
      </c>
      <c r="K59" s="3"/>
      <c r="L59" s="7">
        <f t="shared" si="10"/>
        <v>0</v>
      </c>
      <c r="M59" s="3"/>
      <c r="N59" s="8">
        <f t="shared" si="11"/>
        <v>0</v>
      </c>
      <c r="O59" s="12"/>
      <c r="P59" s="7"/>
      <c r="Q59" s="3"/>
      <c r="R59" s="8">
        <f t="shared" si="12"/>
        <v>0</v>
      </c>
      <c r="S59" s="3"/>
      <c r="T59" s="7">
        <v>82</v>
      </c>
      <c r="U59" s="3"/>
      <c r="V59" s="8">
        <f t="shared" si="13"/>
        <v>3.3111646819868598E-2</v>
      </c>
      <c r="W59" s="3"/>
      <c r="X59" s="7">
        <f t="shared" si="14"/>
        <v>-82</v>
      </c>
      <c r="Y59" s="3"/>
      <c r="Z59" s="8">
        <f t="shared" si="15"/>
        <v>-1</v>
      </c>
    </row>
    <row r="60" spans="1:26" s="69" customFormat="1" ht="15" hidden="1" customHeight="1" outlineLevel="2" x14ac:dyDescent="0.25">
      <c r="A60" s="25"/>
      <c r="B60" s="12" t="str">
        <f>CONCATENATE("          ","6285"," - ","JANITORIAL SERVICES")</f>
        <v xml:space="preserve">          6285 - JANITORIAL SERVICES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206.4</v>
      </c>
      <c r="Q60" s="3"/>
      <c r="R60" s="8">
        <f t="shared" si="12"/>
        <v>1.7791900961176418E-3</v>
      </c>
      <c r="S60" s="3"/>
      <c r="T60" s="7">
        <v>-145.32</v>
      </c>
      <c r="U60" s="3"/>
      <c r="V60" s="8">
        <f t="shared" si="13"/>
        <v>-5.8680298973942738E-2</v>
      </c>
      <c r="W60" s="3"/>
      <c r="X60" s="7">
        <f t="shared" si="14"/>
        <v>351.72</v>
      </c>
      <c r="Y60" s="3"/>
      <c r="Z60" s="8">
        <f t="shared" si="15"/>
        <v>-2.420313790255987</v>
      </c>
    </row>
    <row r="61" spans="1:26" s="69" customFormat="1" ht="15" hidden="1" customHeight="1" outlineLevel="2" x14ac:dyDescent="0.25">
      <c r="A61" s="25"/>
      <c r="B61" s="12" t="str">
        <f>CONCATENATE("          ","6286"," - ","LAUNDRY EXPENSE")</f>
        <v xml:space="preserve">          6286 - LAUNDRY EXPENSE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215.84</v>
      </c>
      <c r="Q61" s="3"/>
      <c r="R61" s="8">
        <f t="shared" si="12"/>
        <v>1.8605639067152703E-3</v>
      </c>
      <c r="S61" s="3"/>
      <c r="T61" s="7"/>
      <c r="U61" s="3"/>
      <c r="V61" s="8">
        <f t="shared" si="13"/>
        <v>0</v>
      </c>
      <c r="W61" s="3"/>
      <c r="X61" s="7">
        <f t="shared" si="14"/>
        <v>215.84</v>
      </c>
      <c r="Y61" s="3"/>
      <c r="Z61" s="8">
        <f t="shared" si="15"/>
        <v>0</v>
      </c>
    </row>
    <row r="62" spans="1:26" s="68" customFormat="1" ht="15" customHeight="1" outlineLevel="1" collapsed="1" x14ac:dyDescent="0.25">
      <c r="A62" s="26"/>
      <c r="B62" s="14" t="str">
        <f>CONCATENATE("     ","Supplies                                          ")</f>
        <v xml:space="preserve">     Supplies                                          </v>
      </c>
      <c r="C62" s="14"/>
      <c r="D62" s="2">
        <f>SUM(OSRRefD22_10x_0)</f>
        <v>-51.4</v>
      </c>
      <c r="E62" s="2"/>
      <c r="F62" s="6">
        <f t="shared" si="8"/>
        <v>-3.2191193140895971E-3</v>
      </c>
      <c r="G62" s="2"/>
      <c r="H62" s="2">
        <f>SUM(OSRRefH22_10x_0)</f>
        <v>0</v>
      </c>
      <c r="I62" s="2"/>
      <c r="J62" s="6">
        <f t="shared" si="9"/>
        <v>0</v>
      </c>
      <c r="K62" s="2"/>
      <c r="L62" s="2">
        <f t="shared" si="10"/>
        <v>-51.4</v>
      </c>
      <c r="M62" s="2"/>
      <c r="N62" s="6">
        <f t="shared" si="11"/>
        <v>0</v>
      </c>
      <c r="O62" s="14"/>
      <c r="P62" s="2">
        <f>SUM(OSRRefP22_10x_0)</f>
        <v>1478.1000000000001</v>
      </c>
      <c r="Q62" s="2"/>
      <c r="R62" s="6">
        <f t="shared" si="12"/>
        <v>1.274138023774945E-2</v>
      </c>
      <c r="S62" s="2"/>
      <c r="T62" s="2">
        <f>SUM(OSRRefT22_10x_0)</f>
        <v>328.55</v>
      </c>
      <c r="U62" s="2"/>
      <c r="V62" s="6">
        <f t="shared" si="13"/>
        <v>0.13266867759351011</v>
      </c>
      <c r="W62" s="2"/>
      <c r="X62" s="2">
        <f t="shared" si="14"/>
        <v>1149.5500000000002</v>
      </c>
      <c r="Y62" s="2"/>
      <c r="Z62" s="6">
        <f t="shared" si="15"/>
        <v>3.4988586212144273</v>
      </c>
    </row>
    <row r="63" spans="1:26" s="69" customFormat="1" ht="15" hidden="1" customHeight="1" outlineLevel="2" x14ac:dyDescent="0.25">
      <c r="A63" s="25"/>
      <c r="B63" s="12" t="str">
        <f>CONCATENATE("          ","6234"," - ","EXPENDABLE SUPPLIES &amp; EQUIPMEN")</f>
        <v xml:space="preserve">          6234 - EXPENDABLE SUPPLIES &amp; EQUIPMEN</v>
      </c>
      <c r="C63" s="12"/>
      <c r="D63" s="7"/>
      <c r="E63" s="3"/>
      <c r="F63" s="8">
        <f t="shared" si="8"/>
        <v>0</v>
      </c>
      <c r="G63" s="3"/>
      <c r="H63" s="7"/>
      <c r="I63" s="3"/>
      <c r="J63" s="8">
        <f t="shared" si="9"/>
        <v>0</v>
      </c>
      <c r="K63" s="3"/>
      <c r="L63" s="7">
        <f t="shared" si="10"/>
        <v>0</v>
      </c>
      <c r="M63" s="3"/>
      <c r="N63" s="8">
        <f t="shared" si="11"/>
        <v>0</v>
      </c>
      <c r="O63" s="12"/>
      <c r="P63" s="7">
        <v>1194.8900000000001</v>
      </c>
      <c r="Q63" s="3"/>
      <c r="R63" s="8">
        <f t="shared" si="12"/>
        <v>1.0300079718750044E-2</v>
      </c>
      <c r="S63" s="3"/>
      <c r="T63" s="7"/>
      <c r="U63" s="3"/>
      <c r="V63" s="8">
        <f t="shared" si="13"/>
        <v>0</v>
      </c>
      <c r="W63" s="3"/>
      <c r="X63" s="7">
        <f t="shared" si="14"/>
        <v>1194.8900000000001</v>
      </c>
      <c r="Y63" s="3"/>
      <c r="Z63" s="8">
        <f t="shared" si="15"/>
        <v>0</v>
      </c>
    </row>
    <row r="64" spans="1:26" s="69" customFormat="1" ht="15" hidden="1" customHeight="1" outlineLevel="2" x14ac:dyDescent="0.25">
      <c r="A64" s="25"/>
      <c r="B64" s="12" t="str">
        <f>CONCATENATE("          ","6235"," - ","COVID-19 EXPENSES")</f>
        <v xml:space="preserve">          6235 - COVID-19 EXPENSES</v>
      </c>
      <c r="C64" s="12"/>
      <c r="D64" s="7"/>
      <c r="E64" s="3"/>
      <c r="F64" s="8">
        <f t="shared" si="8"/>
        <v>0</v>
      </c>
      <c r="G64" s="3"/>
      <c r="H64" s="7"/>
      <c r="I64" s="3"/>
      <c r="J64" s="8">
        <f t="shared" si="9"/>
        <v>0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/>
      <c r="Q64" s="3"/>
      <c r="R64" s="8">
        <f t="shared" si="12"/>
        <v>0</v>
      </c>
      <c r="S64" s="3"/>
      <c r="T64" s="7">
        <v>207.27</v>
      </c>
      <c r="U64" s="3"/>
      <c r="V64" s="8">
        <f t="shared" si="13"/>
        <v>8.3695744345782502E-2</v>
      </c>
      <c r="W64" s="3"/>
      <c r="X64" s="7">
        <f t="shared" si="14"/>
        <v>-207.27</v>
      </c>
      <c r="Y64" s="3"/>
      <c r="Z64" s="8">
        <f t="shared" si="15"/>
        <v>-1</v>
      </c>
    </row>
    <row r="65" spans="1:26" s="69" customFormat="1" ht="15" hidden="1" customHeight="1" outlineLevel="2" x14ac:dyDescent="0.25">
      <c r="A65" s="25"/>
      <c r="B65" s="12" t="str">
        <f>CONCATENATE("          ","6237"," - ","JANITORIAL SUPPLIES")</f>
        <v xml:space="preserve">          6237 - JANITORIAL SUPPLIES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-51.66</v>
      </c>
      <c r="Q65" s="3"/>
      <c r="R65" s="8">
        <f t="shared" si="12"/>
        <v>-4.4531473045270043E-4</v>
      </c>
      <c r="S65" s="3"/>
      <c r="T65" s="7"/>
      <c r="U65" s="3"/>
      <c r="V65" s="8">
        <f t="shared" si="13"/>
        <v>0</v>
      </c>
      <c r="W65" s="3"/>
      <c r="X65" s="7">
        <f t="shared" si="14"/>
        <v>-51.66</v>
      </c>
      <c r="Y65" s="3"/>
      <c r="Z65" s="8">
        <f t="shared" si="15"/>
        <v>0</v>
      </c>
    </row>
    <row r="66" spans="1:26" s="69" customFormat="1" ht="15" hidden="1" customHeight="1" outlineLevel="2" x14ac:dyDescent="0.25">
      <c r="A66" s="25"/>
      <c r="B66" s="12" t="str">
        <f>CONCATENATE("          ","6241"," - ","OFFICE EXPENSE")</f>
        <v xml:space="preserve">          6241 - OFFICE EXPENSE</v>
      </c>
      <c r="C66" s="12"/>
      <c r="D66" s="7"/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19.940000000000001</v>
      </c>
      <c r="Q66" s="3"/>
      <c r="R66" s="8">
        <f t="shared" si="12"/>
        <v>1.7188493467338071E-4</v>
      </c>
      <c r="S66" s="3"/>
      <c r="T66" s="7"/>
      <c r="U66" s="3"/>
      <c r="V66" s="8">
        <f t="shared" si="13"/>
        <v>0</v>
      </c>
      <c r="W66" s="3"/>
      <c r="X66" s="7">
        <f t="shared" si="14"/>
        <v>19.940000000000001</v>
      </c>
      <c r="Y66" s="3"/>
      <c r="Z66" s="8">
        <f t="shared" si="15"/>
        <v>0</v>
      </c>
    </row>
    <row r="67" spans="1:26" s="69" customFormat="1" ht="15" hidden="1" customHeight="1" outlineLevel="2" x14ac:dyDescent="0.25">
      <c r="A67" s="25"/>
      <c r="B67" s="12" t="str">
        <f>CONCATENATE("          ","6247"," - ","STORE SUPPLIES")</f>
        <v xml:space="preserve">          6247 - STORE SUPPLIES</v>
      </c>
      <c r="C67" s="12"/>
      <c r="D67" s="7">
        <v>-51.4</v>
      </c>
      <c r="E67" s="3"/>
      <c r="F67" s="8">
        <f t="shared" si="8"/>
        <v>-3.2191193140895971E-3</v>
      </c>
      <c r="G67" s="3"/>
      <c r="H67" s="7"/>
      <c r="I67" s="3"/>
      <c r="J67" s="8">
        <f t="shared" si="9"/>
        <v>0</v>
      </c>
      <c r="K67" s="3"/>
      <c r="L67" s="7">
        <f t="shared" si="10"/>
        <v>-51.4</v>
      </c>
      <c r="M67" s="3"/>
      <c r="N67" s="8">
        <f t="shared" si="11"/>
        <v>0</v>
      </c>
      <c r="O67" s="12"/>
      <c r="P67" s="7">
        <v>314.93</v>
      </c>
      <c r="Q67" s="3"/>
      <c r="R67" s="8">
        <f t="shared" si="12"/>
        <v>2.7147303147787255E-3</v>
      </c>
      <c r="S67" s="3"/>
      <c r="T67" s="7">
        <v>121.28</v>
      </c>
      <c r="U67" s="3"/>
      <c r="V67" s="8">
        <f t="shared" si="13"/>
        <v>4.8972933247727606E-2</v>
      </c>
      <c r="W67" s="3"/>
      <c r="X67" s="7">
        <f t="shared" si="14"/>
        <v>193.65</v>
      </c>
      <c r="Y67" s="3"/>
      <c r="Z67" s="8">
        <f t="shared" si="15"/>
        <v>1.5967183377308707</v>
      </c>
    </row>
    <row r="68" spans="1:26" s="68" customFormat="1" ht="15" customHeight="1" outlineLevel="1" collapsed="1" x14ac:dyDescent="0.25">
      <c r="A68" s="26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SUM(OSRRefD22_11x_0)</f>
        <v>126.5</v>
      </c>
      <c r="E68" s="2"/>
      <c r="F68" s="6">
        <f t="shared" si="8"/>
        <v>7.9225407243644751E-3</v>
      </c>
      <c r="G68" s="2"/>
      <c r="H68" s="2">
        <f>SUM(OSRRefH22_11x_0)</f>
        <v>51.5</v>
      </c>
      <c r="I68" s="2"/>
      <c r="J68" s="6">
        <f t="shared" si="9"/>
        <v>0</v>
      </c>
      <c r="K68" s="2"/>
      <c r="L68" s="2">
        <f t="shared" si="10"/>
        <v>75</v>
      </c>
      <c r="M68" s="2"/>
      <c r="N68" s="6">
        <f t="shared" si="11"/>
        <v>1.4563106796116505</v>
      </c>
      <c r="O68" s="14"/>
      <c r="P68" s="2">
        <f>SUM(OSRRefP22_11x_0)</f>
        <v>793</v>
      </c>
      <c r="Q68" s="2"/>
      <c r="R68" s="6">
        <f t="shared" si="12"/>
        <v>6.8357448944829941E-3</v>
      </c>
      <c r="S68" s="2"/>
      <c r="T68" s="2">
        <f>SUM(OSRRefT22_11x_0)</f>
        <v>890</v>
      </c>
      <c r="U68" s="2"/>
      <c r="V68" s="6">
        <f t="shared" si="13"/>
        <v>0.35938250816686651</v>
      </c>
      <c r="W68" s="2"/>
      <c r="X68" s="2">
        <f t="shared" si="14"/>
        <v>-97</v>
      </c>
      <c r="Y68" s="2"/>
      <c r="Z68" s="6">
        <f t="shared" si="15"/>
        <v>-0.10898876404494381</v>
      </c>
    </row>
    <row r="69" spans="1:26" s="69" customFormat="1" ht="15" hidden="1" customHeight="1" outlineLevel="2" x14ac:dyDescent="0.25">
      <c r="A69" s="25"/>
      <c r="B69" s="12" t="str">
        <f>CONCATENATE("          ","6309"," - ","TELEPHONE")</f>
        <v xml:space="preserve">          6309 - TELEPHONE</v>
      </c>
      <c r="C69" s="12"/>
      <c r="D69" s="7">
        <v>126.5</v>
      </c>
      <c r="E69" s="3"/>
      <c r="F69" s="8">
        <f t="shared" si="8"/>
        <v>7.9225407243644751E-3</v>
      </c>
      <c r="G69" s="3"/>
      <c r="H69" s="7">
        <v>51.5</v>
      </c>
      <c r="I69" s="3"/>
      <c r="J69" s="8">
        <f t="shared" si="9"/>
        <v>0</v>
      </c>
      <c r="K69" s="3"/>
      <c r="L69" s="7">
        <f t="shared" si="10"/>
        <v>75</v>
      </c>
      <c r="M69" s="3"/>
      <c r="N69" s="8">
        <f t="shared" si="11"/>
        <v>1.4563106796116505</v>
      </c>
      <c r="O69" s="12"/>
      <c r="P69" s="7">
        <v>793</v>
      </c>
      <c r="Q69" s="3"/>
      <c r="R69" s="8">
        <f t="shared" si="12"/>
        <v>6.8357448944829941E-3</v>
      </c>
      <c r="S69" s="3"/>
      <c r="T69" s="7">
        <v>890</v>
      </c>
      <c r="U69" s="3"/>
      <c r="V69" s="8">
        <f t="shared" si="13"/>
        <v>0.35938250816686651</v>
      </c>
      <c r="W69" s="3"/>
      <c r="X69" s="7">
        <f t="shared" si="14"/>
        <v>-97</v>
      </c>
      <c r="Y69" s="3"/>
      <c r="Z69" s="8">
        <f t="shared" si="15"/>
        <v>-0.10898876404494381</v>
      </c>
    </row>
    <row r="70" spans="1:26" s="68" customFormat="1" ht="15" customHeight="1" outlineLevel="1" collapsed="1" x14ac:dyDescent="0.25">
      <c r="A70" s="26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SUM(OSRRefD22_12x_0)</f>
        <v>0</v>
      </c>
      <c r="E70" s="2"/>
      <c r="F70" s="6">
        <f t="shared" si="8"/>
        <v>0</v>
      </c>
      <c r="G70" s="2"/>
      <c r="H70" s="2">
        <f>SUM(OSRRefH22_12x_0)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SUM(OSRRefP22_12x_0)</f>
        <v>80</v>
      </c>
      <c r="Q70" s="2"/>
      <c r="R70" s="6">
        <f t="shared" si="12"/>
        <v>6.8960856438668287E-4</v>
      </c>
      <c r="S70" s="2"/>
      <c r="T70" s="2">
        <f>SUM(OSRRefT22_12x_0)</f>
        <v>0</v>
      </c>
      <c r="U70" s="2"/>
      <c r="V70" s="6">
        <f t="shared" si="13"/>
        <v>0</v>
      </c>
      <c r="W70" s="2"/>
      <c r="X70" s="2">
        <f t="shared" si="14"/>
        <v>80</v>
      </c>
      <c r="Y70" s="2"/>
      <c r="Z70" s="6">
        <f t="shared" si="15"/>
        <v>0</v>
      </c>
    </row>
    <row r="71" spans="1:26" s="69" customFormat="1" ht="15" hidden="1" customHeight="1" outlineLevel="2" x14ac:dyDescent="0.25">
      <c r="A71" s="25"/>
      <c r="B71" s="12" t="str">
        <f>CONCATENATE("          ","6376"," - ","TRAINING")</f>
        <v xml:space="preserve">          6376 - TRAINING</v>
      </c>
      <c r="C71" s="12"/>
      <c r="D71" s="7"/>
      <c r="E71" s="3"/>
      <c r="F71" s="8">
        <f t="shared" si="8"/>
        <v>0</v>
      </c>
      <c r="G71" s="3"/>
      <c r="H71" s="7"/>
      <c r="I71" s="3"/>
      <c r="J71" s="8">
        <f t="shared" si="9"/>
        <v>0</v>
      </c>
      <c r="K71" s="3"/>
      <c r="L71" s="7">
        <f t="shared" si="10"/>
        <v>0</v>
      </c>
      <c r="M71" s="3"/>
      <c r="N71" s="8">
        <f t="shared" si="11"/>
        <v>0</v>
      </c>
      <c r="O71" s="12"/>
      <c r="P71" s="7">
        <v>80</v>
      </c>
      <c r="Q71" s="3"/>
      <c r="R71" s="8">
        <f t="shared" si="12"/>
        <v>6.8960856438668287E-4</v>
      </c>
      <c r="S71" s="3"/>
      <c r="T71" s="7"/>
      <c r="U71" s="3"/>
      <c r="V71" s="8">
        <f t="shared" si="13"/>
        <v>0</v>
      </c>
      <c r="W71" s="3"/>
      <c r="X71" s="7">
        <f t="shared" si="14"/>
        <v>80</v>
      </c>
      <c r="Y71" s="3"/>
      <c r="Z71" s="8">
        <f t="shared" si="15"/>
        <v>0</v>
      </c>
    </row>
    <row r="72" spans="1:26" s="68" customFormat="1" ht="15" customHeight="1" outlineLevel="1" collapsed="1" x14ac:dyDescent="0.25">
      <c r="A72" s="26"/>
      <c r="B72" s="14" t="str">
        <f>CONCATENATE("     ","Utilities                                         ")</f>
        <v xml:space="preserve">     Utilities                                         </v>
      </c>
      <c r="C72" s="14"/>
      <c r="D72" s="2">
        <f>SUM(OSRRefD22_13x_0)</f>
        <v>0</v>
      </c>
      <c r="E72" s="2"/>
      <c r="F72" s="6">
        <f t="shared" si="8"/>
        <v>0</v>
      </c>
      <c r="G72" s="2"/>
      <c r="H72" s="2">
        <f>SUM(OSRRefH22_13x_0)</f>
        <v>50</v>
      </c>
      <c r="I72" s="2"/>
      <c r="J72" s="6">
        <f t="shared" si="9"/>
        <v>0</v>
      </c>
      <c r="K72" s="2"/>
      <c r="L72" s="2">
        <f t="shared" si="10"/>
        <v>-50</v>
      </c>
      <c r="M72" s="2"/>
      <c r="N72" s="6">
        <f t="shared" si="11"/>
        <v>-1</v>
      </c>
      <c r="O72" s="14"/>
      <c r="P72" s="2">
        <f>SUM(OSRRefP22_13x_0)</f>
        <v>0</v>
      </c>
      <c r="Q72" s="2"/>
      <c r="R72" s="6">
        <f t="shared" si="12"/>
        <v>0</v>
      </c>
      <c r="S72" s="2"/>
      <c r="T72" s="2">
        <f>SUM(OSRRefT22_13x_0)</f>
        <v>550</v>
      </c>
      <c r="U72" s="2"/>
      <c r="V72" s="6">
        <f t="shared" si="13"/>
        <v>0.22209031403570403</v>
      </c>
      <c r="W72" s="2"/>
      <c r="X72" s="2">
        <f t="shared" si="14"/>
        <v>-550</v>
      </c>
      <c r="Y72" s="2"/>
      <c r="Z72" s="6">
        <f t="shared" si="15"/>
        <v>-1</v>
      </c>
    </row>
    <row r="73" spans="1:26" s="69" customFormat="1" ht="15" hidden="1" customHeight="1" outlineLevel="2" x14ac:dyDescent="0.25">
      <c r="A73" s="25"/>
      <c r="B73" s="12" t="str">
        <f>CONCATENATE("          ","6274"," - ","UTILITIES")</f>
        <v xml:space="preserve">          6274 - UTILITIES</v>
      </c>
      <c r="C73" s="12"/>
      <c r="D73" s="7"/>
      <c r="E73" s="3"/>
      <c r="F73" s="8">
        <f t="shared" si="8"/>
        <v>0</v>
      </c>
      <c r="G73" s="3"/>
      <c r="H73" s="7">
        <v>50</v>
      </c>
      <c r="I73" s="3"/>
      <c r="J73" s="8">
        <f t="shared" si="9"/>
        <v>0</v>
      </c>
      <c r="K73" s="3"/>
      <c r="L73" s="7">
        <f t="shared" si="10"/>
        <v>-50</v>
      </c>
      <c r="M73" s="3"/>
      <c r="N73" s="8">
        <f t="shared" si="11"/>
        <v>-1</v>
      </c>
      <c r="O73" s="12"/>
      <c r="P73" s="7"/>
      <c r="Q73" s="3"/>
      <c r="R73" s="8">
        <f t="shared" si="12"/>
        <v>0</v>
      </c>
      <c r="S73" s="3"/>
      <c r="T73" s="7">
        <v>550</v>
      </c>
      <c r="U73" s="3"/>
      <c r="V73" s="8">
        <f t="shared" si="13"/>
        <v>0.22209031403570403</v>
      </c>
      <c r="W73" s="3"/>
      <c r="X73" s="7">
        <f t="shared" si="14"/>
        <v>-550</v>
      </c>
      <c r="Y73" s="3"/>
      <c r="Z73" s="8">
        <f t="shared" si="15"/>
        <v>-1</v>
      </c>
    </row>
    <row r="74" spans="1:26" s="64" customFormat="1" ht="15" customHeight="1" x14ac:dyDescent="0.25">
      <c r="A74" s="36"/>
      <c r="B74" s="36"/>
      <c r="C74" s="36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2" customFormat="1" ht="15" customHeight="1" x14ac:dyDescent="0.25">
      <c r="A75" s="11"/>
      <c r="B75" s="28" t="s">
        <v>290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25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2" customFormat="1" ht="15" customHeight="1" x14ac:dyDescent="0.25">
      <c r="A77" s="11"/>
      <c r="B77" s="27" t="s">
        <v>291</v>
      </c>
      <c r="C77" s="27"/>
      <c r="D77" s="22">
        <f>+D23-D25+D75</f>
        <v>949.04999999999927</v>
      </c>
      <c r="E77" s="15"/>
      <c r="F77" s="23">
        <f>IF(D$12=0,0,D77/D$12)</f>
        <v>5.9437844066862443E-2</v>
      </c>
      <c r="G77" s="15"/>
      <c r="H77" s="22">
        <f>+H23-H25+H75</f>
        <v>-630.44999999999993</v>
      </c>
      <c r="I77" s="15"/>
      <c r="J77" s="23">
        <f>IF(H$12=0,0,H77/H$12)</f>
        <v>0</v>
      </c>
      <c r="K77" s="16"/>
      <c r="L77" s="22">
        <f>+D77-H77</f>
        <v>1579.4999999999991</v>
      </c>
      <c r="M77" s="16"/>
      <c r="N77" s="23">
        <f>IF(H77=0,0,L77/H77)</f>
        <v>-2.5053533190578148</v>
      </c>
      <c r="O77" s="28"/>
      <c r="P77" s="22">
        <f>+P23-P25+P75</f>
        <v>-26623.429999999964</v>
      </c>
      <c r="Q77" s="15"/>
      <c r="R77" s="23">
        <f>IF(P$12=0,0,P77/P$12)</f>
        <v>-0.22949681676686648</v>
      </c>
      <c r="S77" s="15"/>
      <c r="T77" s="22">
        <f>+T23-T25+T75</f>
        <v>-58791.389999999985</v>
      </c>
      <c r="U77" s="15"/>
      <c r="V77" s="23">
        <f>IF(T$12=0,0,T77/T$12)</f>
        <v>-23.739996850355539</v>
      </c>
      <c r="W77" s="16"/>
      <c r="X77" s="22">
        <f>+P77-T77</f>
        <v>32167.960000000021</v>
      </c>
      <c r="Y77" s="16"/>
      <c r="Z77" s="23">
        <f>IF(T77=0,0,X77/T77)</f>
        <v>-0.54715426867777794</v>
      </c>
    </row>
    <row r="78" spans="1:26" ht="15" customHeight="1" x14ac:dyDescent="0.25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25">
      <c r="A79" s="48"/>
      <c r="B79" s="11" t="s">
        <v>292</v>
      </c>
      <c r="C79" s="11"/>
      <c r="D79" s="5">
        <v>1709.22</v>
      </c>
      <c r="E79" s="5"/>
      <c r="F79" s="13">
        <f>IF(D$12=0,0,D79/D$12)</f>
        <v>0.10704636408615216</v>
      </c>
      <c r="G79" s="5"/>
      <c r="H79" s="5">
        <v>11.11</v>
      </c>
      <c r="I79" s="5"/>
      <c r="J79" s="13">
        <f>IF(H$12=0,0,H79/H$12)</f>
        <v>0</v>
      </c>
      <c r="K79" s="5"/>
      <c r="L79" s="5">
        <f>+D79-H79</f>
        <v>1698.1100000000001</v>
      </c>
      <c r="M79" s="5"/>
      <c r="N79" s="13">
        <f>IF(H79=0,0,L79/H79)</f>
        <v>152.84518451845187</v>
      </c>
      <c r="O79" s="11"/>
      <c r="P79" s="5">
        <v>13042.22</v>
      </c>
      <c r="Q79" s="5"/>
      <c r="R79" s="13">
        <f>IF(P$12=0,0,P79/P$12)</f>
        <v>0.11242533263269103</v>
      </c>
      <c r="S79" s="5"/>
      <c r="T79" s="5">
        <v>529.20000000000005</v>
      </c>
      <c r="U79" s="5"/>
      <c r="V79" s="13">
        <f>IF(T$12=0,0,T79/T$12)</f>
        <v>0.2136912621594447</v>
      </c>
      <c r="W79" s="5"/>
      <c r="X79" s="5">
        <f>+P79-T79</f>
        <v>12513.019999999999</v>
      </c>
      <c r="Y79" s="5"/>
      <c r="Z79" s="13">
        <f>IF(T79=0,0,X79/T79)</f>
        <v>23.64516250944822</v>
      </c>
    </row>
    <row r="80" spans="1:26" ht="15" customHeight="1" x14ac:dyDescent="0.25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25">
      <c r="A81" s="11"/>
      <c r="B81" s="27" t="s">
        <v>293</v>
      </c>
      <c r="C81" s="27"/>
      <c r="D81" s="35">
        <f>+D77-D79</f>
        <v>-760.17000000000075</v>
      </c>
      <c r="E81" s="15"/>
      <c r="F81" s="30">
        <f>IF(D$12=0,0,D81/D$12)</f>
        <v>-4.7608520019289717E-2</v>
      </c>
      <c r="G81" s="15"/>
      <c r="H81" s="35">
        <f>+H77-H79</f>
        <v>-641.55999999999995</v>
      </c>
      <c r="I81" s="15"/>
      <c r="J81" s="30">
        <f>IF(H$12=0,0,H81/H$12)</f>
        <v>0</v>
      </c>
      <c r="K81" s="16"/>
      <c r="L81" s="35">
        <f>D81-H81</f>
        <v>-118.61000000000081</v>
      </c>
      <c r="M81" s="16"/>
      <c r="N81" s="30">
        <f>IF(H81=0,0,L81/H81)</f>
        <v>0.18487748612756533</v>
      </c>
      <c r="O81" s="28"/>
      <c r="P81" s="35">
        <f>+P77-P79</f>
        <v>-39665.649999999965</v>
      </c>
      <c r="Q81" s="15"/>
      <c r="R81" s="30">
        <f>IF(P$12=0,0,P81/P$12)</f>
        <v>-0.34192214939955751</v>
      </c>
      <c r="S81" s="15"/>
      <c r="T81" s="35">
        <f>+T77-T79</f>
        <v>-59320.589999999982</v>
      </c>
      <c r="U81" s="15"/>
      <c r="V81" s="30">
        <f>IF(T$12=0,0,T81/T$12)</f>
        <v>-23.953688112514982</v>
      </c>
      <c r="W81" s="16"/>
      <c r="X81" s="35">
        <f>P81-T81</f>
        <v>19654.940000000017</v>
      </c>
      <c r="Y81" s="16"/>
      <c r="Z81" s="30">
        <f>IF(T81=0,0,X81/T81)</f>
        <v>-0.33133419610290493</v>
      </c>
    </row>
    <row r="82" spans="1:26" ht="15" customHeight="1" x14ac:dyDescent="0.25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25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25">
      <c r="A84" s="11"/>
      <c r="B84" s="27" t="s">
        <v>296</v>
      </c>
      <c r="C84" s="27"/>
      <c r="D84" s="32">
        <f>SUM(D81:D83)</f>
        <v>-760.17000000000075</v>
      </c>
      <c r="E84" s="15"/>
      <c r="F84" s="34">
        <f>IF(D$12=0,0,D84/D$12)</f>
        <v>-4.7608520019289717E-2</v>
      </c>
      <c r="G84" s="15"/>
      <c r="H84" s="32">
        <f>SUM(H81:H83)</f>
        <v>-641.55999999999995</v>
      </c>
      <c r="I84" s="15"/>
      <c r="J84" s="34">
        <f>IF(H$12=0,0,H84/H$12)</f>
        <v>0</v>
      </c>
      <c r="K84" s="16"/>
      <c r="L84" s="32">
        <f>+D84-H84</f>
        <v>-118.61000000000081</v>
      </c>
      <c r="M84" s="16"/>
      <c r="N84" s="34">
        <f>IF(H84=0,0,L84/H84)</f>
        <v>0.18487748612756533</v>
      </c>
      <c r="O84" s="28"/>
      <c r="P84" s="32">
        <f>SUM(P81:P83)</f>
        <v>-39665.649999999965</v>
      </c>
      <c r="Q84" s="15"/>
      <c r="R84" s="34">
        <f>IF(P$12=0,0,P84/P$12)</f>
        <v>-0.34192214939955751</v>
      </c>
      <c r="S84" s="15"/>
      <c r="T84" s="32">
        <f>SUM(T81:T83)</f>
        <v>-59320.589999999982</v>
      </c>
      <c r="U84" s="15"/>
      <c r="V84" s="34">
        <f>IF(T$12=0,0,T84/T$12)</f>
        <v>-23.953688112514982</v>
      </c>
      <c r="W84" s="16"/>
      <c r="X84" s="32">
        <f>+P84-T84</f>
        <v>19654.940000000017</v>
      </c>
      <c r="Y84" s="16"/>
      <c r="Z84" s="34">
        <f>IF(T84=0,0,X84/T84)</f>
        <v>-0.33133419610290493</v>
      </c>
    </row>
    <row r="85" spans="1:26" ht="15" customHeight="1" x14ac:dyDescent="0.25">
      <c r="A85" s="10"/>
      <c r="C85" s="10"/>
      <c r="D85" s="18"/>
      <c r="E85" s="18"/>
      <c r="G85" s="18"/>
      <c r="H85" s="18"/>
      <c r="I85" s="18"/>
      <c r="J85" s="41"/>
      <c r="K85" s="18"/>
      <c r="L85" s="18"/>
      <c r="M85" s="18"/>
      <c r="P85" s="18"/>
      <c r="Q85" s="18"/>
      <c r="R85" s="41"/>
      <c r="S85" s="18"/>
      <c r="T85" s="18"/>
      <c r="U85" s="18"/>
      <c r="V85" s="41"/>
      <c r="W85" s="18"/>
      <c r="X85" s="18"/>
    </row>
    <row r="86" spans="1:26" ht="15" customHeight="1" x14ac:dyDescent="0.25">
      <c r="A86" s="10"/>
      <c r="B86" s="50">
        <v>44727.879654085649</v>
      </c>
      <c r="D86" s="18"/>
      <c r="E86" s="18"/>
      <c r="G86" s="18"/>
      <c r="H86" s="18"/>
      <c r="I86" s="18"/>
      <c r="J86" s="41"/>
      <c r="K86" s="18"/>
      <c r="L86" s="18"/>
      <c r="M86" s="18"/>
      <c r="P86" s="18"/>
      <c r="Q86" s="18"/>
      <c r="R86" s="41"/>
      <c r="S86" s="18"/>
      <c r="T86" s="18"/>
      <c r="U86" s="18"/>
      <c r="V86" s="41"/>
      <c r="W86" s="18"/>
      <c r="X86" s="18"/>
    </row>
    <row r="87" spans="1:26" ht="15" customHeight="1" x14ac:dyDescent="0.25">
      <c r="A87" s="10"/>
      <c r="B87" s="53" t="s">
        <v>297</v>
      </c>
      <c r="D87" s="18"/>
      <c r="E87" s="18"/>
      <c r="G87" s="18"/>
      <c r="H87" s="18"/>
      <c r="I87" s="18"/>
      <c r="J87" s="41"/>
      <c r="K87" s="18"/>
      <c r="L87" s="18"/>
      <c r="M87" s="18"/>
      <c r="P87" s="18"/>
      <c r="Q87" s="18"/>
      <c r="R87" s="41"/>
      <c r="S87" s="18"/>
      <c r="T87" s="18"/>
      <c r="U87" s="18"/>
      <c r="V87" s="41"/>
      <c r="W87" s="18"/>
      <c r="X87" s="18"/>
    </row>
    <row r="88" spans="1:26" ht="15" customHeight="1" x14ac:dyDescent="0.25">
      <c r="A88" s="10"/>
      <c r="B88" s="55"/>
      <c r="D88" s="18"/>
      <c r="E88" s="18"/>
      <c r="G88" s="18"/>
      <c r="H88" s="18"/>
      <c r="I88" s="18"/>
      <c r="J88" s="41"/>
      <c r="K88" s="18"/>
      <c r="L88" s="18"/>
      <c r="M88" s="18"/>
      <c r="P88" s="18"/>
      <c r="Q88" s="18"/>
      <c r="R88" s="41"/>
      <c r="S88" s="18"/>
      <c r="T88" s="18"/>
      <c r="U88" s="18"/>
      <c r="V88" s="41"/>
      <c r="W88" s="18"/>
      <c r="X88" s="18"/>
    </row>
    <row r="89" spans="1:26" ht="15" customHeight="1" x14ac:dyDescent="0.25">
      <c r="D89" s="18"/>
      <c r="E89" s="18"/>
      <c r="G89" s="18"/>
      <c r="H89" s="18"/>
      <c r="I89" s="18"/>
      <c r="J89" s="41"/>
      <c r="K89" s="18"/>
      <c r="L89" s="18"/>
      <c r="M89" s="18"/>
      <c r="P89" s="18"/>
      <c r="Q89" s="18"/>
      <c r="R89" s="41"/>
      <c r="S89" s="18"/>
      <c r="T89" s="18"/>
      <c r="U89" s="18"/>
      <c r="V89" s="41"/>
      <c r="W89" s="18"/>
      <c r="X8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F91EC-9049-7846-116B-A28B6021A282}">
  <sheetPr>
    <tabColor rgb="FF92D050"/>
    <outlinePr summaryBelow="0" summaryRight="0"/>
  </sheetPr>
  <dimension ref="A2:Z5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","322"," - ","Beach Hut")</f>
        <v>Department 322 - Beach Hut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25">
      <c r="A14" s="11"/>
      <c r="B14" s="28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-1222.33</v>
      </c>
      <c r="U14" s="5"/>
      <c r="V14" s="13">
        <f>IF(T$12=0,0,T14/T$12)</f>
        <v>0</v>
      </c>
      <c r="W14" s="5"/>
      <c r="X14" s="5">
        <f>+P14-T14</f>
        <v>1222.33</v>
      </c>
      <c r="Y14" s="5"/>
      <c r="Z14" s="13">
        <f>IF(T14=0,0,X14/T14)</f>
        <v>-1</v>
      </c>
    </row>
    <row r="15" spans="1:26" s="69" customFormat="1" ht="15" hidden="1" customHeight="1" outlineLevel="1" x14ac:dyDescent="0.25">
      <c r="A15" s="42"/>
      <c r="B15" s="12" t="str">
        <f>CONCATENATE("          ","5053"," - ","PURCHASES @ COST-FOOD")</f>
        <v xml:space="preserve">          5053 - PURCHASES @ COST-FOOD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/>
      <c r="Q15" s="3"/>
      <c r="R15" s="20">
        <f>IF(P$12=0,0,P15/P$12)</f>
        <v>0</v>
      </c>
      <c r="S15" s="3"/>
      <c r="T15" s="3">
        <v>-1222.33</v>
      </c>
      <c r="U15" s="3"/>
      <c r="V15" s="20">
        <f>IF(T$12=0,0,T15/T$12)</f>
        <v>0</v>
      </c>
      <c r="W15" s="3"/>
      <c r="X15" s="3">
        <f>+P15-T15</f>
        <v>1222.33</v>
      </c>
      <c r="Y15" s="3"/>
      <c r="Z15" s="20">
        <f>IF(T15=0,0,X15/T15)</f>
        <v>-1</v>
      </c>
    </row>
    <row r="16" spans="1:26" ht="15" customHeight="1" x14ac:dyDescent="0.25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25">
      <c r="A17" s="11"/>
      <c r="B17" s="27" t="s">
        <v>288</v>
      </c>
      <c r="C17" s="27"/>
      <c r="D17" s="22">
        <f>D12-D14</f>
        <v>0</v>
      </c>
      <c r="E17" s="15"/>
      <c r="F17" s="23">
        <f>IF(D$12=0,0,D17/D$12)</f>
        <v>0</v>
      </c>
      <c r="G17" s="15"/>
      <c r="H17" s="22">
        <f>H12-H14</f>
        <v>0</v>
      </c>
      <c r="I17" s="15"/>
      <c r="J17" s="23">
        <f>IF(H$12=0,0,H17/H$12)</f>
        <v>0</v>
      </c>
      <c r="K17" s="16"/>
      <c r="L17" s="22">
        <f>+D17-H17</f>
        <v>0</v>
      </c>
      <c r="M17" s="16"/>
      <c r="N17" s="23">
        <f>IF(H17=0,0,L17/H17)</f>
        <v>0</v>
      </c>
      <c r="O17" s="28"/>
      <c r="P17" s="22">
        <f>P12-P14</f>
        <v>0</v>
      </c>
      <c r="Q17" s="15"/>
      <c r="R17" s="23">
        <f>IF(P$12=0,0,P17/P$12)</f>
        <v>0</v>
      </c>
      <c r="S17" s="15"/>
      <c r="T17" s="22">
        <f>T12-T14</f>
        <v>1222.33</v>
      </c>
      <c r="U17" s="15"/>
      <c r="V17" s="23">
        <f>IF(T$12=0,0,T17/T$12)</f>
        <v>0</v>
      </c>
      <c r="W17" s="16"/>
      <c r="X17" s="22">
        <f>+P17-T17</f>
        <v>-1222.33</v>
      </c>
      <c r="Y17" s="16"/>
      <c r="Z17" s="23">
        <f>IF(T17=0,0,X17/T17)</f>
        <v>-1</v>
      </c>
    </row>
    <row r="18" spans="1:26" ht="15" customHeight="1" x14ac:dyDescent="0.25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25">
      <c r="A19" s="11"/>
      <c r="B19" s="28" t="s">
        <v>289</v>
      </c>
      <c r="C19" s="11"/>
      <c r="D19" s="21" cm="1">
        <f t="array" ref="D19">SUM(OSRRefD22x_0)</f>
        <v>0</v>
      </c>
      <c r="E19" s="21"/>
      <c r="F19" s="31">
        <f t="shared" ref="F19:F40" si="0">IF(D$12=0,0,D19/D$12)</f>
        <v>0</v>
      </c>
      <c r="G19" s="21"/>
      <c r="H19" s="21" cm="1">
        <f t="array" ref="H19">SUM(OSRRefH22x_0)</f>
        <v>2225.34</v>
      </c>
      <c r="I19" s="21"/>
      <c r="J19" s="31">
        <f t="shared" ref="J19:J40" si="1">IF(H$12=0,0,H19/H$12)</f>
        <v>0</v>
      </c>
      <c r="K19" s="5"/>
      <c r="L19" s="21">
        <f t="shared" ref="L19:L40" si="2">+D19-H19</f>
        <v>-2225.34</v>
      </c>
      <c r="M19" s="5"/>
      <c r="N19" s="31">
        <f t="shared" ref="N19:N40" si="3">IF(H19=0,0,L19/H19)</f>
        <v>-1</v>
      </c>
      <c r="O19" s="11"/>
      <c r="P19" s="21" cm="1">
        <f t="array" ref="P19">SUM(OSRRefP22x_0)</f>
        <v>0</v>
      </c>
      <c r="Q19" s="21"/>
      <c r="R19" s="31">
        <f t="shared" ref="R19:R40" si="4">IF(P$12=0,0,P19/P$12)</f>
        <v>0</v>
      </c>
      <c r="S19" s="21"/>
      <c r="T19" s="21" cm="1">
        <f t="array" ref="T19">SUM(OSRRefT22x_0)</f>
        <v>26488.340000000004</v>
      </c>
      <c r="U19" s="21"/>
      <c r="V19" s="31">
        <f t="shared" ref="V19:V40" si="5">IF(T$12=0,0,T19/T$12)</f>
        <v>0</v>
      </c>
      <c r="W19" s="5"/>
      <c r="X19" s="21">
        <f t="shared" ref="X19:X40" si="6">+P19-T19</f>
        <v>-26488.340000000004</v>
      </c>
      <c r="Y19" s="5"/>
      <c r="Z19" s="31">
        <f t="shared" ref="Z19:Z40" si="7">IF(T19=0,0,X19/T19)</f>
        <v>-1</v>
      </c>
    </row>
    <row r="20" spans="1:26" s="68" customFormat="1" ht="15" customHeight="1" outlineLevel="1" collapsed="1" x14ac:dyDescent="0.25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0</v>
      </c>
      <c r="E20" s="2"/>
      <c r="F20" s="6">
        <f t="shared" si="0"/>
        <v>0</v>
      </c>
      <c r="G20" s="2"/>
      <c r="H20" s="2">
        <f>SUM(OSRRefH22_0x_0)</f>
        <v>0</v>
      </c>
      <c r="I20" s="2"/>
      <c r="J20" s="6">
        <f t="shared" si="1"/>
        <v>0</v>
      </c>
      <c r="K20" s="2"/>
      <c r="L20" s="2">
        <f t="shared" si="2"/>
        <v>0</v>
      </c>
      <c r="M20" s="2"/>
      <c r="N20" s="6">
        <f t="shared" si="3"/>
        <v>0</v>
      </c>
      <c r="O20" s="14"/>
      <c r="P20" s="2">
        <f>SUM(OSRRefP22_0x_0)</f>
        <v>0</v>
      </c>
      <c r="Q20" s="2"/>
      <c r="R20" s="6">
        <f t="shared" si="4"/>
        <v>0</v>
      </c>
      <c r="S20" s="2"/>
      <c r="T20" s="2">
        <f>SUM(OSRRefT22_0x_0)</f>
        <v>1595.9699999999998</v>
      </c>
      <c r="U20" s="2"/>
      <c r="V20" s="6">
        <f t="shared" si="5"/>
        <v>0</v>
      </c>
      <c r="W20" s="2"/>
      <c r="X20" s="2">
        <f t="shared" si="6"/>
        <v>-1595.9699999999998</v>
      </c>
      <c r="Y20" s="2"/>
      <c r="Z20" s="6">
        <f t="shared" si="7"/>
        <v>-1</v>
      </c>
    </row>
    <row r="21" spans="1:26" s="69" customFormat="1" ht="15" hidden="1" customHeight="1" outlineLevel="2" x14ac:dyDescent="0.25">
      <c r="A21" s="25"/>
      <c r="B21" s="12" t="str">
        <f>CONCATENATE("          ","6111"," - ","F.I.C.A.")</f>
        <v xml:space="preserve">          6111 - F.I.C.A.</v>
      </c>
      <c r="C21" s="12"/>
      <c r="D21" s="7"/>
      <c r="E21" s="3"/>
      <c r="F21" s="8">
        <f t="shared" si="0"/>
        <v>0</v>
      </c>
      <c r="G21" s="3"/>
      <c r="H21" s="7"/>
      <c r="I21" s="3"/>
      <c r="J21" s="8">
        <f t="shared" si="1"/>
        <v>0</v>
      </c>
      <c r="K21" s="3"/>
      <c r="L21" s="7">
        <f t="shared" si="2"/>
        <v>0</v>
      </c>
      <c r="M21" s="3"/>
      <c r="N21" s="8">
        <f t="shared" si="3"/>
        <v>0</v>
      </c>
      <c r="O21" s="12"/>
      <c r="P21" s="7"/>
      <c r="Q21" s="3"/>
      <c r="R21" s="8">
        <f t="shared" si="4"/>
        <v>0</v>
      </c>
      <c r="S21" s="3"/>
      <c r="T21" s="7">
        <v>159.12</v>
      </c>
      <c r="U21" s="3"/>
      <c r="V21" s="8">
        <f t="shared" si="5"/>
        <v>0</v>
      </c>
      <c r="W21" s="3"/>
      <c r="X21" s="7">
        <f t="shared" si="6"/>
        <v>-159.12</v>
      </c>
      <c r="Y21" s="3"/>
      <c r="Z21" s="8">
        <f t="shared" si="7"/>
        <v>-1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/>
      <c r="Q22" s="3"/>
      <c r="R22" s="8">
        <f t="shared" si="4"/>
        <v>0</v>
      </c>
      <c r="S22" s="3"/>
      <c r="T22" s="7">
        <v>683.68</v>
      </c>
      <c r="U22" s="3"/>
      <c r="V22" s="8">
        <f t="shared" si="5"/>
        <v>0</v>
      </c>
      <c r="W22" s="3"/>
      <c r="X22" s="7">
        <f t="shared" si="6"/>
        <v>-683.68</v>
      </c>
      <c r="Y22" s="3"/>
      <c r="Z22" s="8">
        <f t="shared" si="7"/>
        <v>-1</v>
      </c>
    </row>
    <row r="23" spans="1:26" s="69" customFormat="1" ht="15" hidden="1" customHeight="1" outlineLevel="2" x14ac:dyDescent="0.25">
      <c r="A23" s="25"/>
      <c r="B23" s="12" t="str">
        <f>CONCATENATE("          ","6115"," - ","P.E.R.S.")</f>
        <v xml:space="preserve">          6115 - P.E.R.S.</v>
      </c>
      <c r="C23" s="12"/>
      <c r="D23" s="7"/>
      <c r="E23" s="3"/>
      <c r="F23" s="8">
        <f t="shared" si="0"/>
        <v>0</v>
      </c>
      <c r="G23" s="3"/>
      <c r="H23" s="7"/>
      <c r="I23" s="3"/>
      <c r="J23" s="8">
        <f t="shared" si="1"/>
        <v>0</v>
      </c>
      <c r="K23" s="3"/>
      <c r="L23" s="7">
        <f t="shared" si="2"/>
        <v>0</v>
      </c>
      <c r="M23" s="3"/>
      <c r="N23" s="8">
        <f t="shared" si="3"/>
        <v>0</v>
      </c>
      <c r="O23" s="12"/>
      <c r="P23" s="7"/>
      <c r="Q23" s="3"/>
      <c r="R23" s="8">
        <f t="shared" si="4"/>
        <v>0</v>
      </c>
      <c r="S23" s="3"/>
      <c r="T23" s="7">
        <v>321.57</v>
      </c>
      <c r="U23" s="3"/>
      <c r="V23" s="8">
        <f t="shared" si="5"/>
        <v>0</v>
      </c>
      <c r="W23" s="3"/>
      <c r="X23" s="7">
        <f t="shared" si="6"/>
        <v>-321.57</v>
      </c>
      <c r="Y23" s="3"/>
      <c r="Z23" s="8">
        <f t="shared" si="7"/>
        <v>-1</v>
      </c>
    </row>
    <row r="24" spans="1:26" s="69" customFormat="1" ht="15" hidden="1" customHeight="1" outlineLevel="2" x14ac:dyDescent="0.25">
      <c r="A24" s="25"/>
      <c r="B24" s="12" t="str">
        <f>CONCATENATE("          ","6118"," - ","VACATION")</f>
        <v xml:space="preserve">          6118 - VACATION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239.72</v>
      </c>
      <c r="U24" s="3"/>
      <c r="V24" s="8">
        <f t="shared" si="5"/>
        <v>0</v>
      </c>
      <c r="W24" s="3"/>
      <c r="X24" s="7">
        <f t="shared" si="6"/>
        <v>-239.72</v>
      </c>
      <c r="Y24" s="3"/>
      <c r="Z24" s="8">
        <f t="shared" si="7"/>
        <v>-1</v>
      </c>
    </row>
    <row r="25" spans="1:26" s="69" customFormat="1" ht="15" hidden="1" customHeight="1" outlineLevel="2" x14ac:dyDescent="0.25">
      <c r="A25" s="25"/>
      <c r="B25" s="12" t="str">
        <f>CONCATENATE("          ","6119"," - ","SICK LEAVE")</f>
        <v xml:space="preserve">          6119 - SICK LEAVE</v>
      </c>
      <c r="C25" s="12"/>
      <c r="D25" s="7"/>
      <c r="E25" s="3"/>
      <c r="F25" s="8">
        <f t="shared" si="0"/>
        <v>0</v>
      </c>
      <c r="G25" s="3"/>
      <c r="H25" s="7"/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191.88</v>
      </c>
      <c r="U25" s="3"/>
      <c r="V25" s="8">
        <f t="shared" si="5"/>
        <v>0</v>
      </c>
      <c r="W25" s="3"/>
      <c r="X25" s="7">
        <f t="shared" si="6"/>
        <v>-191.88</v>
      </c>
      <c r="Y25" s="3"/>
      <c r="Z25" s="8">
        <f t="shared" si="7"/>
        <v>-1</v>
      </c>
    </row>
    <row r="26" spans="1:26" s="68" customFormat="1" ht="15" customHeight="1" outlineLevel="1" collapsed="1" x14ac:dyDescent="0.25">
      <c r="A26" s="26"/>
      <c r="B26" s="14" t="str">
        <f>CONCATENATE("     ","*Payroll                                          ")</f>
        <v xml:space="preserve">     *Payroll                                          </v>
      </c>
      <c r="C26" s="14"/>
      <c r="D26" s="2">
        <f>SUM(OSRRefD22_1x_0)</f>
        <v>0</v>
      </c>
      <c r="E26" s="2"/>
      <c r="F26" s="6">
        <f t="shared" si="0"/>
        <v>0</v>
      </c>
      <c r="G26" s="2"/>
      <c r="H26" s="2">
        <f>SUM(OSRRefH22_1x_0)</f>
        <v>0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SUM(OSRRefP22_1x_0)</f>
        <v>0</v>
      </c>
      <c r="Q26" s="2"/>
      <c r="R26" s="6">
        <f t="shared" si="4"/>
        <v>0</v>
      </c>
      <c r="S26" s="2"/>
      <c r="T26" s="2">
        <f>SUM(OSRRefT22_1x_0)</f>
        <v>2080</v>
      </c>
      <c r="U26" s="2"/>
      <c r="V26" s="6">
        <f t="shared" si="5"/>
        <v>0</v>
      </c>
      <c r="W26" s="2"/>
      <c r="X26" s="2">
        <f t="shared" si="6"/>
        <v>-2080</v>
      </c>
      <c r="Y26" s="2"/>
      <c r="Z26" s="6">
        <f t="shared" si="7"/>
        <v>-1</v>
      </c>
    </row>
    <row r="27" spans="1:26" s="69" customFormat="1" ht="15" hidden="1" customHeight="1" outlineLevel="2" x14ac:dyDescent="0.25">
      <c r="A27" s="25"/>
      <c r="B27" s="12" t="str">
        <f>CONCATENATE("          ","6002"," - ","STAFF SALARIES")</f>
        <v xml:space="preserve">          6002 - STAFF SALARIES</v>
      </c>
      <c r="C27" s="12"/>
      <c r="D27" s="7"/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2080</v>
      </c>
      <c r="U27" s="3"/>
      <c r="V27" s="8">
        <f t="shared" si="5"/>
        <v>0</v>
      </c>
      <c r="W27" s="3"/>
      <c r="X27" s="7">
        <f t="shared" si="6"/>
        <v>-2080</v>
      </c>
      <c r="Y27" s="3"/>
      <c r="Z27" s="8">
        <f t="shared" si="7"/>
        <v>-1</v>
      </c>
    </row>
    <row r="28" spans="1:26" s="68" customFormat="1" ht="15" customHeight="1" outlineLevel="1" collapsed="1" x14ac:dyDescent="0.25">
      <c r="A28" s="26"/>
      <c r="B28" s="14" t="str">
        <f>CONCATENATE("     ","Depreciation                                      ")</f>
        <v xml:space="preserve">     Depreciation                                      </v>
      </c>
      <c r="C28" s="14"/>
      <c r="D28" s="2">
        <f>SUM(OSRRefD22_2x_0)</f>
        <v>0</v>
      </c>
      <c r="E28" s="2"/>
      <c r="F28" s="6">
        <f t="shared" si="0"/>
        <v>0</v>
      </c>
      <c r="G28" s="2"/>
      <c r="H28" s="2">
        <f>SUM(OSRRefH22_2x_0)</f>
        <v>2017.34</v>
      </c>
      <c r="I28" s="2"/>
      <c r="J28" s="6">
        <f t="shared" si="1"/>
        <v>0</v>
      </c>
      <c r="K28" s="2"/>
      <c r="L28" s="2">
        <f t="shared" si="2"/>
        <v>-2017.34</v>
      </c>
      <c r="M28" s="2"/>
      <c r="N28" s="6">
        <f t="shared" si="3"/>
        <v>-1</v>
      </c>
      <c r="O28" s="14"/>
      <c r="P28" s="2">
        <f>SUM(OSRRefP22_2x_0)</f>
        <v>0</v>
      </c>
      <c r="Q28" s="2"/>
      <c r="R28" s="6">
        <f t="shared" si="4"/>
        <v>0</v>
      </c>
      <c r="S28" s="2"/>
      <c r="T28" s="2">
        <f>SUM(OSRRefT22_2x_0)</f>
        <v>22190.74</v>
      </c>
      <c r="U28" s="2"/>
      <c r="V28" s="6">
        <f t="shared" si="5"/>
        <v>0</v>
      </c>
      <c r="W28" s="2"/>
      <c r="X28" s="2">
        <f t="shared" si="6"/>
        <v>-22190.74</v>
      </c>
      <c r="Y28" s="2"/>
      <c r="Z28" s="6">
        <f t="shared" si="7"/>
        <v>-1</v>
      </c>
    </row>
    <row r="29" spans="1:26" s="69" customFormat="1" ht="15" hidden="1" customHeight="1" outlineLevel="2" x14ac:dyDescent="0.25">
      <c r="A29" s="25"/>
      <c r="B29" s="12" t="str">
        <f>CONCATENATE("          ","6322"," - ","EQUIPMENT DEPRECIATION EXPENSE")</f>
        <v xml:space="preserve">          6322 - EQUIPMENT DEPRECIATION EXPENSE</v>
      </c>
      <c r="C29" s="12"/>
      <c r="D29" s="7"/>
      <c r="E29" s="3"/>
      <c r="F29" s="8">
        <f t="shared" si="0"/>
        <v>0</v>
      </c>
      <c r="G29" s="3"/>
      <c r="H29" s="7">
        <v>2017.34</v>
      </c>
      <c r="I29" s="3"/>
      <c r="J29" s="8">
        <f t="shared" si="1"/>
        <v>0</v>
      </c>
      <c r="K29" s="3"/>
      <c r="L29" s="7">
        <f t="shared" si="2"/>
        <v>-2017.34</v>
      </c>
      <c r="M29" s="3"/>
      <c r="N29" s="8">
        <f t="shared" si="3"/>
        <v>-1</v>
      </c>
      <c r="O29" s="12"/>
      <c r="P29" s="7"/>
      <c r="Q29" s="3"/>
      <c r="R29" s="8">
        <f t="shared" si="4"/>
        <v>0</v>
      </c>
      <c r="S29" s="3"/>
      <c r="T29" s="7">
        <v>22190.74</v>
      </c>
      <c r="U29" s="3"/>
      <c r="V29" s="8">
        <f t="shared" si="5"/>
        <v>0</v>
      </c>
      <c r="W29" s="3"/>
      <c r="X29" s="7">
        <f t="shared" si="6"/>
        <v>-22190.74</v>
      </c>
      <c r="Y29" s="3"/>
      <c r="Z29" s="8">
        <f t="shared" si="7"/>
        <v>-1</v>
      </c>
    </row>
    <row r="30" spans="1:26" s="68" customFormat="1" ht="15" customHeight="1" outlineLevel="1" collapsed="1" x14ac:dyDescent="0.25">
      <c r="A30" s="26"/>
      <c r="B30" s="14" t="str">
        <f>CONCATENATE("     ","Repair and Maintenance                            ")</f>
        <v xml:space="preserve">     Repair and Maintenance                            </v>
      </c>
      <c r="C30" s="14"/>
      <c r="D30" s="2">
        <f>SUM(OSRRefD22_3x_0)</f>
        <v>0</v>
      </c>
      <c r="E30" s="2"/>
      <c r="F30" s="6">
        <f t="shared" si="0"/>
        <v>0</v>
      </c>
      <c r="G30" s="2"/>
      <c r="H30" s="2">
        <f>SUM(OSRRefH22_3x_0)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SUM(OSRRefP22_3x_0)</f>
        <v>0</v>
      </c>
      <c r="Q30" s="2"/>
      <c r="R30" s="6">
        <f t="shared" si="4"/>
        <v>0</v>
      </c>
      <c r="S30" s="2"/>
      <c r="T30" s="2">
        <f>SUM(OSRRefT22_3x_0)</f>
        <v>295.64999999999998</v>
      </c>
      <c r="U30" s="2"/>
      <c r="V30" s="6">
        <f t="shared" si="5"/>
        <v>0</v>
      </c>
      <c r="W30" s="2"/>
      <c r="X30" s="2">
        <f t="shared" si="6"/>
        <v>-295.64999999999998</v>
      </c>
      <c r="Y30" s="2"/>
      <c r="Z30" s="6">
        <f t="shared" si="7"/>
        <v>-1</v>
      </c>
    </row>
    <row r="31" spans="1:26" s="69" customFormat="1" ht="15" hidden="1" customHeight="1" outlineLevel="2" x14ac:dyDescent="0.25">
      <c r="A31" s="25"/>
      <c r="B31" s="12" t="str">
        <f>CONCATENATE("          ","6373"," - ","MAINTENANCE CONTRACTS")</f>
        <v xml:space="preserve">          6373 - MAINTENANCE CONTRACTS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>
        <v>0</v>
      </c>
      <c r="Q31" s="3"/>
      <c r="R31" s="8">
        <f t="shared" si="4"/>
        <v>0</v>
      </c>
      <c r="S31" s="3"/>
      <c r="T31" s="7">
        <v>295.64999999999998</v>
      </c>
      <c r="U31" s="3"/>
      <c r="V31" s="8">
        <f t="shared" si="5"/>
        <v>0</v>
      </c>
      <c r="W31" s="3"/>
      <c r="X31" s="7">
        <f t="shared" si="6"/>
        <v>-295.64999999999998</v>
      </c>
      <c r="Y31" s="3"/>
      <c r="Z31" s="8">
        <f t="shared" si="7"/>
        <v>-1</v>
      </c>
    </row>
    <row r="32" spans="1:26" s="68" customFormat="1" ht="15" customHeight="1" outlineLevel="1" collapsed="1" x14ac:dyDescent="0.25">
      <c r="A32" s="26"/>
      <c r="B32" s="14" t="str">
        <f>CONCATENATE("     ","Services                                          ")</f>
        <v xml:space="preserve">     Services                                          </v>
      </c>
      <c r="C32" s="14"/>
      <c r="D32" s="2">
        <f>SUM(OSRRefD22_4x_0)</f>
        <v>0</v>
      </c>
      <c r="E32" s="2"/>
      <c r="F32" s="6">
        <f t="shared" si="0"/>
        <v>0</v>
      </c>
      <c r="G32" s="2"/>
      <c r="H32" s="2">
        <f>SUM(OSRRefH22_4x_0)</f>
        <v>0</v>
      </c>
      <c r="I32" s="2"/>
      <c r="J32" s="6">
        <f t="shared" si="1"/>
        <v>0</v>
      </c>
      <c r="K32" s="2"/>
      <c r="L32" s="2">
        <f t="shared" si="2"/>
        <v>0</v>
      </c>
      <c r="M32" s="2"/>
      <c r="N32" s="6">
        <f t="shared" si="3"/>
        <v>0</v>
      </c>
      <c r="O32" s="14"/>
      <c r="P32" s="2">
        <f>SUM(OSRRefP22_4x_0)</f>
        <v>0</v>
      </c>
      <c r="Q32" s="2"/>
      <c r="R32" s="6">
        <f t="shared" si="4"/>
        <v>0</v>
      </c>
      <c r="S32" s="2"/>
      <c r="T32" s="2">
        <f>SUM(OSRRefT22_4x_0)</f>
        <v>-1053.52</v>
      </c>
      <c r="U32" s="2"/>
      <c r="V32" s="6">
        <f t="shared" si="5"/>
        <v>0</v>
      </c>
      <c r="W32" s="2"/>
      <c r="X32" s="2">
        <f t="shared" si="6"/>
        <v>1053.52</v>
      </c>
      <c r="Y32" s="2"/>
      <c r="Z32" s="6">
        <f t="shared" si="7"/>
        <v>-1</v>
      </c>
    </row>
    <row r="33" spans="1:26" s="69" customFormat="1" ht="15" hidden="1" customHeight="1" outlineLevel="2" x14ac:dyDescent="0.25">
      <c r="A33" s="25"/>
      <c r="B33" s="12" t="str">
        <f>CONCATENATE("          ","6282"," - ","JANITORIAL/EXTERMINATOR EXPENS")</f>
        <v xml:space="preserve">          6282 - JANITORIAL/EXTERMINATOR EXPENS</v>
      </c>
      <c r="C33" s="12"/>
      <c r="D33" s="7"/>
      <c r="E33" s="3"/>
      <c r="F33" s="8">
        <f t="shared" si="0"/>
        <v>0</v>
      </c>
      <c r="G33" s="3"/>
      <c r="H33" s="7"/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-567.28</v>
      </c>
      <c r="U33" s="3"/>
      <c r="V33" s="8">
        <f t="shared" si="5"/>
        <v>0</v>
      </c>
      <c r="W33" s="3"/>
      <c r="X33" s="7">
        <f t="shared" si="6"/>
        <v>567.28</v>
      </c>
      <c r="Y33" s="3"/>
      <c r="Z33" s="8">
        <f t="shared" si="7"/>
        <v>-1</v>
      </c>
    </row>
    <row r="34" spans="1:26" s="69" customFormat="1" ht="15" hidden="1" customHeight="1" outlineLevel="2" x14ac:dyDescent="0.25">
      <c r="A34" s="25"/>
      <c r="B34" s="12" t="str">
        <f>CONCATENATE("          ","6285"," - ","JANITORIAL SERVICES")</f>
        <v xml:space="preserve">          6285 - JANITORIAL SERVICES</v>
      </c>
      <c r="C34" s="12"/>
      <c r="D34" s="7"/>
      <c r="E34" s="3"/>
      <c r="F34" s="8">
        <f t="shared" si="0"/>
        <v>0</v>
      </c>
      <c r="G34" s="3"/>
      <c r="H34" s="7"/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-486.24</v>
      </c>
      <c r="U34" s="3"/>
      <c r="V34" s="8">
        <f t="shared" si="5"/>
        <v>0</v>
      </c>
      <c r="W34" s="3"/>
      <c r="X34" s="7">
        <f t="shared" si="6"/>
        <v>486.24</v>
      </c>
      <c r="Y34" s="3"/>
      <c r="Z34" s="8">
        <f t="shared" si="7"/>
        <v>-1</v>
      </c>
    </row>
    <row r="35" spans="1:26" s="68" customFormat="1" ht="15" customHeight="1" outlineLevel="1" collapsed="1" x14ac:dyDescent="0.25">
      <c r="A35" s="26"/>
      <c r="B35" s="14" t="str">
        <f>CONCATENATE("     ","Supplies                                          ")</f>
        <v xml:space="preserve">     Supplies                                          </v>
      </c>
      <c r="C35" s="14"/>
      <c r="D35" s="2">
        <f>SUM(OSRRefD22_5x_0)</f>
        <v>0</v>
      </c>
      <c r="E35" s="2"/>
      <c r="F35" s="6">
        <f t="shared" si="0"/>
        <v>0</v>
      </c>
      <c r="G35" s="2"/>
      <c r="H35" s="2">
        <f>SUM(OSRRefH22_5x_0)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SUM(OSRRefP22_5x_0)</f>
        <v>0</v>
      </c>
      <c r="Q35" s="2"/>
      <c r="R35" s="6">
        <f t="shared" si="4"/>
        <v>0</v>
      </c>
      <c r="S35" s="2"/>
      <c r="T35" s="2">
        <f>SUM(OSRRefT22_5x_0)</f>
        <v>131.30000000000001</v>
      </c>
      <c r="U35" s="2"/>
      <c r="V35" s="6">
        <f t="shared" si="5"/>
        <v>0</v>
      </c>
      <c r="W35" s="2"/>
      <c r="X35" s="2">
        <f t="shared" si="6"/>
        <v>-131.30000000000001</v>
      </c>
      <c r="Y35" s="2"/>
      <c r="Z35" s="6">
        <f t="shared" si="7"/>
        <v>-1</v>
      </c>
    </row>
    <row r="36" spans="1:26" s="69" customFormat="1" ht="15" hidden="1" customHeight="1" outlineLevel="2" x14ac:dyDescent="0.25">
      <c r="A36" s="25"/>
      <c r="B36" s="12" t="str">
        <f>CONCATENATE("          ","6241"," - ","OFFICE EXPENSE")</f>
        <v xml:space="preserve">          6241 - OFFICE EXPENSE</v>
      </c>
      <c r="C36" s="12"/>
      <c r="D36" s="7"/>
      <c r="E36" s="3"/>
      <c r="F36" s="8">
        <f t="shared" si="0"/>
        <v>0</v>
      </c>
      <c r="G36" s="3"/>
      <c r="H36" s="7"/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131.30000000000001</v>
      </c>
      <c r="U36" s="3"/>
      <c r="V36" s="8">
        <f t="shared" si="5"/>
        <v>0</v>
      </c>
      <c r="W36" s="3"/>
      <c r="X36" s="7">
        <f t="shared" si="6"/>
        <v>-131.30000000000001</v>
      </c>
      <c r="Y36" s="3"/>
      <c r="Z36" s="8">
        <f t="shared" si="7"/>
        <v>-1</v>
      </c>
    </row>
    <row r="37" spans="1:26" s="68" customFormat="1" ht="15" customHeight="1" outlineLevel="1" collapsed="1" x14ac:dyDescent="0.25">
      <c r="A37" s="26"/>
      <c r="B37" s="14" t="str">
        <f>CONCATENATE("     ","Telephone/Data Lines                              ")</f>
        <v xml:space="preserve">     Telephone/Data Lines                              </v>
      </c>
      <c r="C37" s="14"/>
      <c r="D37" s="2">
        <f>SUM(OSRRefD22_6x_0)</f>
        <v>0</v>
      </c>
      <c r="E37" s="2"/>
      <c r="F37" s="6">
        <f t="shared" si="0"/>
        <v>0</v>
      </c>
      <c r="G37" s="2"/>
      <c r="H37" s="2">
        <f>SUM(OSRRefH22_6x_0)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SUM(OSRRefP22_6x_0)</f>
        <v>0</v>
      </c>
      <c r="Q37" s="2"/>
      <c r="R37" s="6">
        <f t="shared" si="4"/>
        <v>0</v>
      </c>
      <c r="S37" s="2"/>
      <c r="T37" s="2">
        <f>SUM(OSRRefT22_6x_0)</f>
        <v>85.2</v>
      </c>
      <c r="U37" s="2"/>
      <c r="V37" s="6">
        <f t="shared" si="5"/>
        <v>0</v>
      </c>
      <c r="W37" s="2"/>
      <c r="X37" s="2">
        <f t="shared" si="6"/>
        <v>-85.2</v>
      </c>
      <c r="Y37" s="2"/>
      <c r="Z37" s="6">
        <f t="shared" si="7"/>
        <v>-1</v>
      </c>
    </row>
    <row r="38" spans="1:26" s="69" customFormat="1" ht="15" hidden="1" customHeight="1" outlineLevel="2" x14ac:dyDescent="0.25">
      <c r="A38" s="25"/>
      <c r="B38" s="12" t="str">
        <f>CONCATENATE("          ","6309"," - ","TELEPHONE")</f>
        <v xml:space="preserve">          6309 - TELEPHONE</v>
      </c>
      <c r="C38" s="12"/>
      <c r="D38" s="7"/>
      <c r="E38" s="3"/>
      <c r="F38" s="8">
        <f t="shared" si="0"/>
        <v>0</v>
      </c>
      <c r="G38" s="3"/>
      <c r="H38" s="7"/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85.2</v>
      </c>
      <c r="U38" s="3"/>
      <c r="V38" s="8">
        <f t="shared" si="5"/>
        <v>0</v>
      </c>
      <c r="W38" s="3"/>
      <c r="X38" s="7">
        <f t="shared" si="6"/>
        <v>-85.2</v>
      </c>
      <c r="Y38" s="3"/>
      <c r="Z38" s="8">
        <f t="shared" si="7"/>
        <v>-1</v>
      </c>
    </row>
    <row r="39" spans="1:26" s="68" customFormat="1" ht="15" customHeight="1" outlineLevel="1" collapsed="1" x14ac:dyDescent="0.25">
      <c r="A39" s="26"/>
      <c r="B39" s="14" t="str">
        <f>CONCATENATE("     ","Utilities                                         ")</f>
        <v xml:space="preserve">     Utilities                                         </v>
      </c>
      <c r="C39" s="14"/>
      <c r="D39" s="2">
        <f>SUM(OSRRefD22_7x_0)</f>
        <v>0</v>
      </c>
      <c r="E39" s="2"/>
      <c r="F39" s="6">
        <f t="shared" si="0"/>
        <v>0</v>
      </c>
      <c r="G39" s="2"/>
      <c r="H39" s="2">
        <f>SUM(OSRRefH22_7x_0)</f>
        <v>208</v>
      </c>
      <c r="I39" s="2"/>
      <c r="J39" s="6">
        <f t="shared" si="1"/>
        <v>0</v>
      </c>
      <c r="K39" s="2"/>
      <c r="L39" s="2">
        <f t="shared" si="2"/>
        <v>-208</v>
      </c>
      <c r="M39" s="2"/>
      <c r="N39" s="6">
        <f t="shared" si="3"/>
        <v>-1</v>
      </c>
      <c r="O39" s="14"/>
      <c r="P39" s="2">
        <f>SUM(OSRRefP22_7x_0)</f>
        <v>0</v>
      </c>
      <c r="Q39" s="2"/>
      <c r="R39" s="6">
        <f t="shared" si="4"/>
        <v>0</v>
      </c>
      <c r="S39" s="2"/>
      <c r="T39" s="2">
        <f>SUM(OSRRefT22_7x_0)</f>
        <v>1163</v>
      </c>
      <c r="U39" s="2"/>
      <c r="V39" s="6">
        <f t="shared" si="5"/>
        <v>0</v>
      </c>
      <c r="W39" s="2"/>
      <c r="X39" s="2">
        <f t="shared" si="6"/>
        <v>-1163</v>
      </c>
      <c r="Y39" s="2"/>
      <c r="Z39" s="6">
        <f t="shared" si="7"/>
        <v>-1</v>
      </c>
    </row>
    <row r="40" spans="1:26" s="69" customFormat="1" ht="15" hidden="1" customHeight="1" outlineLevel="2" x14ac:dyDescent="0.25">
      <c r="A40" s="25"/>
      <c r="B40" s="12" t="str">
        <f>CONCATENATE("          ","6274"," - ","UTILITIES")</f>
        <v xml:space="preserve">          6274 - UTILITIES</v>
      </c>
      <c r="C40" s="12"/>
      <c r="D40" s="7"/>
      <c r="E40" s="3"/>
      <c r="F40" s="8">
        <f t="shared" si="0"/>
        <v>0</v>
      </c>
      <c r="G40" s="3"/>
      <c r="H40" s="7">
        <v>208</v>
      </c>
      <c r="I40" s="3"/>
      <c r="J40" s="8">
        <f t="shared" si="1"/>
        <v>0</v>
      </c>
      <c r="K40" s="3"/>
      <c r="L40" s="7">
        <f t="shared" si="2"/>
        <v>-208</v>
      </c>
      <c r="M40" s="3"/>
      <c r="N40" s="8">
        <f t="shared" si="3"/>
        <v>-1</v>
      </c>
      <c r="O40" s="12"/>
      <c r="P40" s="7"/>
      <c r="Q40" s="3"/>
      <c r="R40" s="8">
        <f t="shared" si="4"/>
        <v>0</v>
      </c>
      <c r="S40" s="3"/>
      <c r="T40" s="7">
        <v>1163</v>
      </c>
      <c r="U40" s="3"/>
      <c r="V40" s="8">
        <f t="shared" si="5"/>
        <v>0</v>
      </c>
      <c r="W40" s="3"/>
      <c r="X40" s="7">
        <f t="shared" si="6"/>
        <v>-1163</v>
      </c>
      <c r="Y40" s="3"/>
      <c r="Z40" s="8">
        <f t="shared" si="7"/>
        <v>-1</v>
      </c>
    </row>
    <row r="41" spans="1:26" s="64" customFormat="1" ht="15" customHeight="1" x14ac:dyDescent="0.25">
      <c r="A41" s="36"/>
      <c r="B41" s="36"/>
      <c r="C41" s="36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2" customFormat="1" ht="15" customHeight="1" x14ac:dyDescent="0.25">
      <c r="A42" s="11"/>
      <c r="B42" s="28" t="s">
        <v>290</v>
      </c>
      <c r="C42" s="11"/>
      <c r="D42" s="5">
        <f>SUM(0)</f>
        <v>0</v>
      </c>
      <c r="E42" s="5"/>
      <c r="F42" s="13">
        <f>IF(D$12=0,0,D42/D$12)</f>
        <v>0</v>
      </c>
      <c r="G42" s="5"/>
      <c r="H42" s="5">
        <f>SUM(0)</f>
        <v>0</v>
      </c>
      <c r="I42" s="5"/>
      <c r="J42" s="13">
        <f>IF(H$12=0,0,H42/H$12)</f>
        <v>0</v>
      </c>
      <c r="K42" s="5"/>
      <c r="L42" s="5">
        <f>+D42-H42</f>
        <v>0</v>
      </c>
      <c r="M42" s="5"/>
      <c r="N42" s="13">
        <f>IF(H42=0,0,L42/H42)</f>
        <v>0</v>
      </c>
      <c r="O42" s="11"/>
      <c r="P42" s="5">
        <f>SUM(0)</f>
        <v>0</v>
      </c>
      <c r="Q42" s="5"/>
      <c r="R42" s="13">
        <f>IF(P$12=0,0,P42/P$12)</f>
        <v>0</v>
      </c>
      <c r="S42" s="5"/>
      <c r="T42" s="5">
        <f>SUM(0)</f>
        <v>0</v>
      </c>
      <c r="U42" s="5"/>
      <c r="V42" s="13">
        <f>IF(T$12=0,0,T42/T$12)</f>
        <v>0</v>
      </c>
      <c r="W42" s="5"/>
      <c r="X42" s="5">
        <f>+P42-T42</f>
        <v>0</v>
      </c>
      <c r="Y42" s="5"/>
      <c r="Z42" s="13">
        <f>IF(T42=0,0,X42/T42)</f>
        <v>0</v>
      </c>
    </row>
    <row r="43" spans="1:26" ht="15" customHeight="1" x14ac:dyDescent="0.25">
      <c r="A43" s="10"/>
      <c r="B43" s="11"/>
      <c r="C43" s="11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O43" s="11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s="62" customFormat="1" ht="15" customHeight="1" x14ac:dyDescent="0.25">
      <c r="A44" s="11"/>
      <c r="B44" s="27" t="s">
        <v>291</v>
      </c>
      <c r="C44" s="27"/>
      <c r="D44" s="22">
        <f>+D17-D19+D42</f>
        <v>0</v>
      </c>
      <c r="E44" s="15"/>
      <c r="F44" s="23">
        <f>IF(D$12=0,0,D44/D$12)</f>
        <v>0</v>
      </c>
      <c r="G44" s="15"/>
      <c r="H44" s="22">
        <f>+H17-H19+H42</f>
        <v>-2225.34</v>
      </c>
      <c r="I44" s="15"/>
      <c r="J44" s="23">
        <f>IF(H$12=0,0,H44/H$12)</f>
        <v>0</v>
      </c>
      <c r="K44" s="16"/>
      <c r="L44" s="22">
        <f>+D44-H44</f>
        <v>2225.34</v>
      </c>
      <c r="M44" s="16"/>
      <c r="N44" s="23">
        <f>IF(H44=0,0,L44/H44)</f>
        <v>-1</v>
      </c>
      <c r="O44" s="28"/>
      <c r="P44" s="22">
        <f>+P17-P19+P42</f>
        <v>0</v>
      </c>
      <c r="Q44" s="15"/>
      <c r="R44" s="23">
        <f>IF(P$12=0,0,P44/P$12)</f>
        <v>0</v>
      </c>
      <c r="S44" s="15"/>
      <c r="T44" s="22">
        <f>+T17-T19+T42</f>
        <v>-25266.010000000002</v>
      </c>
      <c r="U44" s="15"/>
      <c r="V44" s="23">
        <f>IF(T$12=0,0,T44/T$12)</f>
        <v>0</v>
      </c>
      <c r="W44" s="16"/>
      <c r="X44" s="22">
        <f>+P44-T44</f>
        <v>25266.010000000002</v>
      </c>
      <c r="Y44" s="16"/>
      <c r="Z44" s="23">
        <f>IF(T44=0,0,X44/T44)</f>
        <v>-1</v>
      </c>
    </row>
    <row r="45" spans="1:26" ht="15" customHeight="1" x14ac:dyDescent="0.25">
      <c r="A45" s="10"/>
      <c r="B45" s="11"/>
      <c r="C45" s="10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25">
      <c r="A46" s="48"/>
      <c r="B46" s="11" t="s">
        <v>292</v>
      </c>
      <c r="C46" s="11"/>
      <c r="D46" s="5"/>
      <c r="E46" s="5"/>
      <c r="F46" s="13">
        <f>IF(D$12=0,0,D46/D$12)</f>
        <v>0</v>
      </c>
      <c r="G46" s="5"/>
      <c r="H46" s="5"/>
      <c r="I46" s="5"/>
      <c r="J46" s="13">
        <f>IF(H$12=0,0,H46/H$12)</f>
        <v>0</v>
      </c>
      <c r="K46" s="5"/>
      <c r="L46" s="5">
        <f>+D46-H46</f>
        <v>0</v>
      </c>
      <c r="M46" s="5"/>
      <c r="N46" s="13">
        <f>IF(H46=0,0,L46/H46)</f>
        <v>0</v>
      </c>
      <c r="O46" s="11"/>
      <c r="P46" s="5"/>
      <c r="Q46" s="5"/>
      <c r="R46" s="13">
        <f>IF(P$12=0,0,P46/P$12)</f>
        <v>0</v>
      </c>
      <c r="S46" s="5"/>
      <c r="T46" s="5"/>
      <c r="U46" s="5"/>
      <c r="V46" s="13">
        <f>IF(T$12=0,0,T46/T$12)</f>
        <v>0</v>
      </c>
      <c r="W46" s="5"/>
      <c r="X46" s="5">
        <f>+P46-T46</f>
        <v>0</v>
      </c>
      <c r="Y46" s="5"/>
      <c r="Z46" s="13">
        <f>IF(T46=0,0,X46/T46)</f>
        <v>0</v>
      </c>
    </row>
    <row r="47" spans="1:26" ht="15" customHeight="1" x14ac:dyDescent="0.25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25">
      <c r="A48" s="11"/>
      <c r="B48" s="27" t="s">
        <v>293</v>
      </c>
      <c r="C48" s="27"/>
      <c r="D48" s="35">
        <f>+D44-D46</f>
        <v>0</v>
      </c>
      <c r="E48" s="15"/>
      <c r="F48" s="30">
        <f>IF(D$12=0,0,D48/D$12)</f>
        <v>0</v>
      </c>
      <c r="G48" s="15"/>
      <c r="H48" s="35">
        <f>+H44-H46</f>
        <v>-2225.34</v>
      </c>
      <c r="I48" s="15"/>
      <c r="J48" s="30">
        <f>IF(H$12=0,0,H48/H$12)</f>
        <v>0</v>
      </c>
      <c r="K48" s="16"/>
      <c r="L48" s="35">
        <f>D48-H48</f>
        <v>2225.34</v>
      </c>
      <c r="M48" s="16"/>
      <c r="N48" s="30">
        <f>IF(H48=0,0,L48/H48)</f>
        <v>-1</v>
      </c>
      <c r="O48" s="28"/>
      <c r="P48" s="35">
        <f>+P44-P46</f>
        <v>0</v>
      </c>
      <c r="Q48" s="15"/>
      <c r="R48" s="30">
        <f>IF(P$12=0,0,P48/P$12)</f>
        <v>0</v>
      </c>
      <c r="S48" s="15"/>
      <c r="T48" s="35">
        <f>+T44-T46</f>
        <v>-25266.010000000002</v>
      </c>
      <c r="U48" s="15"/>
      <c r="V48" s="30">
        <f>IF(T$12=0,0,T48/T$12)</f>
        <v>0</v>
      </c>
      <c r="W48" s="16"/>
      <c r="X48" s="35">
        <f>P48-T48</f>
        <v>25266.010000000002</v>
      </c>
      <c r="Y48" s="16"/>
      <c r="Z48" s="30">
        <f>IF(T48=0,0,X48/T48)</f>
        <v>-1</v>
      </c>
    </row>
    <row r="49" spans="1:26" ht="15" customHeight="1" x14ac:dyDescent="0.25">
      <c r="A49" s="10"/>
      <c r="B49" s="10"/>
      <c r="C49" s="10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ht="15" customHeight="1" x14ac:dyDescent="0.25">
      <c r="A50" s="10"/>
      <c r="B50" s="10"/>
      <c r="C50" s="10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25">
      <c r="A51" s="11"/>
      <c r="B51" s="27" t="s">
        <v>296</v>
      </c>
      <c r="C51" s="27"/>
      <c r="D51" s="32">
        <f>SUM(D48:D50)</f>
        <v>0</v>
      </c>
      <c r="E51" s="15"/>
      <c r="F51" s="34">
        <f>IF(D$12=0,0,D51/D$12)</f>
        <v>0</v>
      </c>
      <c r="G51" s="15"/>
      <c r="H51" s="32">
        <f>SUM(H48:H50)</f>
        <v>-2225.34</v>
      </c>
      <c r="I51" s="15"/>
      <c r="J51" s="34">
        <f>IF(H$12=0,0,H51/H$12)</f>
        <v>0</v>
      </c>
      <c r="K51" s="16"/>
      <c r="L51" s="32">
        <f>+D51-H51</f>
        <v>2225.34</v>
      </c>
      <c r="M51" s="16"/>
      <c r="N51" s="34">
        <f>IF(H51=0,0,L51/H51)</f>
        <v>-1</v>
      </c>
      <c r="O51" s="28"/>
      <c r="P51" s="32">
        <f>SUM(P48:P50)</f>
        <v>0</v>
      </c>
      <c r="Q51" s="15"/>
      <c r="R51" s="34">
        <f>IF(P$12=0,0,P51/P$12)</f>
        <v>0</v>
      </c>
      <c r="S51" s="15"/>
      <c r="T51" s="32">
        <f>SUM(T48:T50)</f>
        <v>-25266.010000000002</v>
      </c>
      <c r="U51" s="15"/>
      <c r="V51" s="34">
        <f>IF(T$12=0,0,T51/T$12)</f>
        <v>0</v>
      </c>
      <c r="W51" s="16"/>
      <c r="X51" s="32">
        <f>+P51-T51</f>
        <v>25266.010000000002</v>
      </c>
      <c r="Y51" s="16"/>
      <c r="Z51" s="34">
        <f>IF(T51=0,0,X51/T51)</f>
        <v>-1</v>
      </c>
    </row>
    <row r="52" spans="1:26" ht="15" customHeight="1" x14ac:dyDescent="0.25">
      <c r="A52" s="10"/>
      <c r="C52" s="10"/>
      <c r="D52" s="18"/>
      <c r="E52" s="18"/>
      <c r="G52" s="18"/>
      <c r="H52" s="18"/>
      <c r="I52" s="18"/>
      <c r="J52" s="41"/>
      <c r="K52" s="18"/>
      <c r="L52" s="18"/>
      <c r="M52" s="18"/>
      <c r="P52" s="18"/>
      <c r="Q52" s="18"/>
      <c r="R52" s="41"/>
      <c r="S52" s="18"/>
      <c r="T52" s="18"/>
      <c r="U52" s="18"/>
      <c r="V52" s="41"/>
      <c r="W52" s="18"/>
      <c r="X52" s="18"/>
    </row>
    <row r="53" spans="1:26" ht="15" customHeight="1" x14ac:dyDescent="0.25">
      <c r="A53" s="10"/>
      <c r="B53" s="50">
        <v>44727.879654085649</v>
      </c>
      <c r="D53" s="18"/>
      <c r="E53" s="18"/>
      <c r="G53" s="18"/>
      <c r="H53" s="18"/>
      <c r="I53" s="18"/>
      <c r="J53" s="41"/>
      <c r="K53" s="18"/>
      <c r="L53" s="18"/>
      <c r="M53" s="18"/>
      <c r="P53" s="18"/>
      <c r="Q53" s="18"/>
      <c r="R53" s="41"/>
      <c r="S53" s="18"/>
      <c r="T53" s="18"/>
      <c r="U53" s="18"/>
      <c r="V53" s="41"/>
      <c r="W53" s="18"/>
      <c r="X53" s="18"/>
    </row>
    <row r="54" spans="1:26" ht="15" customHeight="1" x14ac:dyDescent="0.25">
      <c r="A54" s="10"/>
      <c r="B54" s="53" t="s">
        <v>297</v>
      </c>
      <c r="D54" s="18"/>
      <c r="E54" s="18"/>
      <c r="G54" s="18"/>
      <c r="H54" s="18"/>
      <c r="I54" s="18"/>
      <c r="J54" s="41"/>
      <c r="K54" s="18"/>
      <c r="L54" s="18"/>
      <c r="M54" s="18"/>
      <c r="P54" s="18"/>
      <c r="Q54" s="18"/>
      <c r="R54" s="41"/>
      <c r="S54" s="18"/>
      <c r="T54" s="18"/>
      <c r="U54" s="18"/>
      <c r="V54" s="41"/>
      <c r="W54" s="18"/>
      <c r="X54" s="18"/>
    </row>
    <row r="55" spans="1:26" ht="15" customHeight="1" x14ac:dyDescent="0.25">
      <c r="A55" s="10"/>
      <c r="B55" s="55"/>
      <c r="D55" s="18"/>
      <c r="E55" s="18"/>
      <c r="G55" s="18"/>
      <c r="H55" s="18"/>
      <c r="I55" s="18"/>
      <c r="J55" s="41"/>
      <c r="K55" s="18"/>
      <c r="L55" s="18"/>
      <c r="M55" s="18"/>
      <c r="P55" s="18"/>
      <c r="Q55" s="18"/>
      <c r="R55" s="41"/>
      <c r="S55" s="18"/>
      <c r="T55" s="18"/>
      <c r="U55" s="18"/>
      <c r="V55" s="41"/>
      <c r="W55" s="18"/>
      <c r="X55" s="18"/>
    </row>
    <row r="56" spans="1:26" ht="15" customHeight="1" x14ac:dyDescent="0.25">
      <c r="D56" s="18"/>
      <c r="E56" s="18"/>
      <c r="G56" s="18"/>
      <c r="H56" s="18"/>
      <c r="I56" s="18"/>
      <c r="J56" s="41"/>
      <c r="K56" s="18"/>
      <c r="L56" s="18"/>
      <c r="M56" s="18"/>
      <c r="P56" s="18"/>
      <c r="Q56" s="18"/>
      <c r="R56" s="41"/>
      <c r="S56" s="18"/>
      <c r="T56" s="18"/>
      <c r="U56" s="18"/>
      <c r="V56" s="41"/>
      <c r="W56" s="18"/>
      <c r="X5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2075-E0AA-2C47-629D-6FEEBA4BFD4C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298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380C9-295B-F43C-B29E-B1A513360966}">
  <sheetPr>
    <tabColor rgb="FF92D050"/>
    <outlinePr summaryBelow="0" summaryRight="0"/>
  </sheetPr>
  <dimension ref="A2:Z9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","325"," - ","Outpost C-Store")</f>
        <v>Department 325 - Outpost C-Store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60295.22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60295.22</v>
      </c>
      <c r="M12" s="5"/>
      <c r="N12" s="13">
        <f>IF(H12=0,0,L12/H12)</f>
        <v>0</v>
      </c>
      <c r="O12" s="11"/>
      <c r="P12" s="5">
        <f>SUM(OSRRefP13x_0)</f>
        <v>287752.09999999998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287752.09999999998</v>
      </c>
      <c r="Y12" s="5"/>
      <c r="Z12" s="13">
        <f>IF(T12=0,0,X12/T12)</f>
        <v>0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--8494.93</f>
        <v>8494.93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8494.93</v>
      </c>
      <c r="M13" s="3"/>
      <c r="N13" s="20">
        <f>IF(H13=0,0,L13/H13)</f>
        <v>0</v>
      </c>
      <c r="O13" s="12"/>
      <c r="P13" s="3">
        <f>--42010.07</f>
        <v>42010.07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42010.07</v>
      </c>
      <c r="Y13" s="3"/>
      <c r="Z13" s="20">
        <f>IF(T13=0,0,X13/T13)</f>
        <v>0</v>
      </c>
    </row>
    <row r="14" spans="1:26" s="69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--51800.29</f>
        <v>51800.29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51800.29</v>
      </c>
      <c r="M14" s="3"/>
      <c r="N14" s="20">
        <f>IF(H14=0,0,L14/H14)</f>
        <v>0</v>
      </c>
      <c r="O14" s="12"/>
      <c r="P14" s="3">
        <f>--245742.03</f>
        <v>245742.03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245742.03</v>
      </c>
      <c r="Y14" s="3"/>
      <c r="Z14" s="20">
        <f>IF(T14=0,0,X14/T14)</f>
        <v>0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25">
      <c r="A16" s="11"/>
      <c r="B16" s="28" t="s">
        <v>287</v>
      </c>
      <c r="C16" s="11"/>
      <c r="D16" s="5">
        <f>SUM(OSRRefD16x_0)</f>
        <v>29544.63</v>
      </c>
      <c r="E16" s="5"/>
      <c r="F16" s="13">
        <f>IF(D$12=0,0,D16/D$12)</f>
        <v>0.48999953893525888</v>
      </c>
      <c r="G16" s="5"/>
      <c r="H16" s="5">
        <f>SUM(OSRRefH16x_0)</f>
        <v>0</v>
      </c>
      <c r="I16" s="5"/>
      <c r="J16" s="13">
        <f>IF(H$12=0,0,H16/H$12)</f>
        <v>0</v>
      </c>
      <c r="K16" s="5"/>
      <c r="L16" s="5">
        <f>+D16-H16</f>
        <v>29544.63</v>
      </c>
      <c r="M16" s="5"/>
      <c r="N16" s="13">
        <f>IF(H16=0,0,L16/H16)</f>
        <v>0</v>
      </c>
      <c r="O16" s="11"/>
      <c r="P16" s="5">
        <f>SUM(OSRRefP16x_0)</f>
        <v>122929.48999999999</v>
      </c>
      <c r="Q16" s="5"/>
      <c r="R16" s="13">
        <f>IF(P$12=0,0,P16/P$12)</f>
        <v>0.42720623064088847</v>
      </c>
      <c r="S16" s="5"/>
      <c r="T16" s="5">
        <f>SUM(OSRRefT16x_0)</f>
        <v>10994.04</v>
      </c>
      <c r="U16" s="5"/>
      <c r="V16" s="13">
        <f>IF(T$12=0,0,T16/T$12)</f>
        <v>0</v>
      </c>
      <c r="W16" s="5"/>
      <c r="X16" s="5">
        <f>+P16-T16</f>
        <v>111935.44999999998</v>
      </c>
      <c r="Y16" s="5"/>
      <c r="Z16" s="13">
        <f>IF(T16=0,0,X16/T16)</f>
        <v>10.181466503669258</v>
      </c>
    </row>
    <row r="17" spans="1:26" s="69" customFormat="1" ht="15" hidden="1" customHeight="1" outlineLevel="1" x14ac:dyDescent="0.25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18738.490000000002</v>
      </c>
      <c r="E17" s="3"/>
      <c r="F17" s="20">
        <f>IF(D$12=0,0,D17/D$12)</f>
        <v>0.31077903024485193</v>
      </c>
      <c r="G17" s="3"/>
      <c r="H17" s="3"/>
      <c r="I17" s="3"/>
      <c r="J17" s="20">
        <f>IF(H$12=0,0,H17/H$12)</f>
        <v>0</v>
      </c>
      <c r="K17" s="3"/>
      <c r="L17" s="3">
        <f>+D17-H17</f>
        <v>18738.490000000002</v>
      </c>
      <c r="M17" s="3"/>
      <c r="N17" s="20">
        <f>IF(H17=0,0,L17/H17)</f>
        <v>0</v>
      </c>
      <c r="O17" s="12"/>
      <c r="P17" s="3">
        <v>47097.63</v>
      </c>
      <c r="Q17" s="3"/>
      <c r="R17" s="20">
        <f>IF(P$12=0,0,P17/P$12)</f>
        <v>0.16367432244630015</v>
      </c>
      <c r="S17" s="3"/>
      <c r="T17" s="3">
        <v>-634.96</v>
      </c>
      <c r="U17" s="3"/>
      <c r="V17" s="20">
        <f>IF(T$12=0,0,T17/T$12)</f>
        <v>0</v>
      </c>
      <c r="W17" s="3"/>
      <c r="X17" s="3">
        <f>+P17-T17</f>
        <v>47732.59</v>
      </c>
      <c r="Y17" s="3"/>
      <c r="Z17" s="20">
        <f>IF(T17=0,0,X17/T17)</f>
        <v>-75.174168451556</v>
      </c>
    </row>
    <row r="18" spans="1:26" s="69" customFormat="1" ht="15" hidden="1" customHeight="1" outlineLevel="1" x14ac:dyDescent="0.25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10806.14</v>
      </c>
      <c r="E18" s="3"/>
      <c r="F18" s="20">
        <f>IF(D$12=0,0,D18/D$12)</f>
        <v>0.17922050869040695</v>
      </c>
      <c r="G18" s="3"/>
      <c r="H18" s="3"/>
      <c r="I18" s="3"/>
      <c r="J18" s="20">
        <f>IF(H$12=0,0,H18/H$12)</f>
        <v>0</v>
      </c>
      <c r="K18" s="3"/>
      <c r="L18" s="3">
        <f>+D18-H18</f>
        <v>10806.14</v>
      </c>
      <c r="M18" s="3"/>
      <c r="N18" s="20">
        <f>IF(H18=0,0,L18/H18)</f>
        <v>0</v>
      </c>
      <c r="O18" s="12"/>
      <c r="P18" s="3">
        <v>75831.86</v>
      </c>
      <c r="Q18" s="3"/>
      <c r="R18" s="20">
        <f>IF(P$12=0,0,P18/P$12)</f>
        <v>0.26353190819458833</v>
      </c>
      <c r="S18" s="3"/>
      <c r="T18" s="3">
        <v>11629</v>
      </c>
      <c r="U18" s="3"/>
      <c r="V18" s="20">
        <f>IF(T$12=0,0,T18/T$12)</f>
        <v>0</v>
      </c>
      <c r="W18" s="3"/>
      <c r="X18" s="3">
        <f>+P18-T18</f>
        <v>64202.86</v>
      </c>
      <c r="Y18" s="3"/>
      <c r="Z18" s="20">
        <f>IF(T18=0,0,X18/T18)</f>
        <v>5.5209269928626705</v>
      </c>
    </row>
    <row r="19" spans="1:26" ht="15" customHeight="1" x14ac:dyDescent="0.25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25">
      <c r="A20" s="11"/>
      <c r="B20" s="27" t="s">
        <v>288</v>
      </c>
      <c r="C20" s="27"/>
      <c r="D20" s="22">
        <f>D12-D16</f>
        <v>30750.59</v>
      </c>
      <c r="E20" s="15"/>
      <c r="F20" s="23">
        <f>IF(D$12=0,0,D20/D$12)</f>
        <v>0.51000046106474106</v>
      </c>
      <c r="G20" s="15"/>
      <c r="H20" s="22">
        <f>H12-H16</f>
        <v>0</v>
      </c>
      <c r="I20" s="15"/>
      <c r="J20" s="23">
        <f>IF(H$12=0,0,H20/H$12)</f>
        <v>0</v>
      </c>
      <c r="K20" s="16"/>
      <c r="L20" s="22">
        <f>+D20-H20</f>
        <v>30750.59</v>
      </c>
      <c r="M20" s="16"/>
      <c r="N20" s="23">
        <f>IF(H20=0,0,L20/H20)</f>
        <v>0</v>
      </c>
      <c r="O20" s="28"/>
      <c r="P20" s="22">
        <f>P12-P16</f>
        <v>164822.60999999999</v>
      </c>
      <c r="Q20" s="15"/>
      <c r="R20" s="23">
        <f>IF(P$12=0,0,P20/P$12)</f>
        <v>0.57279376935911153</v>
      </c>
      <c r="S20" s="15"/>
      <c r="T20" s="22">
        <f>T12-T16</f>
        <v>-10994.04</v>
      </c>
      <c r="U20" s="15"/>
      <c r="V20" s="23">
        <f>IF(T$12=0,0,T20/T$12)</f>
        <v>0</v>
      </c>
      <c r="W20" s="16"/>
      <c r="X20" s="22">
        <f>+P20-T20</f>
        <v>175816.65</v>
      </c>
      <c r="Y20" s="16"/>
      <c r="Z20" s="23">
        <f>IF(T20=0,0,X20/T20)</f>
        <v>-15.991996572688473</v>
      </c>
    </row>
    <row r="21" spans="1:26" ht="15" customHeight="1" x14ac:dyDescent="0.25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25">
      <c r="A22" s="11"/>
      <c r="B22" s="28" t="s">
        <v>289</v>
      </c>
      <c r="C22" s="11"/>
      <c r="D22" s="21" cm="1">
        <f t="array" ref="D22">SUM(OSRRefD22x_0)</f>
        <v>27551.309999999998</v>
      </c>
      <c r="E22" s="21"/>
      <c r="F22" s="31">
        <f t="shared" ref="F22:F53" si="0">IF(D$12=0,0,D22/D$12)</f>
        <v>0.45694020189328438</v>
      </c>
      <c r="G22" s="21"/>
      <c r="H22" s="21" cm="1">
        <f t="array" ref="H22">SUM(OSRRefH22x_0)</f>
        <v>11171.279999999999</v>
      </c>
      <c r="I22" s="21"/>
      <c r="J22" s="31">
        <f t="shared" ref="J22:J53" si="1">IF(H$12=0,0,H22/H$12)</f>
        <v>0</v>
      </c>
      <c r="K22" s="5"/>
      <c r="L22" s="21">
        <f t="shared" ref="L22:L53" si="2">+D22-H22</f>
        <v>16380.029999999999</v>
      </c>
      <c r="M22" s="5"/>
      <c r="N22" s="31">
        <f t="shared" ref="N22:N53" si="3">IF(H22=0,0,L22/H22)</f>
        <v>1.4662625947966572</v>
      </c>
      <c r="O22" s="11"/>
      <c r="P22" s="21" cm="1">
        <f t="array" ref="P22">SUM(OSRRefP22x_0)</f>
        <v>252124.77000000011</v>
      </c>
      <c r="Q22" s="21"/>
      <c r="R22" s="31">
        <f t="shared" ref="R22:R53" si="4">IF(P$12=0,0,P22/P$12)</f>
        <v>0.87618741965740699</v>
      </c>
      <c r="S22" s="21"/>
      <c r="T22" s="21" cm="1">
        <f t="array" ref="T22">SUM(OSRRefT22x_0)</f>
        <v>122081.77</v>
      </c>
      <c r="U22" s="21"/>
      <c r="V22" s="31">
        <f t="shared" ref="V22:V53" si="5">IF(T$12=0,0,T22/T$12)</f>
        <v>0</v>
      </c>
      <c r="W22" s="5"/>
      <c r="X22" s="21">
        <f t="shared" ref="X22:X53" si="6">+P22-T22</f>
        <v>130043.0000000001</v>
      </c>
      <c r="Y22" s="5"/>
      <c r="Z22" s="31">
        <f t="shared" ref="Z22:Z53" si="7">IF(T22=0,0,X22/T22)</f>
        <v>1.0652122753462707</v>
      </c>
    </row>
    <row r="23" spans="1:26" s="68" customFormat="1" ht="15" customHeight="1" outlineLevel="1" collapsed="1" x14ac:dyDescent="0.25">
      <c r="A23" s="26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4145.17</v>
      </c>
      <c r="E23" s="2"/>
      <c r="F23" s="6">
        <f t="shared" si="0"/>
        <v>6.8747904062710113E-2</v>
      </c>
      <c r="G23" s="2"/>
      <c r="H23" s="2">
        <f>SUM(OSRRefH22_0x_0)</f>
        <v>0</v>
      </c>
      <c r="I23" s="2"/>
      <c r="J23" s="6">
        <f t="shared" si="1"/>
        <v>0</v>
      </c>
      <c r="K23" s="2"/>
      <c r="L23" s="2">
        <f t="shared" si="2"/>
        <v>4145.17</v>
      </c>
      <c r="M23" s="2"/>
      <c r="N23" s="6">
        <f t="shared" si="3"/>
        <v>0</v>
      </c>
      <c r="O23" s="14"/>
      <c r="P23" s="2">
        <f>SUM(OSRRefP22_0x_0)</f>
        <v>22532.390000000003</v>
      </c>
      <c r="Q23" s="2"/>
      <c r="R23" s="6">
        <f t="shared" si="4"/>
        <v>7.8304867279856527E-2</v>
      </c>
      <c r="S23" s="2"/>
      <c r="T23" s="2">
        <f>SUM(OSRRefT22_0x_0)</f>
        <v>2889.72</v>
      </c>
      <c r="U23" s="2"/>
      <c r="V23" s="6">
        <f t="shared" si="5"/>
        <v>0</v>
      </c>
      <c r="W23" s="2"/>
      <c r="X23" s="2">
        <f t="shared" si="6"/>
        <v>19642.670000000002</v>
      </c>
      <c r="Y23" s="2"/>
      <c r="Z23" s="6">
        <f t="shared" si="7"/>
        <v>6.7974302008499103</v>
      </c>
    </row>
    <row r="24" spans="1:26" s="69" customFormat="1" ht="15" hidden="1" customHeight="1" outlineLevel="2" x14ac:dyDescent="0.25">
      <c r="A24" s="25"/>
      <c r="B24" s="12" t="str">
        <f>CONCATENATE("          ","6111"," - ","F.I.C.A.")</f>
        <v xml:space="preserve">          6111 - F.I.C.A.</v>
      </c>
      <c r="C24" s="12"/>
      <c r="D24" s="7">
        <v>612.24</v>
      </c>
      <c r="E24" s="3"/>
      <c r="F24" s="8">
        <f t="shared" si="0"/>
        <v>1.0154038744696512E-2</v>
      </c>
      <c r="G24" s="3"/>
      <c r="H24" s="7"/>
      <c r="I24" s="3"/>
      <c r="J24" s="8">
        <f t="shared" si="1"/>
        <v>0</v>
      </c>
      <c r="K24" s="3"/>
      <c r="L24" s="7">
        <f t="shared" si="2"/>
        <v>612.24</v>
      </c>
      <c r="M24" s="3"/>
      <c r="N24" s="8">
        <f t="shared" si="3"/>
        <v>0</v>
      </c>
      <c r="O24" s="12"/>
      <c r="P24" s="7">
        <v>4397.32</v>
      </c>
      <c r="Q24" s="3"/>
      <c r="R24" s="8">
        <f t="shared" si="4"/>
        <v>1.5281626094127549E-2</v>
      </c>
      <c r="S24" s="3"/>
      <c r="T24" s="7">
        <v>159.12</v>
      </c>
      <c r="U24" s="3"/>
      <c r="V24" s="8">
        <f t="shared" si="5"/>
        <v>0</v>
      </c>
      <c r="W24" s="3"/>
      <c r="X24" s="7">
        <f t="shared" si="6"/>
        <v>4238.2</v>
      </c>
      <c r="Y24" s="3"/>
      <c r="Z24" s="8">
        <f t="shared" si="7"/>
        <v>26.635243841126194</v>
      </c>
    </row>
    <row r="25" spans="1:26" s="69" customFormat="1" ht="15" hidden="1" customHeight="1" outlineLevel="2" x14ac:dyDescent="0.25">
      <c r="A25" s="25"/>
      <c r="B25" s="12" t="str">
        <f>CONCATENATE("          ","6112"," - ","COMPENSATION INSURANCE")</f>
        <v xml:space="preserve">          6112 - COMPENSATION INSURANCE</v>
      </c>
      <c r="C25" s="12"/>
      <c r="D25" s="7">
        <v>298.70999999999998</v>
      </c>
      <c r="E25" s="3"/>
      <c r="F25" s="8">
        <f t="shared" si="0"/>
        <v>4.9541240582586807E-3</v>
      </c>
      <c r="G25" s="3"/>
      <c r="H25" s="7"/>
      <c r="I25" s="3"/>
      <c r="J25" s="8">
        <f t="shared" si="1"/>
        <v>0</v>
      </c>
      <c r="K25" s="3"/>
      <c r="L25" s="7">
        <f t="shared" si="2"/>
        <v>298.70999999999998</v>
      </c>
      <c r="M25" s="3"/>
      <c r="N25" s="8">
        <f t="shared" si="3"/>
        <v>0</v>
      </c>
      <c r="O25" s="12"/>
      <c r="P25" s="7">
        <v>1522.75</v>
      </c>
      <c r="Q25" s="3"/>
      <c r="R25" s="8">
        <f t="shared" si="4"/>
        <v>5.2918814493447663E-3</v>
      </c>
      <c r="S25" s="3"/>
      <c r="T25" s="7"/>
      <c r="U25" s="3"/>
      <c r="V25" s="8">
        <f t="shared" si="5"/>
        <v>0</v>
      </c>
      <c r="W25" s="3"/>
      <c r="X25" s="7">
        <f t="shared" si="6"/>
        <v>1522.75</v>
      </c>
      <c r="Y25" s="3"/>
      <c r="Z25" s="8">
        <f t="shared" si="7"/>
        <v>0</v>
      </c>
    </row>
    <row r="26" spans="1:26" s="69" customFormat="1" ht="15" hidden="1" customHeight="1" outlineLevel="2" x14ac:dyDescent="0.25">
      <c r="A26" s="25"/>
      <c r="B26" s="12" t="str">
        <f>CONCATENATE("          ","6113"," - ","GROUP INSURANCE")</f>
        <v xml:space="preserve">          6113 - GROUP INSURANCE</v>
      </c>
      <c r="C26" s="12"/>
      <c r="D26" s="7">
        <v>1752.24</v>
      </c>
      <c r="E26" s="3"/>
      <c r="F26" s="8">
        <f t="shared" si="0"/>
        <v>2.9061010143092602E-2</v>
      </c>
      <c r="G26" s="3"/>
      <c r="H26" s="7"/>
      <c r="I26" s="3"/>
      <c r="J26" s="8">
        <f t="shared" si="1"/>
        <v>0</v>
      </c>
      <c r="K26" s="3"/>
      <c r="L26" s="7">
        <f t="shared" si="2"/>
        <v>1752.24</v>
      </c>
      <c r="M26" s="3"/>
      <c r="N26" s="8">
        <f t="shared" si="3"/>
        <v>0</v>
      </c>
      <c r="O26" s="12"/>
      <c r="P26" s="7">
        <v>8761.2000000000007</v>
      </c>
      <c r="Q26" s="3"/>
      <c r="R26" s="8">
        <f t="shared" si="4"/>
        <v>3.0447041046789934E-2</v>
      </c>
      <c r="S26" s="3"/>
      <c r="T26" s="7">
        <v>1915.63</v>
      </c>
      <c r="U26" s="3"/>
      <c r="V26" s="8">
        <f t="shared" si="5"/>
        <v>0</v>
      </c>
      <c r="W26" s="3"/>
      <c r="X26" s="7">
        <f t="shared" si="6"/>
        <v>6845.5700000000006</v>
      </c>
      <c r="Y26" s="3"/>
      <c r="Z26" s="8">
        <f t="shared" si="7"/>
        <v>3.5735345552116016</v>
      </c>
    </row>
    <row r="27" spans="1:26" s="69" customFormat="1" ht="15" hidden="1" customHeight="1" outlineLevel="2" x14ac:dyDescent="0.25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7">
        <v>52.48</v>
      </c>
      <c r="E27" s="3"/>
      <c r="F27" s="8">
        <f t="shared" si="0"/>
        <v>8.7038408683142701E-4</v>
      </c>
      <c r="G27" s="3"/>
      <c r="H27" s="7"/>
      <c r="I27" s="3"/>
      <c r="J27" s="8">
        <f t="shared" si="1"/>
        <v>0</v>
      </c>
      <c r="K27" s="3"/>
      <c r="L27" s="7">
        <f t="shared" si="2"/>
        <v>52.48</v>
      </c>
      <c r="M27" s="3"/>
      <c r="N27" s="8">
        <f t="shared" si="3"/>
        <v>0</v>
      </c>
      <c r="O27" s="12"/>
      <c r="P27" s="7">
        <v>246.83</v>
      </c>
      <c r="Q27" s="3"/>
      <c r="R27" s="8">
        <f t="shared" si="4"/>
        <v>8.5778696315335333E-4</v>
      </c>
      <c r="S27" s="3"/>
      <c r="T27" s="7"/>
      <c r="U27" s="3"/>
      <c r="V27" s="8">
        <f t="shared" si="5"/>
        <v>0</v>
      </c>
      <c r="W27" s="3"/>
      <c r="X27" s="7">
        <f t="shared" si="6"/>
        <v>246.83</v>
      </c>
      <c r="Y27" s="3"/>
      <c r="Z27" s="8">
        <f t="shared" si="7"/>
        <v>0</v>
      </c>
    </row>
    <row r="28" spans="1:26" s="69" customFormat="1" ht="15" hidden="1" customHeight="1" outlineLevel="2" x14ac:dyDescent="0.25">
      <c r="A28" s="25"/>
      <c r="B28" s="12" t="str">
        <f>CONCATENATE("          ","6115"," - ","P.E.R.S.")</f>
        <v xml:space="preserve">          6115 - P.E.R.S.</v>
      </c>
      <c r="C28" s="12"/>
      <c r="D28" s="7">
        <v>548.17999999999995</v>
      </c>
      <c r="E28" s="3"/>
      <c r="F28" s="8">
        <f t="shared" si="0"/>
        <v>9.0915996326076907E-3</v>
      </c>
      <c r="G28" s="3"/>
      <c r="H28" s="7"/>
      <c r="I28" s="3"/>
      <c r="J28" s="8">
        <f t="shared" si="1"/>
        <v>0</v>
      </c>
      <c r="K28" s="3"/>
      <c r="L28" s="7">
        <f t="shared" si="2"/>
        <v>548.17999999999995</v>
      </c>
      <c r="M28" s="3"/>
      <c r="N28" s="8">
        <f t="shared" si="3"/>
        <v>0</v>
      </c>
      <c r="O28" s="12"/>
      <c r="P28" s="7">
        <v>2987.59</v>
      </c>
      <c r="Q28" s="3"/>
      <c r="R28" s="8">
        <f t="shared" si="4"/>
        <v>1.0382513281397426E-2</v>
      </c>
      <c r="S28" s="3"/>
      <c r="T28" s="7">
        <v>458.89</v>
      </c>
      <c r="U28" s="3"/>
      <c r="V28" s="8">
        <f t="shared" si="5"/>
        <v>0</v>
      </c>
      <c r="W28" s="3"/>
      <c r="X28" s="7">
        <f t="shared" si="6"/>
        <v>2528.7000000000003</v>
      </c>
      <c r="Y28" s="3"/>
      <c r="Z28" s="8">
        <f t="shared" si="7"/>
        <v>5.5104709189566137</v>
      </c>
    </row>
    <row r="29" spans="1:26" s="69" customFormat="1" ht="15" hidden="1" customHeight="1" outlineLevel="2" x14ac:dyDescent="0.25">
      <c r="A29" s="25"/>
      <c r="B29" s="12" t="str">
        <f>CONCATENATE("          ","6118"," - ","VACATION")</f>
        <v xml:space="preserve">          6118 - VACATION</v>
      </c>
      <c r="C29" s="12"/>
      <c r="D29" s="7">
        <v>406.86</v>
      </c>
      <c r="E29" s="3"/>
      <c r="F29" s="8">
        <f t="shared" si="0"/>
        <v>6.7477985817117839E-3</v>
      </c>
      <c r="G29" s="3"/>
      <c r="H29" s="7"/>
      <c r="I29" s="3"/>
      <c r="J29" s="8">
        <f t="shared" si="1"/>
        <v>0</v>
      </c>
      <c r="K29" s="3"/>
      <c r="L29" s="7">
        <f t="shared" si="2"/>
        <v>406.86</v>
      </c>
      <c r="M29" s="3"/>
      <c r="N29" s="8">
        <f t="shared" si="3"/>
        <v>0</v>
      </c>
      <c r="O29" s="12"/>
      <c r="P29" s="7">
        <v>2064.84</v>
      </c>
      <c r="Q29" s="3"/>
      <c r="R29" s="8">
        <f t="shared" si="4"/>
        <v>7.1757599683894583E-3</v>
      </c>
      <c r="S29" s="3"/>
      <c r="T29" s="7">
        <v>152.1</v>
      </c>
      <c r="U29" s="3"/>
      <c r="V29" s="8">
        <f t="shared" si="5"/>
        <v>0</v>
      </c>
      <c r="W29" s="3"/>
      <c r="X29" s="7">
        <f t="shared" si="6"/>
        <v>1912.7400000000002</v>
      </c>
      <c r="Y29" s="3"/>
      <c r="Z29" s="8">
        <f t="shared" si="7"/>
        <v>12.575542406311639</v>
      </c>
    </row>
    <row r="30" spans="1:26" s="69" customFormat="1" ht="15" hidden="1" customHeight="1" outlineLevel="2" x14ac:dyDescent="0.25">
      <c r="A30" s="25"/>
      <c r="B30" s="12" t="str">
        <f>CONCATENATE("          ","6119"," - ","SICK LEAVE")</f>
        <v xml:space="preserve">          6119 - SICK LEAVE</v>
      </c>
      <c r="C30" s="12"/>
      <c r="D30" s="7">
        <v>232.4</v>
      </c>
      <c r="E30" s="3"/>
      <c r="F30" s="8">
        <f t="shared" si="0"/>
        <v>3.8543685552519754E-3</v>
      </c>
      <c r="G30" s="3"/>
      <c r="H30" s="7"/>
      <c r="I30" s="3"/>
      <c r="J30" s="8">
        <f t="shared" si="1"/>
        <v>0</v>
      </c>
      <c r="K30" s="3"/>
      <c r="L30" s="7">
        <f t="shared" si="2"/>
        <v>232.4</v>
      </c>
      <c r="M30" s="3"/>
      <c r="N30" s="8">
        <f t="shared" si="3"/>
        <v>0</v>
      </c>
      <c r="O30" s="12"/>
      <c r="P30" s="7">
        <v>1278.2</v>
      </c>
      <c r="Q30" s="3"/>
      <c r="R30" s="8">
        <f t="shared" si="4"/>
        <v>4.4420179731094927E-3</v>
      </c>
      <c r="S30" s="3"/>
      <c r="T30" s="7">
        <v>203.98</v>
      </c>
      <c r="U30" s="3"/>
      <c r="V30" s="8">
        <f t="shared" si="5"/>
        <v>0</v>
      </c>
      <c r="W30" s="3"/>
      <c r="X30" s="7">
        <f t="shared" si="6"/>
        <v>1074.22</v>
      </c>
      <c r="Y30" s="3"/>
      <c r="Z30" s="8">
        <f t="shared" si="7"/>
        <v>5.2663006177076186</v>
      </c>
    </row>
    <row r="31" spans="1:26" s="69" customFormat="1" ht="15" hidden="1" customHeight="1" outlineLevel="2" x14ac:dyDescent="0.25">
      <c r="A31" s="25"/>
      <c r="B31" s="12" t="str">
        <f>CONCATENATE("          ","6156"," - ","EMPLOYEE MEALS")</f>
        <v xml:space="preserve">          6156 - EMPLOYEE MEALS</v>
      </c>
      <c r="C31" s="12"/>
      <c r="D31" s="7">
        <v>242.06</v>
      </c>
      <c r="E31" s="3"/>
      <c r="F31" s="8">
        <f t="shared" si="0"/>
        <v>4.0145802602594366E-3</v>
      </c>
      <c r="G31" s="3"/>
      <c r="H31" s="7"/>
      <c r="I31" s="3"/>
      <c r="J31" s="8">
        <f t="shared" si="1"/>
        <v>0</v>
      </c>
      <c r="K31" s="3"/>
      <c r="L31" s="7">
        <f t="shared" si="2"/>
        <v>242.06</v>
      </c>
      <c r="M31" s="3"/>
      <c r="N31" s="8">
        <f t="shared" si="3"/>
        <v>0</v>
      </c>
      <c r="O31" s="12"/>
      <c r="P31" s="7">
        <v>1273.6600000000001</v>
      </c>
      <c r="Q31" s="3"/>
      <c r="R31" s="8">
        <f t="shared" si="4"/>
        <v>4.4262405035445443E-3</v>
      </c>
      <c r="S31" s="3"/>
      <c r="T31" s="7"/>
      <c r="U31" s="3"/>
      <c r="V31" s="8">
        <f t="shared" si="5"/>
        <v>0</v>
      </c>
      <c r="W31" s="3"/>
      <c r="X31" s="7">
        <f t="shared" si="6"/>
        <v>1273.6600000000001</v>
      </c>
      <c r="Y31" s="3"/>
      <c r="Z31" s="8">
        <f t="shared" si="7"/>
        <v>0</v>
      </c>
    </row>
    <row r="32" spans="1:26" s="68" customFormat="1" ht="15" customHeight="1" outlineLevel="1" collapsed="1" x14ac:dyDescent="0.25">
      <c r="A32" s="26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11267.22</v>
      </c>
      <c r="E32" s="2"/>
      <c r="F32" s="6">
        <f t="shared" si="0"/>
        <v>0.18686754936792666</v>
      </c>
      <c r="G32" s="2"/>
      <c r="H32" s="2">
        <f>SUM(OSRRefH22_1x_0)</f>
        <v>0</v>
      </c>
      <c r="I32" s="2"/>
      <c r="J32" s="6">
        <f t="shared" si="1"/>
        <v>0</v>
      </c>
      <c r="K32" s="2"/>
      <c r="L32" s="2">
        <f t="shared" si="2"/>
        <v>11267.22</v>
      </c>
      <c r="M32" s="2"/>
      <c r="N32" s="6">
        <f t="shared" si="3"/>
        <v>0</v>
      </c>
      <c r="O32" s="14"/>
      <c r="P32" s="2">
        <f>SUM(OSRRefP22_1x_0)</f>
        <v>91455.52</v>
      </c>
      <c r="Q32" s="2"/>
      <c r="R32" s="6">
        <f t="shared" si="4"/>
        <v>0.31782746329218803</v>
      </c>
      <c r="S32" s="2"/>
      <c r="T32" s="2">
        <f>SUM(OSRRefT22_1x_0)</f>
        <v>884</v>
      </c>
      <c r="U32" s="2"/>
      <c r="V32" s="6">
        <f t="shared" si="5"/>
        <v>0</v>
      </c>
      <c r="W32" s="2"/>
      <c r="X32" s="2">
        <f t="shared" si="6"/>
        <v>90571.520000000004</v>
      </c>
      <c r="Y32" s="2"/>
      <c r="Z32" s="6">
        <f t="shared" si="7"/>
        <v>102.45647058823531</v>
      </c>
    </row>
    <row r="33" spans="1:26" s="69" customFormat="1" ht="15" hidden="1" customHeight="1" outlineLevel="2" x14ac:dyDescent="0.25">
      <c r="A33" s="25"/>
      <c r="B33" s="12" t="str">
        <f>CONCATENATE("          ","6002"," - ","STAFF SALARIES")</f>
        <v xml:space="preserve">          6002 - STAFF SALARIES</v>
      </c>
      <c r="C33" s="12"/>
      <c r="D33" s="7">
        <v>4786.54</v>
      </c>
      <c r="E33" s="3"/>
      <c r="F33" s="8">
        <f t="shared" si="0"/>
        <v>7.9385065681823533E-2</v>
      </c>
      <c r="G33" s="3"/>
      <c r="H33" s="7"/>
      <c r="I33" s="3"/>
      <c r="J33" s="8">
        <f t="shared" si="1"/>
        <v>0</v>
      </c>
      <c r="K33" s="3"/>
      <c r="L33" s="7">
        <f t="shared" si="2"/>
        <v>4786.54</v>
      </c>
      <c r="M33" s="3"/>
      <c r="N33" s="8">
        <f t="shared" si="3"/>
        <v>0</v>
      </c>
      <c r="O33" s="12"/>
      <c r="P33" s="7">
        <v>25948.080000000002</v>
      </c>
      <c r="Q33" s="3"/>
      <c r="R33" s="8">
        <f t="shared" si="4"/>
        <v>9.0175119486530259E-2</v>
      </c>
      <c r="S33" s="3"/>
      <c r="T33" s="7">
        <v>884</v>
      </c>
      <c r="U33" s="3"/>
      <c r="V33" s="8">
        <f t="shared" si="5"/>
        <v>0</v>
      </c>
      <c r="W33" s="3"/>
      <c r="X33" s="7">
        <f t="shared" si="6"/>
        <v>25064.080000000002</v>
      </c>
      <c r="Y33" s="3"/>
      <c r="Z33" s="8">
        <f t="shared" si="7"/>
        <v>28.353031674208147</v>
      </c>
    </row>
    <row r="34" spans="1:26" s="69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7">
        <v>2889.68</v>
      </c>
      <c r="E34" s="3"/>
      <c r="F34" s="8">
        <f t="shared" si="0"/>
        <v>4.792552378115545E-2</v>
      </c>
      <c r="G34" s="3"/>
      <c r="H34" s="7"/>
      <c r="I34" s="3"/>
      <c r="J34" s="8">
        <f t="shared" si="1"/>
        <v>0</v>
      </c>
      <c r="K34" s="3"/>
      <c r="L34" s="7">
        <f t="shared" si="2"/>
        <v>2889.68</v>
      </c>
      <c r="M34" s="3"/>
      <c r="N34" s="8">
        <f t="shared" si="3"/>
        <v>0</v>
      </c>
      <c r="O34" s="12"/>
      <c r="P34" s="7">
        <v>28471.21</v>
      </c>
      <c r="Q34" s="3"/>
      <c r="R34" s="8">
        <f t="shared" si="4"/>
        <v>9.8943535077589365E-2</v>
      </c>
      <c r="S34" s="3"/>
      <c r="T34" s="7"/>
      <c r="U34" s="3"/>
      <c r="V34" s="8">
        <f t="shared" si="5"/>
        <v>0</v>
      </c>
      <c r="W34" s="3"/>
      <c r="X34" s="7">
        <f t="shared" si="6"/>
        <v>28471.21</v>
      </c>
      <c r="Y34" s="3"/>
      <c r="Z34" s="8">
        <f t="shared" si="7"/>
        <v>0</v>
      </c>
    </row>
    <row r="35" spans="1:26" s="69" customFormat="1" ht="15" hidden="1" customHeight="1" outlineLevel="2" x14ac:dyDescent="0.25">
      <c r="A35" s="25"/>
      <c r="B35" s="12" t="str">
        <f>CONCATENATE("          ","6007"," - ","STUDENT HOURLY")</f>
        <v xml:space="preserve">          6007 - STUDENT HOURLY</v>
      </c>
      <c r="C35" s="12"/>
      <c r="D35" s="7">
        <v>3591</v>
      </c>
      <c r="E35" s="3"/>
      <c r="F35" s="8">
        <f t="shared" si="0"/>
        <v>5.9556959904947686E-2</v>
      </c>
      <c r="G35" s="3"/>
      <c r="H35" s="7"/>
      <c r="I35" s="3"/>
      <c r="J35" s="8">
        <f t="shared" si="1"/>
        <v>0</v>
      </c>
      <c r="K35" s="3"/>
      <c r="L35" s="7">
        <f t="shared" si="2"/>
        <v>3591</v>
      </c>
      <c r="M35" s="3"/>
      <c r="N35" s="8">
        <f t="shared" si="3"/>
        <v>0</v>
      </c>
      <c r="O35" s="12"/>
      <c r="P35" s="7">
        <v>37036.230000000003</v>
      </c>
      <c r="Q35" s="3"/>
      <c r="R35" s="8">
        <f t="shared" si="4"/>
        <v>0.12870880872806839</v>
      </c>
      <c r="S35" s="3"/>
      <c r="T35" s="7"/>
      <c r="U35" s="3"/>
      <c r="V35" s="8">
        <f t="shared" si="5"/>
        <v>0</v>
      </c>
      <c r="W35" s="3"/>
      <c r="X35" s="7">
        <f t="shared" si="6"/>
        <v>37036.230000000003</v>
      </c>
      <c r="Y35" s="3"/>
      <c r="Z35" s="8">
        <f t="shared" si="7"/>
        <v>0</v>
      </c>
    </row>
    <row r="36" spans="1:26" s="68" customFormat="1" ht="15" customHeight="1" outlineLevel="1" collapsed="1" x14ac:dyDescent="0.25">
      <c r="A36" s="26"/>
      <c r="B36" s="14" t="str">
        <f>CONCATENATE("     ","Advertising/Promo                                 ")</f>
        <v xml:space="preserve">     Advertising/Promo                                 </v>
      </c>
      <c r="C36" s="14"/>
      <c r="D36" s="2">
        <f>SUM(OSRRefD22_2x_0)</f>
        <v>0</v>
      </c>
      <c r="E36" s="2"/>
      <c r="F36" s="6">
        <f t="shared" si="0"/>
        <v>0</v>
      </c>
      <c r="G36" s="2"/>
      <c r="H36" s="2">
        <f>SUM(OSRRefH22_2x_0)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SUM(OSRRefP22_2x_0)</f>
        <v>91.22</v>
      </c>
      <c r="Q36" s="2"/>
      <c r="R36" s="6">
        <f t="shared" si="4"/>
        <v>3.170089809944046E-4</v>
      </c>
      <c r="S36" s="2"/>
      <c r="T36" s="2">
        <f>SUM(OSRRefT22_2x_0)</f>
        <v>0</v>
      </c>
      <c r="U36" s="2"/>
      <c r="V36" s="6">
        <f t="shared" si="5"/>
        <v>0</v>
      </c>
      <c r="W36" s="2"/>
      <c r="X36" s="2">
        <f t="shared" si="6"/>
        <v>91.22</v>
      </c>
      <c r="Y36" s="2"/>
      <c r="Z36" s="6">
        <f t="shared" si="7"/>
        <v>0</v>
      </c>
    </row>
    <row r="37" spans="1:26" s="69" customFormat="1" ht="15" hidden="1" customHeight="1" outlineLevel="2" x14ac:dyDescent="0.25">
      <c r="A37" s="25"/>
      <c r="B37" s="12" t="str">
        <f>CONCATENATE("          ","6362"," - ","ADVERTISING EXPENSE")</f>
        <v xml:space="preserve">          6362 - ADVERTISING EXPENSE</v>
      </c>
      <c r="C37" s="12"/>
      <c r="D37" s="7"/>
      <c r="E37" s="3"/>
      <c r="F37" s="8">
        <f t="shared" si="0"/>
        <v>0</v>
      </c>
      <c r="G37" s="3"/>
      <c r="H37" s="7"/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>
        <v>91.22</v>
      </c>
      <c r="Q37" s="3"/>
      <c r="R37" s="8">
        <f t="shared" si="4"/>
        <v>3.170089809944046E-4</v>
      </c>
      <c r="S37" s="3"/>
      <c r="T37" s="7"/>
      <c r="U37" s="3"/>
      <c r="V37" s="8">
        <f t="shared" si="5"/>
        <v>0</v>
      </c>
      <c r="W37" s="3"/>
      <c r="X37" s="7">
        <f t="shared" si="6"/>
        <v>91.22</v>
      </c>
      <c r="Y37" s="3"/>
      <c r="Z37" s="8">
        <f t="shared" si="7"/>
        <v>0</v>
      </c>
    </row>
    <row r="38" spans="1:26" s="68" customFormat="1" ht="15" customHeight="1" outlineLevel="1" collapsed="1" x14ac:dyDescent="0.25">
      <c r="A38" s="26"/>
      <c r="B38" s="14" t="str">
        <f>CONCATENATE("     ","Bad Debts/Over/Short                              ")</f>
        <v xml:space="preserve">     Bad Debts/Over/Short                              </v>
      </c>
      <c r="C38" s="14"/>
      <c r="D38" s="2">
        <f>SUM(OSRRefD22_3x_0)</f>
        <v>-27.77</v>
      </c>
      <c r="E38" s="2"/>
      <c r="F38" s="6">
        <f t="shared" si="0"/>
        <v>-4.605671892398767E-4</v>
      </c>
      <c r="G38" s="2"/>
      <c r="H38" s="2">
        <f>SUM(OSRRefH22_3x_0)</f>
        <v>0</v>
      </c>
      <c r="I38" s="2"/>
      <c r="J38" s="6">
        <f t="shared" si="1"/>
        <v>0</v>
      </c>
      <c r="K38" s="2"/>
      <c r="L38" s="2">
        <f t="shared" si="2"/>
        <v>-27.77</v>
      </c>
      <c r="M38" s="2"/>
      <c r="N38" s="6">
        <f t="shared" si="3"/>
        <v>0</v>
      </c>
      <c r="O38" s="14"/>
      <c r="P38" s="2">
        <f>SUM(OSRRefP22_3x_0)</f>
        <v>-9.64</v>
      </c>
      <c r="Q38" s="2"/>
      <c r="R38" s="6">
        <f t="shared" si="4"/>
        <v>-3.3501058723811231E-5</v>
      </c>
      <c r="S38" s="2"/>
      <c r="T38" s="2">
        <f>SUM(OSRRefT22_3x_0)</f>
        <v>0</v>
      </c>
      <c r="U38" s="2"/>
      <c r="V38" s="6">
        <f t="shared" si="5"/>
        <v>0</v>
      </c>
      <c r="W38" s="2"/>
      <c r="X38" s="2">
        <f t="shared" si="6"/>
        <v>-9.64</v>
      </c>
      <c r="Y38" s="2"/>
      <c r="Z38" s="6">
        <f t="shared" si="7"/>
        <v>0</v>
      </c>
    </row>
    <row r="39" spans="1:26" s="69" customFormat="1" ht="15" hidden="1" customHeight="1" outlineLevel="2" x14ac:dyDescent="0.25">
      <c r="A39" s="25"/>
      <c r="B39" s="12" t="str">
        <f>CONCATENATE("          ","6272"," - ","CASH (OVER/SHORT)")</f>
        <v xml:space="preserve">          6272 - CASH (OVER/SHORT)</v>
      </c>
      <c r="C39" s="12"/>
      <c r="D39" s="7">
        <v>-27.77</v>
      </c>
      <c r="E39" s="3"/>
      <c r="F39" s="8">
        <f t="shared" si="0"/>
        <v>-4.605671892398767E-4</v>
      </c>
      <c r="G39" s="3"/>
      <c r="H39" s="7"/>
      <c r="I39" s="3"/>
      <c r="J39" s="8">
        <f t="shared" si="1"/>
        <v>0</v>
      </c>
      <c r="K39" s="3"/>
      <c r="L39" s="7">
        <f t="shared" si="2"/>
        <v>-27.77</v>
      </c>
      <c r="M39" s="3"/>
      <c r="N39" s="8">
        <f t="shared" si="3"/>
        <v>0</v>
      </c>
      <c r="O39" s="12"/>
      <c r="P39" s="7">
        <v>-9.64</v>
      </c>
      <c r="Q39" s="3"/>
      <c r="R39" s="8">
        <f t="shared" si="4"/>
        <v>-3.3501058723811231E-5</v>
      </c>
      <c r="S39" s="3"/>
      <c r="T39" s="7"/>
      <c r="U39" s="3"/>
      <c r="V39" s="8">
        <f t="shared" si="5"/>
        <v>0</v>
      </c>
      <c r="W39" s="3"/>
      <c r="X39" s="7">
        <f t="shared" si="6"/>
        <v>-9.64</v>
      </c>
      <c r="Y39" s="3"/>
      <c r="Z39" s="8">
        <f t="shared" si="7"/>
        <v>0</v>
      </c>
    </row>
    <row r="40" spans="1:26" s="68" customFormat="1" ht="15" customHeight="1" outlineLevel="1" collapsed="1" x14ac:dyDescent="0.25">
      <c r="A40" s="26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SUM(OSRRefD22_4x_0)</f>
        <v>1087.3</v>
      </c>
      <c r="E40" s="2"/>
      <c r="F40" s="6">
        <f t="shared" si="0"/>
        <v>1.8032938597786027E-2</v>
      </c>
      <c r="G40" s="2"/>
      <c r="H40" s="2">
        <f>SUM(OSRRefH22_4x_0)</f>
        <v>0</v>
      </c>
      <c r="I40" s="2"/>
      <c r="J40" s="6">
        <f t="shared" si="1"/>
        <v>0</v>
      </c>
      <c r="K40" s="2"/>
      <c r="L40" s="2">
        <f t="shared" si="2"/>
        <v>1087.3</v>
      </c>
      <c r="M40" s="2"/>
      <c r="N40" s="6">
        <f t="shared" si="3"/>
        <v>0</v>
      </c>
      <c r="O40" s="14"/>
      <c r="P40" s="2">
        <f>SUM(OSRRefP22_4x_0)</f>
        <v>11511.23</v>
      </c>
      <c r="Q40" s="2"/>
      <c r="R40" s="6">
        <f t="shared" si="4"/>
        <v>4.0003982594740403E-2</v>
      </c>
      <c r="S40" s="2"/>
      <c r="T40" s="2">
        <f>SUM(OSRRefT22_4x_0)</f>
        <v>0</v>
      </c>
      <c r="U40" s="2"/>
      <c r="V40" s="6">
        <f t="shared" si="5"/>
        <v>0</v>
      </c>
      <c r="W40" s="2"/>
      <c r="X40" s="2">
        <f t="shared" si="6"/>
        <v>11511.23</v>
      </c>
      <c r="Y40" s="2"/>
      <c r="Z40" s="6">
        <f t="shared" si="7"/>
        <v>0</v>
      </c>
    </row>
    <row r="41" spans="1:26" s="69" customFormat="1" ht="15" hidden="1" customHeight="1" outlineLevel="2" x14ac:dyDescent="0.25">
      <c r="A41" s="25"/>
      <c r="B41" s="12" t="str">
        <f>CONCATENATE("          ","6381"," - ","BANK/CREDIT CARD FEES")</f>
        <v xml:space="preserve">          6381 - BANK/CREDIT CARD FEES</v>
      </c>
      <c r="C41" s="12"/>
      <c r="D41" s="7">
        <v>1087.3</v>
      </c>
      <c r="E41" s="3"/>
      <c r="F41" s="8">
        <f t="shared" si="0"/>
        <v>1.8032938597786027E-2</v>
      </c>
      <c r="G41" s="3"/>
      <c r="H41" s="7"/>
      <c r="I41" s="3"/>
      <c r="J41" s="8">
        <f t="shared" si="1"/>
        <v>0</v>
      </c>
      <c r="K41" s="3"/>
      <c r="L41" s="7">
        <f t="shared" si="2"/>
        <v>1087.3</v>
      </c>
      <c r="M41" s="3"/>
      <c r="N41" s="8">
        <f t="shared" si="3"/>
        <v>0</v>
      </c>
      <c r="O41" s="12"/>
      <c r="P41" s="7">
        <v>11511.23</v>
      </c>
      <c r="Q41" s="3"/>
      <c r="R41" s="8">
        <f t="shared" si="4"/>
        <v>4.0003982594740403E-2</v>
      </c>
      <c r="S41" s="3"/>
      <c r="T41" s="7"/>
      <c r="U41" s="3"/>
      <c r="V41" s="8">
        <f t="shared" si="5"/>
        <v>0</v>
      </c>
      <c r="W41" s="3"/>
      <c r="X41" s="7">
        <f t="shared" si="6"/>
        <v>11511.23</v>
      </c>
      <c r="Y41" s="3"/>
      <c r="Z41" s="8">
        <f t="shared" si="7"/>
        <v>0</v>
      </c>
    </row>
    <row r="42" spans="1:26" s="68" customFormat="1" ht="15" customHeight="1" outlineLevel="1" collapsed="1" x14ac:dyDescent="0.25">
      <c r="A42" s="26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SUM(OSRRefD22_5x_0)</f>
        <v>5471.21</v>
      </c>
      <c r="E42" s="2"/>
      <c r="F42" s="6">
        <f t="shared" si="0"/>
        <v>9.0740360512823401E-2</v>
      </c>
      <c r="G42" s="2"/>
      <c r="H42" s="2">
        <f>SUM(OSRRefH22_5x_0)</f>
        <v>5471.21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SUM(OSRRefP22_5x_0)</f>
        <v>60183.31</v>
      </c>
      <c r="Q42" s="2"/>
      <c r="R42" s="6">
        <f t="shared" si="4"/>
        <v>0.20914985503146633</v>
      </c>
      <c r="S42" s="2"/>
      <c r="T42" s="2">
        <f>SUM(OSRRefT22_5x_0)</f>
        <v>60628.81</v>
      </c>
      <c r="U42" s="2"/>
      <c r="V42" s="6">
        <f t="shared" si="5"/>
        <v>0</v>
      </c>
      <c r="W42" s="2"/>
      <c r="X42" s="2">
        <f t="shared" si="6"/>
        <v>-445.5</v>
      </c>
      <c r="Y42" s="2"/>
      <c r="Z42" s="6">
        <f t="shared" si="7"/>
        <v>-7.3479918210500915E-3</v>
      </c>
    </row>
    <row r="43" spans="1:26" s="69" customFormat="1" ht="15" hidden="1" customHeight="1" outlineLevel="2" x14ac:dyDescent="0.25">
      <c r="A43" s="25"/>
      <c r="B43" s="12" t="str">
        <f>CONCATENATE("          ","6321"," - ","BUILDING DEPRECIATION")</f>
        <v xml:space="preserve">          6321 - BUILDING DEPRECIATION</v>
      </c>
      <c r="C43" s="12"/>
      <c r="D43" s="7">
        <v>5080.51</v>
      </c>
      <c r="E43" s="3"/>
      <c r="F43" s="8">
        <f t="shared" si="0"/>
        <v>8.4260576543215199E-2</v>
      </c>
      <c r="G43" s="3"/>
      <c r="H43" s="7">
        <v>5080.51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>
        <v>55885.61</v>
      </c>
      <c r="Q43" s="3"/>
      <c r="R43" s="8">
        <f t="shared" si="4"/>
        <v>0.1942144297122419</v>
      </c>
      <c r="S43" s="3"/>
      <c r="T43" s="7">
        <v>55885.61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69" customFormat="1" ht="15" hidden="1" customHeight="1" outlineLevel="2" x14ac:dyDescent="0.25">
      <c r="A44" s="25"/>
      <c r="B44" s="12" t="str">
        <f>CONCATENATE("          ","6322"," - ","EQUIPMENT DEPRECIATION EXPENSE")</f>
        <v xml:space="preserve">          6322 - EQUIPMENT DEPRECIATION EXPENSE</v>
      </c>
      <c r="C44" s="12"/>
      <c r="D44" s="7">
        <v>390.7</v>
      </c>
      <c r="E44" s="3"/>
      <c r="F44" s="8">
        <f t="shared" si="0"/>
        <v>6.4797839696082039E-3</v>
      </c>
      <c r="G44" s="3"/>
      <c r="H44" s="7">
        <v>390.7</v>
      </c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4297.7</v>
      </c>
      <c r="Q44" s="3"/>
      <c r="R44" s="8">
        <f t="shared" si="4"/>
        <v>1.493542531922443E-2</v>
      </c>
      <c r="S44" s="3"/>
      <c r="T44" s="7">
        <v>4743.2</v>
      </c>
      <c r="U44" s="3"/>
      <c r="V44" s="8">
        <f t="shared" si="5"/>
        <v>0</v>
      </c>
      <c r="W44" s="3"/>
      <c r="X44" s="7">
        <f t="shared" si="6"/>
        <v>-445.5</v>
      </c>
      <c r="Y44" s="3"/>
      <c r="Z44" s="8">
        <f t="shared" si="7"/>
        <v>-9.3923933209647495E-2</v>
      </c>
    </row>
    <row r="45" spans="1:26" s="68" customFormat="1" ht="15" customHeight="1" outlineLevel="1" collapsed="1" x14ac:dyDescent="0.25">
      <c r="A45" s="26"/>
      <c r="B45" s="14" t="str">
        <f>CONCATENATE("     ","Employees' Appreciation                           ")</f>
        <v xml:space="preserve">     Employees' Appreciation                           </v>
      </c>
      <c r="C45" s="14"/>
      <c r="D45" s="2">
        <f>SUM(OSRRefD22_6x_0)</f>
        <v>16.2</v>
      </c>
      <c r="E45" s="2"/>
      <c r="F45" s="6">
        <f t="shared" si="0"/>
        <v>2.6867801460878657E-4</v>
      </c>
      <c r="G45" s="2"/>
      <c r="H45" s="2">
        <f>SUM(OSRRefH22_6x_0)</f>
        <v>0</v>
      </c>
      <c r="I45" s="2"/>
      <c r="J45" s="6">
        <f t="shared" si="1"/>
        <v>0</v>
      </c>
      <c r="K45" s="2"/>
      <c r="L45" s="2">
        <f t="shared" si="2"/>
        <v>16.2</v>
      </c>
      <c r="M45" s="2"/>
      <c r="N45" s="6">
        <f t="shared" si="3"/>
        <v>0</v>
      </c>
      <c r="O45" s="14"/>
      <c r="P45" s="2">
        <f>SUM(OSRRefP22_6x_0)</f>
        <v>16.2</v>
      </c>
      <c r="Q45" s="2"/>
      <c r="R45" s="6">
        <f t="shared" si="4"/>
        <v>5.6298459681093553E-5</v>
      </c>
      <c r="S45" s="2"/>
      <c r="T45" s="2">
        <f>SUM(OSRRefT22_6x_0)</f>
        <v>0</v>
      </c>
      <c r="U45" s="2"/>
      <c r="V45" s="6">
        <f t="shared" si="5"/>
        <v>0</v>
      </c>
      <c r="W45" s="2"/>
      <c r="X45" s="2">
        <f t="shared" si="6"/>
        <v>16.2</v>
      </c>
      <c r="Y45" s="2"/>
      <c r="Z45" s="6">
        <f t="shared" si="7"/>
        <v>0</v>
      </c>
    </row>
    <row r="46" spans="1:26" s="69" customFormat="1" ht="15" hidden="1" customHeight="1" outlineLevel="2" x14ac:dyDescent="0.25">
      <c r="A46" s="25"/>
      <c r="B46" s="12" t="str">
        <f>CONCATENATE("          ","6277"," - ","EMPLOYEE APPRECIATION")</f>
        <v xml:space="preserve">          6277 - EMPLOYEE APPRECIATION</v>
      </c>
      <c r="C46" s="12"/>
      <c r="D46" s="7">
        <v>16.2</v>
      </c>
      <c r="E46" s="3"/>
      <c r="F46" s="8">
        <f t="shared" si="0"/>
        <v>2.6867801460878657E-4</v>
      </c>
      <c r="G46" s="3"/>
      <c r="H46" s="7"/>
      <c r="I46" s="3"/>
      <c r="J46" s="8">
        <f t="shared" si="1"/>
        <v>0</v>
      </c>
      <c r="K46" s="3"/>
      <c r="L46" s="7">
        <f t="shared" si="2"/>
        <v>16.2</v>
      </c>
      <c r="M46" s="3"/>
      <c r="N46" s="8">
        <f t="shared" si="3"/>
        <v>0</v>
      </c>
      <c r="O46" s="12"/>
      <c r="P46" s="7">
        <v>16.2</v>
      </c>
      <c r="Q46" s="3"/>
      <c r="R46" s="8">
        <f t="shared" si="4"/>
        <v>5.6298459681093553E-5</v>
      </c>
      <c r="S46" s="3"/>
      <c r="T46" s="7"/>
      <c r="U46" s="3"/>
      <c r="V46" s="8">
        <f t="shared" si="5"/>
        <v>0</v>
      </c>
      <c r="W46" s="3"/>
      <c r="X46" s="7">
        <f t="shared" si="6"/>
        <v>16.2</v>
      </c>
      <c r="Y46" s="3"/>
      <c r="Z46" s="8">
        <f t="shared" si="7"/>
        <v>0</v>
      </c>
    </row>
    <row r="47" spans="1:26" s="68" customFormat="1" ht="15" customHeight="1" outlineLevel="1" collapsed="1" x14ac:dyDescent="0.25">
      <c r="A47" s="26"/>
      <c r="B47" s="14" t="str">
        <f>CONCATENATE("     ","Equipment Rental                                  ")</f>
        <v xml:space="preserve">     Equipment Rental                                  </v>
      </c>
      <c r="C47" s="14"/>
      <c r="D47" s="2">
        <f>SUM(OSRRefD22_7x_0)</f>
        <v>0</v>
      </c>
      <c r="E47" s="2"/>
      <c r="F47" s="6">
        <f t="shared" si="0"/>
        <v>0</v>
      </c>
      <c r="G47" s="2"/>
      <c r="H47" s="2">
        <f>SUM(OSRRefH22_7x_0)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SUM(OSRRefP22_7x_0)</f>
        <v>0</v>
      </c>
      <c r="Q47" s="2"/>
      <c r="R47" s="6">
        <f t="shared" si="4"/>
        <v>0</v>
      </c>
      <c r="S47" s="2"/>
      <c r="T47" s="2">
        <f>SUM(OSRRefT22_7x_0)</f>
        <v>605.35</v>
      </c>
      <c r="U47" s="2"/>
      <c r="V47" s="6">
        <f t="shared" si="5"/>
        <v>0</v>
      </c>
      <c r="W47" s="2"/>
      <c r="X47" s="2">
        <f t="shared" si="6"/>
        <v>-605.35</v>
      </c>
      <c r="Y47" s="2"/>
      <c r="Z47" s="6">
        <f t="shared" si="7"/>
        <v>-1</v>
      </c>
    </row>
    <row r="48" spans="1:26" s="69" customFormat="1" ht="15" hidden="1" customHeight="1" outlineLevel="2" x14ac:dyDescent="0.25">
      <c r="A48" s="25"/>
      <c r="B48" s="12" t="str">
        <f>CONCATENATE("          ","6351"," - ","EQUIPMENT RENTAL")</f>
        <v xml:space="preserve">          6351 - EQUIPMENT RENTAL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/>
      <c r="Q48" s="3"/>
      <c r="R48" s="8">
        <f t="shared" si="4"/>
        <v>0</v>
      </c>
      <c r="S48" s="3"/>
      <c r="T48" s="7">
        <v>605.35</v>
      </c>
      <c r="U48" s="3"/>
      <c r="V48" s="8">
        <f t="shared" si="5"/>
        <v>0</v>
      </c>
      <c r="W48" s="3"/>
      <c r="X48" s="7">
        <f t="shared" si="6"/>
        <v>-605.35</v>
      </c>
      <c r="Y48" s="3"/>
      <c r="Z48" s="8">
        <f t="shared" si="7"/>
        <v>-1</v>
      </c>
    </row>
    <row r="49" spans="1:26" s="68" customFormat="1" ht="15" customHeight="1" outlineLevel="1" collapsed="1" x14ac:dyDescent="0.25">
      <c r="A49" s="26"/>
      <c r="B49" s="14" t="str">
        <f>CONCATENATE("     ","General                                           ")</f>
        <v xml:space="preserve">     General                                           </v>
      </c>
      <c r="C49" s="14"/>
      <c r="D49" s="2">
        <f>SUM(OSRRefD22_8x_0)</f>
        <v>0</v>
      </c>
      <c r="E49" s="2"/>
      <c r="F49" s="6">
        <f t="shared" si="0"/>
        <v>0</v>
      </c>
      <c r="G49" s="2"/>
      <c r="H49" s="2">
        <f>SUM(OSRRefH22_8x_0)</f>
        <v>0</v>
      </c>
      <c r="I49" s="2"/>
      <c r="J49" s="6">
        <f t="shared" si="1"/>
        <v>0</v>
      </c>
      <c r="K49" s="2"/>
      <c r="L49" s="2">
        <f t="shared" si="2"/>
        <v>0</v>
      </c>
      <c r="M49" s="2"/>
      <c r="N49" s="6">
        <f t="shared" si="3"/>
        <v>0</v>
      </c>
      <c r="O49" s="14"/>
      <c r="P49" s="2">
        <f>SUM(OSRRefP22_8x_0)</f>
        <v>1002.45</v>
      </c>
      <c r="Q49" s="2"/>
      <c r="R49" s="6">
        <f t="shared" si="4"/>
        <v>3.483727833784706E-3</v>
      </c>
      <c r="S49" s="2"/>
      <c r="T49" s="2">
        <f>SUM(OSRRefT22_8x_0)</f>
        <v>914.55</v>
      </c>
      <c r="U49" s="2"/>
      <c r="V49" s="6">
        <f t="shared" si="5"/>
        <v>0</v>
      </c>
      <c r="W49" s="2"/>
      <c r="X49" s="2">
        <f t="shared" si="6"/>
        <v>87.900000000000091</v>
      </c>
      <c r="Y49" s="2"/>
      <c r="Z49" s="6">
        <f t="shared" si="7"/>
        <v>9.6112842381499197E-2</v>
      </c>
    </row>
    <row r="50" spans="1:26" s="69" customFormat="1" ht="15" hidden="1" customHeight="1" outlineLevel="2" x14ac:dyDescent="0.25">
      <c r="A50" s="25"/>
      <c r="B50" s="12" t="str">
        <f>CONCATENATE("          ","6279"," - ","GENERAL EXPENSE")</f>
        <v xml:space="preserve">          6279 - GENERAL EXPENSE</v>
      </c>
      <c r="C50" s="12"/>
      <c r="D50" s="7"/>
      <c r="E50" s="3"/>
      <c r="F50" s="8">
        <f t="shared" si="0"/>
        <v>0</v>
      </c>
      <c r="G50" s="3"/>
      <c r="H50" s="7"/>
      <c r="I50" s="3"/>
      <c r="J50" s="8">
        <f t="shared" si="1"/>
        <v>0</v>
      </c>
      <c r="K50" s="3"/>
      <c r="L50" s="7">
        <f t="shared" si="2"/>
        <v>0</v>
      </c>
      <c r="M50" s="3"/>
      <c r="N50" s="8">
        <f t="shared" si="3"/>
        <v>0</v>
      </c>
      <c r="O50" s="12"/>
      <c r="P50" s="7">
        <v>1002.45</v>
      </c>
      <c r="Q50" s="3"/>
      <c r="R50" s="8">
        <f t="shared" si="4"/>
        <v>3.483727833784706E-3</v>
      </c>
      <c r="S50" s="3"/>
      <c r="T50" s="7">
        <v>914.55</v>
      </c>
      <c r="U50" s="3"/>
      <c r="V50" s="8">
        <f t="shared" si="5"/>
        <v>0</v>
      </c>
      <c r="W50" s="3"/>
      <c r="X50" s="7">
        <f t="shared" si="6"/>
        <v>87.900000000000091</v>
      </c>
      <c r="Y50" s="3"/>
      <c r="Z50" s="8">
        <f t="shared" si="7"/>
        <v>9.6112842381499197E-2</v>
      </c>
    </row>
    <row r="51" spans="1:26" s="68" customFormat="1" ht="15" customHeight="1" outlineLevel="1" collapsed="1" x14ac:dyDescent="0.25">
      <c r="A51" s="26"/>
      <c r="B51" s="14" t="str">
        <f>CONCATENATE("     ","Insurance                                         ")</f>
        <v xml:space="preserve">     Insurance                                         </v>
      </c>
      <c r="C51" s="14"/>
      <c r="D51" s="2">
        <f>SUM(OSRRefD22_9x_0)</f>
        <v>331.01</v>
      </c>
      <c r="E51" s="2"/>
      <c r="F51" s="6">
        <f t="shared" si="0"/>
        <v>5.489821581213237E-3</v>
      </c>
      <c r="G51" s="2"/>
      <c r="H51" s="2">
        <f>SUM(OSRRefH22_9x_0)</f>
        <v>243.54</v>
      </c>
      <c r="I51" s="2"/>
      <c r="J51" s="6">
        <f t="shared" si="1"/>
        <v>0</v>
      </c>
      <c r="K51" s="2"/>
      <c r="L51" s="2">
        <f t="shared" si="2"/>
        <v>87.47</v>
      </c>
      <c r="M51" s="2"/>
      <c r="N51" s="6">
        <f t="shared" si="3"/>
        <v>0.35916071281924944</v>
      </c>
      <c r="O51" s="14"/>
      <c r="P51" s="2">
        <f>SUM(OSRRefP22_9x_0)</f>
        <v>3641.11</v>
      </c>
      <c r="Q51" s="2"/>
      <c r="R51" s="6">
        <f t="shared" si="4"/>
        <v>1.2653634847495467E-2</v>
      </c>
      <c r="S51" s="2"/>
      <c r="T51" s="2">
        <f>SUM(OSRRefT22_9x_0)</f>
        <v>2678.94</v>
      </c>
      <c r="U51" s="2"/>
      <c r="V51" s="6">
        <f t="shared" si="5"/>
        <v>0</v>
      </c>
      <c r="W51" s="2"/>
      <c r="X51" s="2">
        <f t="shared" si="6"/>
        <v>962.17000000000007</v>
      </c>
      <c r="Y51" s="2"/>
      <c r="Z51" s="6">
        <f t="shared" si="7"/>
        <v>0.35916071281924944</v>
      </c>
    </row>
    <row r="52" spans="1:26" s="69" customFormat="1" ht="15" hidden="1" customHeight="1" outlineLevel="2" x14ac:dyDescent="0.25">
      <c r="A52" s="25"/>
      <c r="B52" s="12" t="str">
        <f>CONCATENATE("          ","6314"," - ","LIABILITY INSURANCE")</f>
        <v xml:space="preserve">          6314 - LIABILITY INSURANCE</v>
      </c>
      <c r="C52" s="12"/>
      <c r="D52" s="7">
        <v>331.01</v>
      </c>
      <c r="E52" s="3"/>
      <c r="F52" s="8">
        <f t="shared" si="0"/>
        <v>5.489821581213237E-3</v>
      </c>
      <c r="G52" s="3"/>
      <c r="H52" s="7">
        <v>243.54</v>
      </c>
      <c r="I52" s="3"/>
      <c r="J52" s="8">
        <f t="shared" si="1"/>
        <v>0</v>
      </c>
      <c r="K52" s="3"/>
      <c r="L52" s="7">
        <f t="shared" si="2"/>
        <v>87.47</v>
      </c>
      <c r="M52" s="3"/>
      <c r="N52" s="8">
        <f t="shared" si="3"/>
        <v>0.35916071281924944</v>
      </c>
      <c r="O52" s="12"/>
      <c r="P52" s="7">
        <v>3641.11</v>
      </c>
      <c r="Q52" s="3"/>
      <c r="R52" s="8">
        <f t="shared" si="4"/>
        <v>1.2653634847495467E-2</v>
      </c>
      <c r="S52" s="3"/>
      <c r="T52" s="7">
        <v>2678.94</v>
      </c>
      <c r="U52" s="3"/>
      <c r="V52" s="8">
        <f t="shared" si="5"/>
        <v>0</v>
      </c>
      <c r="W52" s="3"/>
      <c r="X52" s="7">
        <f t="shared" si="6"/>
        <v>962.17000000000007</v>
      </c>
      <c r="Y52" s="3"/>
      <c r="Z52" s="8">
        <f t="shared" si="7"/>
        <v>0.35916071281924944</v>
      </c>
    </row>
    <row r="53" spans="1:26" s="68" customFormat="1" ht="15" customHeight="1" outlineLevel="1" collapsed="1" x14ac:dyDescent="0.25">
      <c r="A53" s="26"/>
      <c r="B53" s="14" t="str">
        <f>CONCATENATE("     ","Interest                                          ")</f>
        <v xml:space="preserve">     Interest                                          </v>
      </c>
      <c r="C53" s="14"/>
      <c r="D53" s="2">
        <f>SUM(OSRRefD22_10x_0)</f>
        <v>3905</v>
      </c>
      <c r="E53" s="2"/>
      <c r="F53" s="6">
        <f t="shared" si="0"/>
        <v>6.4764669570821692E-2</v>
      </c>
      <c r="G53" s="2"/>
      <c r="H53" s="2">
        <f>SUM(OSRRefH22_10x_0)</f>
        <v>4044</v>
      </c>
      <c r="I53" s="2"/>
      <c r="J53" s="6">
        <f t="shared" si="1"/>
        <v>0</v>
      </c>
      <c r="K53" s="2"/>
      <c r="L53" s="2">
        <f t="shared" si="2"/>
        <v>-139</v>
      </c>
      <c r="M53" s="2"/>
      <c r="N53" s="6">
        <f t="shared" si="3"/>
        <v>-3.4371909000989118E-2</v>
      </c>
      <c r="O53" s="14"/>
      <c r="P53" s="2">
        <f>SUM(OSRRefP22_10x_0)</f>
        <v>41805</v>
      </c>
      <c r="Q53" s="2"/>
      <c r="R53" s="6">
        <f t="shared" si="4"/>
        <v>0.14528130289926644</v>
      </c>
      <c r="S53" s="2"/>
      <c r="T53" s="2">
        <f>SUM(OSRRefT22_10x_0)</f>
        <v>43390.85</v>
      </c>
      <c r="U53" s="2"/>
      <c r="V53" s="6">
        <f t="shared" si="5"/>
        <v>0</v>
      </c>
      <c r="W53" s="2"/>
      <c r="X53" s="2">
        <f t="shared" si="6"/>
        <v>-1585.8499999999985</v>
      </c>
      <c r="Y53" s="2"/>
      <c r="Z53" s="6">
        <f t="shared" si="7"/>
        <v>-3.6548027982858104E-2</v>
      </c>
    </row>
    <row r="54" spans="1:26" s="69" customFormat="1" ht="15" hidden="1" customHeight="1" outlineLevel="2" x14ac:dyDescent="0.25">
      <c r="A54" s="25"/>
      <c r="B54" s="12" t="str">
        <f>CONCATENATE("          ","6401"," - ","INTEREST EXPENSE")</f>
        <v xml:space="preserve">          6401 - INTEREST EXPENSE</v>
      </c>
      <c r="C54" s="12"/>
      <c r="D54" s="7">
        <v>3905</v>
      </c>
      <c r="E54" s="3"/>
      <c r="F54" s="8">
        <f t="shared" ref="F54:F75" si="8">IF(D$12=0,0,D54/D$12)</f>
        <v>6.4764669570821692E-2</v>
      </c>
      <c r="G54" s="3"/>
      <c r="H54" s="7">
        <v>4044</v>
      </c>
      <c r="I54" s="3"/>
      <c r="J54" s="8">
        <f t="shared" ref="J54:J75" si="9">IF(H$12=0,0,H54/H$12)</f>
        <v>0</v>
      </c>
      <c r="K54" s="3"/>
      <c r="L54" s="7">
        <f t="shared" ref="L54:L75" si="10">+D54-H54</f>
        <v>-139</v>
      </c>
      <c r="M54" s="3"/>
      <c r="N54" s="8">
        <f t="shared" ref="N54:N75" si="11">IF(H54=0,0,L54/H54)</f>
        <v>-3.4371909000989118E-2</v>
      </c>
      <c r="O54" s="12"/>
      <c r="P54" s="7">
        <v>41805</v>
      </c>
      <c r="Q54" s="3"/>
      <c r="R54" s="8">
        <f t="shared" ref="R54:R75" si="12">IF(P$12=0,0,P54/P$12)</f>
        <v>0.14528130289926644</v>
      </c>
      <c r="S54" s="3"/>
      <c r="T54" s="7">
        <v>43390.85</v>
      </c>
      <c r="U54" s="3"/>
      <c r="V54" s="8">
        <f t="shared" ref="V54:V75" si="13">IF(T$12=0,0,T54/T$12)</f>
        <v>0</v>
      </c>
      <c r="W54" s="3"/>
      <c r="X54" s="7">
        <f t="shared" ref="X54:X75" si="14">+P54-T54</f>
        <v>-1585.8499999999985</v>
      </c>
      <c r="Y54" s="3"/>
      <c r="Z54" s="8">
        <f t="shared" ref="Z54:Z75" si="15">IF(T54=0,0,X54/T54)</f>
        <v>-3.6548027982858104E-2</v>
      </c>
    </row>
    <row r="55" spans="1:26" s="68" customFormat="1" ht="15" customHeight="1" outlineLevel="1" collapsed="1" x14ac:dyDescent="0.25">
      <c r="A55" s="26"/>
      <c r="B55" s="14" t="str">
        <f>CONCATENATE("     ","Repair and Maintenance                            ")</f>
        <v xml:space="preserve">     Repair and Maintenance                            </v>
      </c>
      <c r="C55" s="14"/>
      <c r="D55" s="2">
        <f>SUM(OSRRefD22_11x_0)</f>
        <v>0</v>
      </c>
      <c r="E55" s="2"/>
      <c r="F55" s="6">
        <f t="shared" si="8"/>
        <v>0</v>
      </c>
      <c r="G55" s="2"/>
      <c r="H55" s="2">
        <f>SUM(OSRRefH22_11x_0)</f>
        <v>205.13</v>
      </c>
      <c r="I55" s="2"/>
      <c r="J55" s="6">
        <f t="shared" si="9"/>
        <v>0</v>
      </c>
      <c r="K55" s="2"/>
      <c r="L55" s="2">
        <f t="shared" si="10"/>
        <v>-205.13</v>
      </c>
      <c r="M55" s="2"/>
      <c r="N55" s="6">
        <f t="shared" si="11"/>
        <v>-1</v>
      </c>
      <c r="O55" s="14"/>
      <c r="P55" s="2">
        <f>SUM(OSRRefP22_11x_0)</f>
        <v>2894.93</v>
      </c>
      <c r="Q55" s="2"/>
      <c r="R55" s="6">
        <f t="shared" si="12"/>
        <v>1.0060499992875812E-2</v>
      </c>
      <c r="S55" s="2"/>
      <c r="T55" s="2">
        <f>SUM(OSRRefT22_11x_0)</f>
        <v>842.29</v>
      </c>
      <c r="U55" s="2"/>
      <c r="V55" s="6">
        <f t="shared" si="13"/>
        <v>0</v>
      </c>
      <c r="W55" s="2"/>
      <c r="X55" s="2">
        <f t="shared" si="14"/>
        <v>2052.64</v>
      </c>
      <c r="Y55" s="2"/>
      <c r="Z55" s="6">
        <f t="shared" si="15"/>
        <v>2.4369753885241425</v>
      </c>
    </row>
    <row r="56" spans="1:26" s="69" customFormat="1" ht="15" hidden="1" customHeight="1" outlineLevel="2" x14ac:dyDescent="0.25">
      <c r="A56" s="25"/>
      <c r="B56" s="12" t="str">
        <f>CONCATENATE("          ","6373"," - ","MAINTENANCE CONTRACTS")</f>
        <v xml:space="preserve">          6373 - MAINTENANCE CONTRACTS</v>
      </c>
      <c r="C56" s="12"/>
      <c r="D56" s="7"/>
      <c r="E56" s="3"/>
      <c r="F56" s="8">
        <f t="shared" si="8"/>
        <v>0</v>
      </c>
      <c r="G56" s="3"/>
      <c r="H56" s="7"/>
      <c r="I56" s="3"/>
      <c r="J56" s="8">
        <f t="shared" si="9"/>
        <v>0</v>
      </c>
      <c r="K56" s="3"/>
      <c r="L56" s="7">
        <f t="shared" si="10"/>
        <v>0</v>
      </c>
      <c r="M56" s="3"/>
      <c r="N56" s="8">
        <f t="shared" si="11"/>
        <v>0</v>
      </c>
      <c r="O56" s="12"/>
      <c r="P56" s="7">
        <v>733.68</v>
      </c>
      <c r="Q56" s="3"/>
      <c r="R56" s="8">
        <f t="shared" si="12"/>
        <v>2.5496946851126371E-3</v>
      </c>
      <c r="S56" s="3"/>
      <c r="T56" s="7">
        <v>404.16</v>
      </c>
      <c r="U56" s="3"/>
      <c r="V56" s="8">
        <f t="shared" si="13"/>
        <v>0</v>
      </c>
      <c r="W56" s="3"/>
      <c r="X56" s="7">
        <f t="shared" si="14"/>
        <v>329.51999999999992</v>
      </c>
      <c r="Y56" s="3"/>
      <c r="Z56" s="8">
        <f t="shared" si="15"/>
        <v>0.81532066508313517</v>
      </c>
    </row>
    <row r="57" spans="1:26" s="69" customFormat="1" ht="15" hidden="1" customHeight="1" outlineLevel="2" x14ac:dyDescent="0.25">
      <c r="A57" s="25"/>
      <c r="B57" s="12" t="str">
        <f>CONCATENATE("          ","6375"," - ","OUTSIDE REPAIRS &amp; MAINTENANCE")</f>
        <v xml:space="preserve">          6375 - OUTSIDE REPAIRS &amp; MAINTENANCE</v>
      </c>
      <c r="C57" s="12"/>
      <c r="D57" s="7"/>
      <c r="E57" s="3"/>
      <c r="F57" s="8">
        <f t="shared" si="8"/>
        <v>0</v>
      </c>
      <c r="G57" s="3"/>
      <c r="H57" s="7">
        <v>205.13</v>
      </c>
      <c r="I57" s="3"/>
      <c r="J57" s="8">
        <f t="shared" si="9"/>
        <v>0</v>
      </c>
      <c r="K57" s="3"/>
      <c r="L57" s="7">
        <f t="shared" si="10"/>
        <v>-205.13</v>
      </c>
      <c r="M57" s="3"/>
      <c r="N57" s="8">
        <f t="shared" si="11"/>
        <v>-1</v>
      </c>
      <c r="O57" s="12"/>
      <c r="P57" s="7">
        <v>2161.25</v>
      </c>
      <c r="Q57" s="3"/>
      <c r="R57" s="8">
        <f t="shared" si="12"/>
        <v>7.5108053077631758E-3</v>
      </c>
      <c r="S57" s="3"/>
      <c r="T57" s="7">
        <v>438.13</v>
      </c>
      <c r="U57" s="3"/>
      <c r="V57" s="8">
        <f t="shared" si="13"/>
        <v>0</v>
      </c>
      <c r="W57" s="3"/>
      <c r="X57" s="7">
        <f t="shared" si="14"/>
        <v>1723.12</v>
      </c>
      <c r="Y57" s="3"/>
      <c r="Z57" s="8">
        <f t="shared" si="15"/>
        <v>3.9328966288544494</v>
      </c>
    </row>
    <row r="58" spans="1:26" s="68" customFormat="1" ht="15" customHeight="1" outlineLevel="1" collapsed="1" x14ac:dyDescent="0.25">
      <c r="A58" s="26"/>
      <c r="B58" s="14" t="str">
        <f>CONCATENATE("     ","Services                                          ")</f>
        <v xml:space="preserve">     Services                                          </v>
      </c>
      <c r="C58" s="14"/>
      <c r="D58" s="2">
        <f>SUM(OSRRefD22_12x_0)</f>
        <v>93.03</v>
      </c>
      <c r="E58" s="2"/>
      <c r="F58" s="6">
        <f t="shared" si="8"/>
        <v>1.542908376484902E-3</v>
      </c>
      <c r="G58" s="2"/>
      <c r="H58" s="2">
        <f>SUM(OSRRefH22_12x_0)</f>
        <v>457.4</v>
      </c>
      <c r="I58" s="2"/>
      <c r="J58" s="6">
        <f t="shared" si="9"/>
        <v>0</v>
      </c>
      <c r="K58" s="2"/>
      <c r="L58" s="2">
        <f t="shared" si="10"/>
        <v>-364.37</v>
      </c>
      <c r="M58" s="2"/>
      <c r="N58" s="6">
        <f t="shared" si="11"/>
        <v>-0.79661128115435076</v>
      </c>
      <c r="O58" s="14"/>
      <c r="P58" s="2">
        <f>SUM(OSRRefP22_12x_0)</f>
        <v>9936.2500000000018</v>
      </c>
      <c r="Q58" s="2"/>
      <c r="R58" s="6">
        <f t="shared" si="12"/>
        <v>3.4530590741127527E-2</v>
      </c>
      <c r="S58" s="2"/>
      <c r="T58" s="2">
        <f>SUM(OSRRefT22_12x_0)</f>
        <v>2408.15</v>
      </c>
      <c r="U58" s="2"/>
      <c r="V58" s="6">
        <f t="shared" si="13"/>
        <v>0</v>
      </c>
      <c r="W58" s="2"/>
      <c r="X58" s="2">
        <f t="shared" si="14"/>
        <v>7528.1000000000022</v>
      </c>
      <c r="Y58" s="2"/>
      <c r="Z58" s="6">
        <f t="shared" si="15"/>
        <v>3.1260926437306655</v>
      </c>
    </row>
    <row r="59" spans="1:26" s="69" customFormat="1" ht="15" hidden="1" customHeight="1" outlineLevel="2" x14ac:dyDescent="0.25">
      <c r="A59" s="25"/>
      <c r="B59" s="12" t="str">
        <f>CONCATENATE("          ","6282"," - ","JANITORIAL/EXTERMINATOR EXPENS")</f>
        <v xml:space="preserve">          6282 - JANITORIAL/EXTERMINATOR EXPENS</v>
      </c>
      <c r="C59" s="12"/>
      <c r="D59" s="7"/>
      <c r="E59" s="3"/>
      <c r="F59" s="8">
        <f t="shared" si="8"/>
        <v>0</v>
      </c>
      <c r="G59" s="3"/>
      <c r="H59" s="7">
        <v>168.4</v>
      </c>
      <c r="I59" s="3"/>
      <c r="J59" s="8">
        <f t="shared" si="9"/>
        <v>0</v>
      </c>
      <c r="K59" s="3"/>
      <c r="L59" s="7">
        <f t="shared" si="10"/>
        <v>-168.4</v>
      </c>
      <c r="M59" s="3"/>
      <c r="N59" s="8">
        <f t="shared" si="11"/>
        <v>-1</v>
      </c>
      <c r="O59" s="12"/>
      <c r="P59" s="7">
        <v>1717.7</v>
      </c>
      <c r="Q59" s="3"/>
      <c r="R59" s="8">
        <f t="shared" si="12"/>
        <v>5.9693743329761982E-3</v>
      </c>
      <c r="S59" s="3"/>
      <c r="T59" s="7">
        <v>955.15</v>
      </c>
      <c r="U59" s="3"/>
      <c r="V59" s="8">
        <f t="shared" si="13"/>
        <v>0</v>
      </c>
      <c r="W59" s="3"/>
      <c r="X59" s="7">
        <f t="shared" si="14"/>
        <v>762.55000000000007</v>
      </c>
      <c r="Y59" s="3"/>
      <c r="Z59" s="8">
        <f t="shared" si="15"/>
        <v>0.79835627911846319</v>
      </c>
    </row>
    <row r="60" spans="1:26" s="69" customFormat="1" ht="15" hidden="1" customHeight="1" outlineLevel="2" x14ac:dyDescent="0.25">
      <c r="A60" s="25"/>
      <c r="B60" s="12" t="str">
        <f>CONCATENATE("          ","6284"," - ","TRASH REMOVAL EXPENSE")</f>
        <v xml:space="preserve">          6284 - TRASH REMOVAL EXPENSE</v>
      </c>
      <c r="C60" s="12"/>
      <c r="D60" s="7"/>
      <c r="E60" s="3"/>
      <c r="F60" s="8">
        <f t="shared" si="8"/>
        <v>0</v>
      </c>
      <c r="G60" s="3"/>
      <c r="H60" s="7">
        <v>289</v>
      </c>
      <c r="I60" s="3"/>
      <c r="J60" s="8">
        <f t="shared" si="9"/>
        <v>0</v>
      </c>
      <c r="K60" s="3"/>
      <c r="L60" s="7">
        <f t="shared" si="10"/>
        <v>-289</v>
      </c>
      <c r="M60" s="3"/>
      <c r="N60" s="8">
        <f t="shared" si="11"/>
        <v>-1</v>
      </c>
      <c r="O60" s="12"/>
      <c r="P60" s="7"/>
      <c r="Q60" s="3"/>
      <c r="R60" s="8">
        <f t="shared" si="12"/>
        <v>0</v>
      </c>
      <c r="S60" s="3"/>
      <c r="T60" s="7">
        <v>1453</v>
      </c>
      <c r="U60" s="3"/>
      <c r="V60" s="8">
        <f t="shared" si="13"/>
        <v>0</v>
      </c>
      <c r="W60" s="3"/>
      <c r="X60" s="7">
        <f t="shared" si="14"/>
        <v>-1453</v>
      </c>
      <c r="Y60" s="3"/>
      <c r="Z60" s="8">
        <f t="shared" si="15"/>
        <v>-1</v>
      </c>
    </row>
    <row r="61" spans="1:26" s="69" customFormat="1" ht="15" hidden="1" customHeight="1" outlineLevel="2" x14ac:dyDescent="0.25">
      <c r="A61" s="25"/>
      <c r="B61" s="12" t="str">
        <f>CONCATENATE("          ","6285"," - ","JANITORIAL SERVICES")</f>
        <v xml:space="preserve">          6285 - JANITORIAL SERVICES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7286.6</v>
      </c>
      <c r="Q61" s="3"/>
      <c r="R61" s="8">
        <f t="shared" si="12"/>
        <v>2.5322491130386194E-2</v>
      </c>
      <c r="S61" s="3"/>
      <c r="T61" s="7"/>
      <c r="U61" s="3"/>
      <c r="V61" s="8">
        <f t="shared" si="13"/>
        <v>0</v>
      </c>
      <c r="W61" s="3"/>
      <c r="X61" s="7">
        <f t="shared" si="14"/>
        <v>7286.6</v>
      </c>
      <c r="Y61" s="3"/>
      <c r="Z61" s="8">
        <f t="shared" si="15"/>
        <v>0</v>
      </c>
    </row>
    <row r="62" spans="1:26" s="69" customFormat="1" ht="15" hidden="1" customHeight="1" outlineLevel="2" x14ac:dyDescent="0.25">
      <c r="A62" s="25"/>
      <c r="B62" s="12" t="str">
        <f>CONCATENATE("          ","6286"," - ","LAUNDRY EXPENSE")</f>
        <v xml:space="preserve">          6286 - LAUNDRY EXPENSE</v>
      </c>
      <c r="C62" s="12"/>
      <c r="D62" s="7">
        <v>93.03</v>
      </c>
      <c r="E62" s="3"/>
      <c r="F62" s="8">
        <f t="shared" si="8"/>
        <v>1.542908376484902E-3</v>
      </c>
      <c r="G62" s="3"/>
      <c r="H62" s="7"/>
      <c r="I62" s="3"/>
      <c r="J62" s="8">
        <f t="shared" si="9"/>
        <v>0</v>
      </c>
      <c r="K62" s="3"/>
      <c r="L62" s="7">
        <f t="shared" si="10"/>
        <v>93.03</v>
      </c>
      <c r="M62" s="3"/>
      <c r="N62" s="8">
        <f t="shared" si="11"/>
        <v>0</v>
      </c>
      <c r="O62" s="12"/>
      <c r="P62" s="7">
        <v>931.95</v>
      </c>
      <c r="Q62" s="3"/>
      <c r="R62" s="8">
        <f t="shared" si="12"/>
        <v>3.2387252777651321E-3</v>
      </c>
      <c r="S62" s="3"/>
      <c r="T62" s="7"/>
      <c r="U62" s="3"/>
      <c r="V62" s="8">
        <f t="shared" si="13"/>
        <v>0</v>
      </c>
      <c r="W62" s="3"/>
      <c r="X62" s="7">
        <f t="shared" si="14"/>
        <v>931.95</v>
      </c>
      <c r="Y62" s="3"/>
      <c r="Z62" s="8">
        <f t="shared" si="15"/>
        <v>0</v>
      </c>
    </row>
    <row r="63" spans="1:26" s="68" customFormat="1" ht="15" customHeight="1" outlineLevel="1" collapsed="1" x14ac:dyDescent="0.25">
      <c r="A63" s="26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SUM(OSRRefD22_13x_0)</f>
        <v>922.96</v>
      </c>
      <c r="E63" s="2"/>
      <c r="F63" s="6">
        <f t="shared" si="8"/>
        <v>1.5307349405143559E-2</v>
      </c>
      <c r="G63" s="2"/>
      <c r="H63" s="2">
        <f>SUM(OSRRefH22_13x_0)</f>
        <v>0</v>
      </c>
      <c r="I63" s="2"/>
      <c r="J63" s="6">
        <f t="shared" si="9"/>
        <v>0</v>
      </c>
      <c r="K63" s="2"/>
      <c r="L63" s="2">
        <f t="shared" si="10"/>
        <v>922.96</v>
      </c>
      <c r="M63" s="2"/>
      <c r="N63" s="6">
        <f t="shared" si="11"/>
        <v>0</v>
      </c>
      <c r="O63" s="14"/>
      <c r="P63" s="2">
        <f>SUM(OSRRefP22_13x_0)</f>
        <v>4924.82</v>
      </c>
      <c r="Q63" s="2"/>
      <c r="R63" s="6">
        <f t="shared" si="12"/>
        <v>1.711480124732365E-2</v>
      </c>
      <c r="S63" s="2"/>
      <c r="T63" s="2">
        <f>SUM(OSRRefT22_13x_0)</f>
        <v>634.24</v>
      </c>
      <c r="U63" s="2"/>
      <c r="V63" s="6">
        <f t="shared" si="13"/>
        <v>0</v>
      </c>
      <c r="W63" s="2"/>
      <c r="X63" s="2">
        <f t="shared" si="14"/>
        <v>4290.58</v>
      </c>
      <c r="Y63" s="2"/>
      <c r="Z63" s="6">
        <f t="shared" si="15"/>
        <v>6.7649154894046415</v>
      </c>
    </row>
    <row r="64" spans="1:26" s="69" customFormat="1" ht="15" hidden="1" customHeight="1" outlineLevel="2" x14ac:dyDescent="0.25">
      <c r="A64" s="25"/>
      <c r="B64" s="12" t="str">
        <f>CONCATENATE("          ","6234"," - ","EXPENDABLE SUPPLIES &amp; EQUIPMEN")</f>
        <v xml:space="preserve">          6234 - EXPENDABLE SUPPLIES &amp; EQUIPMEN</v>
      </c>
      <c r="C64" s="12"/>
      <c r="D64" s="7"/>
      <c r="E64" s="3"/>
      <c r="F64" s="8">
        <f t="shared" si="8"/>
        <v>0</v>
      </c>
      <c r="G64" s="3"/>
      <c r="H64" s="7"/>
      <c r="I64" s="3"/>
      <c r="J64" s="8">
        <f t="shared" si="9"/>
        <v>0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/>
      <c r="Q64" s="3"/>
      <c r="R64" s="8">
        <f t="shared" si="12"/>
        <v>0</v>
      </c>
      <c r="S64" s="3"/>
      <c r="T64" s="7">
        <v>316.67</v>
      </c>
      <c r="U64" s="3"/>
      <c r="V64" s="8">
        <f t="shared" si="13"/>
        <v>0</v>
      </c>
      <c r="W64" s="3"/>
      <c r="X64" s="7">
        <f t="shared" si="14"/>
        <v>-316.67</v>
      </c>
      <c r="Y64" s="3"/>
      <c r="Z64" s="8">
        <f t="shared" si="15"/>
        <v>-1</v>
      </c>
    </row>
    <row r="65" spans="1:26" s="69" customFormat="1" ht="15" hidden="1" customHeight="1" outlineLevel="2" x14ac:dyDescent="0.25">
      <c r="A65" s="25"/>
      <c r="B65" s="12" t="str">
        <f>CONCATENATE("          ","6235"," - ","COVID-19 EXPENSES")</f>
        <v xml:space="preserve">          6235 - COVID-19 EXPENSES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71.45</v>
      </c>
      <c r="Q65" s="3"/>
      <c r="R65" s="8">
        <f t="shared" si="12"/>
        <v>2.4830400890210711E-4</v>
      </c>
      <c r="S65" s="3"/>
      <c r="T65" s="7"/>
      <c r="U65" s="3"/>
      <c r="V65" s="8">
        <f t="shared" si="13"/>
        <v>0</v>
      </c>
      <c r="W65" s="3"/>
      <c r="X65" s="7">
        <f t="shared" si="14"/>
        <v>71.45</v>
      </c>
      <c r="Y65" s="3"/>
      <c r="Z65" s="8">
        <f t="shared" si="15"/>
        <v>0</v>
      </c>
    </row>
    <row r="66" spans="1:26" s="69" customFormat="1" ht="15" hidden="1" customHeight="1" outlineLevel="2" x14ac:dyDescent="0.25">
      <c r="A66" s="25"/>
      <c r="B66" s="12" t="str">
        <f>CONCATENATE("          ","6237"," - ","JANITORIAL SUPPLIES")</f>
        <v xml:space="preserve">          6237 - JANITORIAL SUPPLIES</v>
      </c>
      <c r="C66" s="12"/>
      <c r="D66" s="7">
        <v>196.26</v>
      </c>
      <c r="E66" s="3"/>
      <c r="F66" s="8">
        <f t="shared" si="8"/>
        <v>3.2549843917975586E-3</v>
      </c>
      <c r="G66" s="3"/>
      <c r="H66" s="7"/>
      <c r="I66" s="3"/>
      <c r="J66" s="8">
        <f t="shared" si="9"/>
        <v>0</v>
      </c>
      <c r="K66" s="3"/>
      <c r="L66" s="7">
        <f t="shared" si="10"/>
        <v>196.26</v>
      </c>
      <c r="M66" s="3"/>
      <c r="N66" s="8">
        <f t="shared" si="11"/>
        <v>0</v>
      </c>
      <c r="O66" s="12"/>
      <c r="P66" s="7">
        <v>1186.73</v>
      </c>
      <c r="Q66" s="3"/>
      <c r="R66" s="8">
        <f t="shared" si="12"/>
        <v>4.1241401887249481E-3</v>
      </c>
      <c r="S66" s="3"/>
      <c r="T66" s="7">
        <v>317.57</v>
      </c>
      <c r="U66" s="3"/>
      <c r="V66" s="8">
        <f t="shared" si="13"/>
        <v>0</v>
      </c>
      <c r="W66" s="3"/>
      <c r="X66" s="7">
        <f t="shared" si="14"/>
        <v>869.16000000000008</v>
      </c>
      <c r="Y66" s="3"/>
      <c r="Z66" s="8">
        <f t="shared" si="15"/>
        <v>2.7369083981484401</v>
      </c>
    </row>
    <row r="67" spans="1:26" s="69" customFormat="1" ht="15" hidden="1" customHeight="1" outlineLevel="2" x14ac:dyDescent="0.25">
      <c r="A67" s="25"/>
      <c r="B67" s="12" t="str">
        <f>CONCATENATE("          ","6241"," - ","OFFICE EXPENSE")</f>
        <v xml:space="preserve">          6241 - OFFICE EXPENSE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>
        <v>427.98</v>
      </c>
      <c r="Q67" s="3"/>
      <c r="R67" s="8">
        <f t="shared" si="12"/>
        <v>1.4873218996490384E-3</v>
      </c>
      <c r="S67" s="3"/>
      <c r="T67" s="7"/>
      <c r="U67" s="3"/>
      <c r="V67" s="8">
        <f t="shared" si="13"/>
        <v>0</v>
      </c>
      <c r="W67" s="3"/>
      <c r="X67" s="7">
        <f t="shared" si="14"/>
        <v>427.98</v>
      </c>
      <c r="Y67" s="3"/>
      <c r="Z67" s="8">
        <f t="shared" si="15"/>
        <v>0</v>
      </c>
    </row>
    <row r="68" spans="1:26" s="69" customFormat="1" ht="15" hidden="1" customHeight="1" outlineLevel="2" x14ac:dyDescent="0.25">
      <c r="A68" s="25"/>
      <c r="B68" s="12" t="str">
        <f>CONCATENATE("          ","6243"," - ","PAPER SUPPLIES")</f>
        <v xml:space="preserve">          6243 - PAPER SUPPLIES</v>
      </c>
      <c r="C68" s="12"/>
      <c r="D68" s="7">
        <v>677.12</v>
      </c>
      <c r="E68" s="3"/>
      <c r="F68" s="8">
        <f t="shared" si="8"/>
        <v>1.1230077608142071E-2</v>
      </c>
      <c r="G68" s="3"/>
      <c r="H68" s="7"/>
      <c r="I68" s="3"/>
      <c r="J68" s="8">
        <f t="shared" si="9"/>
        <v>0</v>
      </c>
      <c r="K68" s="3"/>
      <c r="L68" s="7">
        <f t="shared" si="10"/>
        <v>677.12</v>
      </c>
      <c r="M68" s="3"/>
      <c r="N68" s="8">
        <f t="shared" si="11"/>
        <v>0</v>
      </c>
      <c r="O68" s="12"/>
      <c r="P68" s="7">
        <v>721.5</v>
      </c>
      <c r="Q68" s="3"/>
      <c r="R68" s="8">
        <f t="shared" si="12"/>
        <v>2.507366583945E-3</v>
      </c>
      <c r="S68" s="3"/>
      <c r="T68" s="7"/>
      <c r="U68" s="3"/>
      <c r="V68" s="8">
        <f t="shared" si="13"/>
        <v>0</v>
      </c>
      <c r="W68" s="3"/>
      <c r="X68" s="7">
        <f t="shared" si="14"/>
        <v>721.5</v>
      </c>
      <c r="Y68" s="3"/>
      <c r="Z68" s="8">
        <f t="shared" si="15"/>
        <v>0</v>
      </c>
    </row>
    <row r="69" spans="1:26" s="69" customFormat="1" ht="15" hidden="1" customHeight="1" outlineLevel="2" x14ac:dyDescent="0.25">
      <c r="A69" s="25"/>
      <c r="B69" s="12" t="str">
        <f>CONCATENATE("          ","6247"," - ","STORE SUPPLIES")</f>
        <v xml:space="preserve">          6247 - STORE SUPPLIES</v>
      </c>
      <c r="C69" s="12"/>
      <c r="D69" s="7">
        <v>49.58</v>
      </c>
      <c r="E69" s="3"/>
      <c r="F69" s="8">
        <f t="shared" si="8"/>
        <v>8.2228740520392824E-4</v>
      </c>
      <c r="G69" s="3"/>
      <c r="H69" s="7"/>
      <c r="I69" s="3"/>
      <c r="J69" s="8">
        <f t="shared" si="9"/>
        <v>0</v>
      </c>
      <c r="K69" s="3"/>
      <c r="L69" s="7">
        <f t="shared" si="10"/>
        <v>49.58</v>
      </c>
      <c r="M69" s="3"/>
      <c r="N69" s="8">
        <f t="shared" si="11"/>
        <v>0</v>
      </c>
      <c r="O69" s="12"/>
      <c r="P69" s="7">
        <v>2517.16</v>
      </c>
      <c r="Q69" s="3"/>
      <c r="R69" s="8">
        <f t="shared" si="12"/>
        <v>8.747668566102559E-3</v>
      </c>
      <c r="S69" s="3"/>
      <c r="T69" s="7"/>
      <c r="U69" s="3"/>
      <c r="V69" s="8">
        <f t="shared" si="13"/>
        <v>0</v>
      </c>
      <c r="W69" s="3"/>
      <c r="X69" s="7">
        <f t="shared" si="14"/>
        <v>2517.16</v>
      </c>
      <c r="Y69" s="3"/>
      <c r="Z69" s="8">
        <f t="shared" si="15"/>
        <v>0</v>
      </c>
    </row>
    <row r="70" spans="1:26" s="68" customFormat="1" ht="15" customHeight="1" outlineLevel="1" collapsed="1" x14ac:dyDescent="0.25">
      <c r="A70" s="26"/>
      <c r="B70" s="14" t="str">
        <f>CONCATENATE("     ","Telephone/Data Lines                              ")</f>
        <v xml:space="preserve">     Telephone/Data Lines                              </v>
      </c>
      <c r="C70" s="14"/>
      <c r="D70" s="2">
        <f>SUM(OSRRefD22_14x_0)</f>
        <v>97</v>
      </c>
      <c r="E70" s="2"/>
      <c r="F70" s="6">
        <f t="shared" si="8"/>
        <v>1.6087510751266849E-3</v>
      </c>
      <c r="G70" s="2"/>
      <c r="H70" s="2">
        <f>SUM(OSRRefH22_14x_0)</f>
        <v>-128</v>
      </c>
      <c r="I70" s="2"/>
      <c r="J70" s="6">
        <f t="shared" si="9"/>
        <v>0</v>
      </c>
      <c r="K70" s="2"/>
      <c r="L70" s="2">
        <f t="shared" si="10"/>
        <v>225</v>
      </c>
      <c r="M70" s="2"/>
      <c r="N70" s="6">
        <f t="shared" si="11"/>
        <v>-1.7578125</v>
      </c>
      <c r="O70" s="14"/>
      <c r="P70" s="2">
        <f>SUM(OSRRefP22_14x_0)</f>
        <v>777</v>
      </c>
      <c r="Q70" s="2"/>
      <c r="R70" s="6">
        <f t="shared" si="12"/>
        <v>2.7002409365561538E-3</v>
      </c>
      <c r="S70" s="2"/>
      <c r="T70" s="2">
        <f>SUM(OSRRefT22_14x_0)</f>
        <v>997.87</v>
      </c>
      <c r="U70" s="2"/>
      <c r="V70" s="6">
        <f t="shared" si="13"/>
        <v>0</v>
      </c>
      <c r="W70" s="2"/>
      <c r="X70" s="2">
        <f t="shared" si="14"/>
        <v>-220.87</v>
      </c>
      <c r="Y70" s="2"/>
      <c r="Z70" s="6">
        <f t="shared" si="15"/>
        <v>-0.22134145730405766</v>
      </c>
    </row>
    <row r="71" spans="1:26" s="69" customFormat="1" ht="15" hidden="1" customHeight="1" outlineLevel="2" x14ac:dyDescent="0.25">
      <c r="A71" s="25"/>
      <c r="B71" s="12" t="str">
        <f>CONCATENATE("          ","6309"," - ","TELEPHONE")</f>
        <v xml:space="preserve">          6309 - TELEPHONE</v>
      </c>
      <c r="C71" s="12"/>
      <c r="D71" s="7">
        <v>97</v>
      </c>
      <c r="E71" s="3"/>
      <c r="F71" s="8">
        <f t="shared" si="8"/>
        <v>1.6087510751266849E-3</v>
      </c>
      <c r="G71" s="3"/>
      <c r="H71" s="7">
        <v>-128</v>
      </c>
      <c r="I71" s="3"/>
      <c r="J71" s="8">
        <f t="shared" si="9"/>
        <v>0</v>
      </c>
      <c r="K71" s="3"/>
      <c r="L71" s="7">
        <f t="shared" si="10"/>
        <v>225</v>
      </c>
      <c r="M71" s="3"/>
      <c r="N71" s="8">
        <f t="shared" si="11"/>
        <v>-1.7578125</v>
      </c>
      <c r="O71" s="12"/>
      <c r="P71" s="7">
        <v>777</v>
      </c>
      <c r="Q71" s="3"/>
      <c r="R71" s="8">
        <f t="shared" si="12"/>
        <v>2.7002409365561538E-3</v>
      </c>
      <c r="S71" s="3"/>
      <c r="T71" s="7">
        <v>997.87</v>
      </c>
      <c r="U71" s="3"/>
      <c r="V71" s="8">
        <f t="shared" si="13"/>
        <v>0</v>
      </c>
      <c r="W71" s="3"/>
      <c r="X71" s="7">
        <f t="shared" si="14"/>
        <v>-220.87</v>
      </c>
      <c r="Y71" s="3"/>
      <c r="Z71" s="8">
        <f t="shared" si="15"/>
        <v>-0.22134145730405766</v>
      </c>
    </row>
    <row r="72" spans="1:26" s="68" customFormat="1" ht="15" customHeight="1" outlineLevel="1" collapsed="1" x14ac:dyDescent="0.25">
      <c r="A72" s="26"/>
      <c r="B72" s="14" t="str">
        <f>CONCATENATE("     ","Training                                          ")</f>
        <v xml:space="preserve">     Training                                          </v>
      </c>
      <c r="C72" s="14"/>
      <c r="D72" s="2">
        <f>SUM(OSRRefD22_15x_0)</f>
        <v>0</v>
      </c>
      <c r="E72" s="2"/>
      <c r="F72" s="6">
        <f t="shared" si="8"/>
        <v>0</v>
      </c>
      <c r="G72" s="2"/>
      <c r="H72" s="2">
        <f>SUM(OSRRefH22_15x_0)</f>
        <v>0</v>
      </c>
      <c r="I72" s="2"/>
      <c r="J72" s="6">
        <f t="shared" si="9"/>
        <v>0</v>
      </c>
      <c r="K72" s="2"/>
      <c r="L72" s="2">
        <f t="shared" si="10"/>
        <v>0</v>
      </c>
      <c r="M72" s="2"/>
      <c r="N72" s="6">
        <f t="shared" si="11"/>
        <v>0</v>
      </c>
      <c r="O72" s="14"/>
      <c r="P72" s="2">
        <f>SUM(OSRRefP22_15x_0)</f>
        <v>120</v>
      </c>
      <c r="Q72" s="2"/>
      <c r="R72" s="6">
        <f t="shared" si="12"/>
        <v>4.170256272673597E-4</v>
      </c>
      <c r="S72" s="2"/>
      <c r="T72" s="2">
        <f>SUM(OSRRefT22_15x_0)</f>
        <v>0</v>
      </c>
      <c r="U72" s="2"/>
      <c r="V72" s="6">
        <f t="shared" si="13"/>
        <v>0</v>
      </c>
      <c r="W72" s="2"/>
      <c r="X72" s="2">
        <f t="shared" si="14"/>
        <v>120</v>
      </c>
      <c r="Y72" s="2"/>
      <c r="Z72" s="6">
        <f t="shared" si="15"/>
        <v>0</v>
      </c>
    </row>
    <row r="73" spans="1:26" s="69" customFormat="1" ht="15" hidden="1" customHeight="1" outlineLevel="2" x14ac:dyDescent="0.25">
      <c r="A73" s="25"/>
      <c r="B73" s="12" t="str">
        <f>CONCATENATE("          ","6376"," - ","TRAINING")</f>
        <v xml:space="preserve">          6376 - TRAINING</v>
      </c>
      <c r="C73" s="12"/>
      <c r="D73" s="7"/>
      <c r="E73" s="3"/>
      <c r="F73" s="8">
        <f t="shared" si="8"/>
        <v>0</v>
      </c>
      <c r="G73" s="3"/>
      <c r="H73" s="7"/>
      <c r="I73" s="3"/>
      <c r="J73" s="8">
        <f t="shared" si="9"/>
        <v>0</v>
      </c>
      <c r="K73" s="3"/>
      <c r="L73" s="7">
        <f t="shared" si="10"/>
        <v>0</v>
      </c>
      <c r="M73" s="3"/>
      <c r="N73" s="8">
        <f t="shared" si="11"/>
        <v>0</v>
      </c>
      <c r="O73" s="12"/>
      <c r="P73" s="7">
        <v>120</v>
      </c>
      <c r="Q73" s="3"/>
      <c r="R73" s="8">
        <f t="shared" si="12"/>
        <v>4.170256272673597E-4</v>
      </c>
      <c r="S73" s="3"/>
      <c r="T73" s="7"/>
      <c r="U73" s="3"/>
      <c r="V73" s="8">
        <f t="shared" si="13"/>
        <v>0</v>
      </c>
      <c r="W73" s="3"/>
      <c r="X73" s="7">
        <f t="shared" si="14"/>
        <v>120</v>
      </c>
      <c r="Y73" s="3"/>
      <c r="Z73" s="8">
        <f t="shared" si="15"/>
        <v>0</v>
      </c>
    </row>
    <row r="74" spans="1:26" s="68" customFormat="1" ht="15" customHeight="1" outlineLevel="1" collapsed="1" x14ac:dyDescent="0.25">
      <c r="A74" s="26"/>
      <c r="B74" s="14" t="str">
        <f>CONCATENATE("     ","Utilities                                         ")</f>
        <v xml:space="preserve">     Utilities                                         </v>
      </c>
      <c r="C74" s="14"/>
      <c r="D74" s="2">
        <f>SUM(OSRRefD22_16x_0)</f>
        <v>242.98</v>
      </c>
      <c r="E74" s="2"/>
      <c r="F74" s="6">
        <f t="shared" si="8"/>
        <v>4.0298385178791953E-3</v>
      </c>
      <c r="G74" s="2"/>
      <c r="H74" s="2">
        <f>SUM(OSRRefH22_16x_0)</f>
        <v>878</v>
      </c>
      <c r="I74" s="2"/>
      <c r="J74" s="6">
        <f t="shared" si="9"/>
        <v>0</v>
      </c>
      <c r="K74" s="2"/>
      <c r="L74" s="2">
        <f t="shared" si="10"/>
        <v>-635.02</v>
      </c>
      <c r="M74" s="2"/>
      <c r="N74" s="6">
        <f t="shared" si="11"/>
        <v>-0.72325740318906606</v>
      </c>
      <c r="O74" s="14"/>
      <c r="P74" s="2">
        <f>SUM(OSRRefP22_16x_0)</f>
        <v>1242.98</v>
      </c>
      <c r="Q74" s="2"/>
      <c r="R74" s="6">
        <f t="shared" si="12"/>
        <v>4.3196209515065226E-3</v>
      </c>
      <c r="S74" s="2"/>
      <c r="T74" s="2">
        <f>SUM(OSRRefT22_16x_0)</f>
        <v>5207</v>
      </c>
      <c r="U74" s="2"/>
      <c r="V74" s="6">
        <f t="shared" si="13"/>
        <v>0</v>
      </c>
      <c r="W74" s="2"/>
      <c r="X74" s="2">
        <f t="shared" si="14"/>
        <v>-3964.02</v>
      </c>
      <c r="Y74" s="2"/>
      <c r="Z74" s="6">
        <f t="shared" si="15"/>
        <v>-0.76128672940272712</v>
      </c>
    </row>
    <row r="75" spans="1:26" s="69" customFormat="1" ht="15" hidden="1" customHeight="1" outlineLevel="2" x14ac:dyDescent="0.25">
      <c r="A75" s="25"/>
      <c r="B75" s="12" t="str">
        <f>CONCATENATE("          ","6274"," - ","UTILITIES")</f>
        <v xml:space="preserve">          6274 - UTILITIES</v>
      </c>
      <c r="C75" s="12"/>
      <c r="D75" s="7">
        <v>242.98</v>
      </c>
      <c r="E75" s="3"/>
      <c r="F75" s="8">
        <f t="shared" si="8"/>
        <v>4.0298385178791953E-3</v>
      </c>
      <c r="G75" s="3"/>
      <c r="H75" s="7">
        <v>878</v>
      </c>
      <c r="I75" s="3"/>
      <c r="J75" s="8">
        <f t="shared" si="9"/>
        <v>0</v>
      </c>
      <c r="K75" s="3"/>
      <c r="L75" s="7">
        <f t="shared" si="10"/>
        <v>-635.02</v>
      </c>
      <c r="M75" s="3"/>
      <c r="N75" s="8">
        <f t="shared" si="11"/>
        <v>-0.72325740318906606</v>
      </c>
      <c r="O75" s="12"/>
      <c r="P75" s="7">
        <v>1242.98</v>
      </c>
      <c r="Q75" s="3"/>
      <c r="R75" s="8">
        <f t="shared" si="12"/>
        <v>4.3196209515065226E-3</v>
      </c>
      <c r="S75" s="3"/>
      <c r="T75" s="7">
        <v>5207</v>
      </c>
      <c r="U75" s="3"/>
      <c r="V75" s="8">
        <f t="shared" si="13"/>
        <v>0</v>
      </c>
      <c r="W75" s="3"/>
      <c r="X75" s="7">
        <f t="shared" si="14"/>
        <v>-3964.02</v>
      </c>
      <c r="Y75" s="3"/>
      <c r="Z75" s="8">
        <f t="shared" si="15"/>
        <v>-0.76128672940272712</v>
      </c>
    </row>
    <row r="76" spans="1:26" s="64" customFormat="1" ht="15" customHeight="1" x14ac:dyDescent="0.25">
      <c r="A76" s="36"/>
      <c r="B76" s="36"/>
      <c r="C76" s="36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36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62" customFormat="1" ht="15" customHeight="1" x14ac:dyDescent="0.25">
      <c r="A77" s="11"/>
      <c r="B77" s="28" t="s">
        <v>290</v>
      </c>
      <c r="C77" s="11"/>
      <c r="D77" s="5">
        <f>SUM(0)</f>
        <v>0</v>
      </c>
      <c r="E77" s="5"/>
      <c r="F77" s="13">
        <f>IF(D$12=0,0,D77/D$12)</f>
        <v>0</v>
      </c>
      <c r="G77" s="5"/>
      <c r="H77" s="5">
        <f>SUM(0)</f>
        <v>0</v>
      </c>
      <c r="I77" s="5"/>
      <c r="J77" s="13">
        <f>IF(H$12=0,0,H77/H$12)</f>
        <v>0</v>
      </c>
      <c r="K77" s="5"/>
      <c r="L77" s="5">
        <f>+D77-H77</f>
        <v>0</v>
      </c>
      <c r="M77" s="5"/>
      <c r="N77" s="13">
        <f>IF(H77=0,0,L77/H77)</f>
        <v>0</v>
      </c>
      <c r="O77" s="11"/>
      <c r="P77" s="5">
        <f>SUM(0)</f>
        <v>0</v>
      </c>
      <c r="Q77" s="5"/>
      <c r="R77" s="13">
        <f>IF(P$12=0,0,P77/P$12)</f>
        <v>0</v>
      </c>
      <c r="S77" s="5"/>
      <c r="T77" s="5">
        <f>SUM(0)</f>
        <v>0</v>
      </c>
      <c r="U77" s="5"/>
      <c r="V77" s="13">
        <f>IF(T$12=0,0,T77/T$12)</f>
        <v>0</v>
      </c>
      <c r="W77" s="5"/>
      <c r="X77" s="5">
        <f>+P77-T77</f>
        <v>0</v>
      </c>
      <c r="Y77" s="5"/>
      <c r="Z77" s="13">
        <f>IF(T77=0,0,X77/T77)</f>
        <v>0</v>
      </c>
    </row>
    <row r="78" spans="1:26" ht="15" customHeight="1" x14ac:dyDescent="0.25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25">
      <c r="A79" s="11"/>
      <c r="B79" s="27" t="s">
        <v>291</v>
      </c>
      <c r="C79" s="27"/>
      <c r="D79" s="22">
        <f>+D20-D22+D77</f>
        <v>3199.2800000000025</v>
      </c>
      <c r="E79" s="15"/>
      <c r="F79" s="23">
        <f>IF(D$12=0,0,D79/D$12)</f>
        <v>5.306025917145675E-2</v>
      </c>
      <c r="G79" s="15"/>
      <c r="H79" s="22">
        <f>+H20-H22+H77</f>
        <v>-11171.279999999999</v>
      </c>
      <c r="I79" s="15"/>
      <c r="J79" s="23">
        <f>IF(H$12=0,0,H79/H$12)</f>
        <v>0</v>
      </c>
      <c r="K79" s="16"/>
      <c r="L79" s="22">
        <f>+D79-H79</f>
        <v>14370.560000000001</v>
      </c>
      <c r="M79" s="16"/>
      <c r="N79" s="23">
        <f>IF(H79=0,0,L79/H79)</f>
        <v>-1.2863843713522536</v>
      </c>
      <c r="O79" s="28"/>
      <c r="P79" s="22">
        <f>+P20-P22+P77</f>
        <v>-87302.16000000012</v>
      </c>
      <c r="Q79" s="15"/>
      <c r="R79" s="23">
        <f>IF(P$12=0,0,P79/P$12)</f>
        <v>-0.3033936502982954</v>
      </c>
      <c r="S79" s="15"/>
      <c r="T79" s="22">
        <f>+T20-T22+T77</f>
        <v>-133075.81</v>
      </c>
      <c r="U79" s="15"/>
      <c r="V79" s="23">
        <f>IF(T$12=0,0,T79/T$12)</f>
        <v>0</v>
      </c>
      <c r="W79" s="16"/>
      <c r="X79" s="22">
        <f>+P79-T79</f>
        <v>45773.649999999878</v>
      </c>
      <c r="Y79" s="16"/>
      <c r="Z79" s="23">
        <f>IF(T79=0,0,X79/T79)</f>
        <v>-0.34396672092395963</v>
      </c>
    </row>
    <row r="80" spans="1:26" ht="15" customHeight="1" x14ac:dyDescent="0.25">
      <c r="A80" s="10"/>
      <c r="B80" s="11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25">
      <c r="A81" s="48"/>
      <c r="B81" s="11" t="s">
        <v>292</v>
      </c>
      <c r="C81" s="11"/>
      <c r="D81" s="5">
        <v>6583.43</v>
      </c>
      <c r="E81" s="5"/>
      <c r="F81" s="13">
        <f>IF(D$12=0,0,D81/D$12)</f>
        <v>0.10918659887135332</v>
      </c>
      <c r="G81" s="5"/>
      <c r="H81" s="5"/>
      <c r="I81" s="5"/>
      <c r="J81" s="13">
        <f>IF(H$12=0,0,H81/H$12)</f>
        <v>0</v>
      </c>
      <c r="K81" s="5"/>
      <c r="L81" s="5">
        <f>+D81-H81</f>
        <v>6583.43</v>
      </c>
      <c r="M81" s="5"/>
      <c r="N81" s="13">
        <f>IF(H81=0,0,L81/H81)</f>
        <v>0</v>
      </c>
      <c r="O81" s="11"/>
      <c r="P81" s="5">
        <v>32350.63</v>
      </c>
      <c r="Q81" s="5"/>
      <c r="R81" s="13">
        <f>IF(P$12=0,0,P81/P$12)</f>
        <v>0.1124253480687022</v>
      </c>
      <c r="S81" s="5"/>
      <c r="T81" s="5"/>
      <c r="U81" s="5"/>
      <c r="V81" s="13">
        <f>IF(T$12=0,0,T81/T$12)</f>
        <v>0</v>
      </c>
      <c r="W81" s="5"/>
      <c r="X81" s="5">
        <f>+P81-T81</f>
        <v>32350.63</v>
      </c>
      <c r="Y81" s="5"/>
      <c r="Z81" s="13">
        <f>IF(T81=0,0,X81/T81)</f>
        <v>0</v>
      </c>
    </row>
    <row r="82" spans="1:26" ht="15" customHeight="1" x14ac:dyDescent="0.25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25">
      <c r="A83" s="11"/>
      <c r="B83" s="27" t="s">
        <v>293</v>
      </c>
      <c r="C83" s="27"/>
      <c r="D83" s="35">
        <f>+D79-D81</f>
        <v>-3384.1499999999978</v>
      </c>
      <c r="E83" s="15"/>
      <c r="F83" s="30">
        <f>IF(D$12=0,0,D83/D$12)</f>
        <v>-5.6126339699896569E-2</v>
      </c>
      <c r="G83" s="15"/>
      <c r="H83" s="35">
        <f>+H79-H81</f>
        <v>-11171.279999999999</v>
      </c>
      <c r="I83" s="15"/>
      <c r="J83" s="30">
        <f>IF(H$12=0,0,H83/H$12)</f>
        <v>0</v>
      </c>
      <c r="K83" s="16"/>
      <c r="L83" s="35">
        <f>D83-H83</f>
        <v>7787.130000000001</v>
      </c>
      <c r="M83" s="16"/>
      <c r="N83" s="30">
        <f>IF(H83=0,0,L83/H83)</f>
        <v>-0.69706694308978034</v>
      </c>
      <c r="O83" s="28"/>
      <c r="P83" s="35">
        <f>+P79-P81</f>
        <v>-119652.79000000012</v>
      </c>
      <c r="Q83" s="15"/>
      <c r="R83" s="30">
        <f>IF(P$12=0,0,P83/P$12)</f>
        <v>-0.41581899836699759</v>
      </c>
      <c r="S83" s="15"/>
      <c r="T83" s="35">
        <f>+T79-T81</f>
        <v>-133075.81</v>
      </c>
      <c r="U83" s="15"/>
      <c r="V83" s="30">
        <f>IF(T$12=0,0,T83/T$12)</f>
        <v>0</v>
      </c>
      <c r="W83" s="16"/>
      <c r="X83" s="35">
        <f>P83-T83</f>
        <v>13423.019999999873</v>
      </c>
      <c r="Y83" s="16"/>
      <c r="Z83" s="30">
        <f>IF(T83=0,0,X83/T83)</f>
        <v>-0.10086746794928299</v>
      </c>
    </row>
    <row r="84" spans="1:26" ht="15" customHeight="1" x14ac:dyDescent="0.25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ht="15" customHeight="1" x14ac:dyDescent="0.25">
      <c r="A85" s="10"/>
      <c r="B85" s="10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25">
      <c r="A86" s="11"/>
      <c r="B86" s="27" t="s">
        <v>296</v>
      </c>
      <c r="C86" s="27"/>
      <c r="D86" s="32">
        <f>SUM(D83:D85)</f>
        <v>-3384.1499999999978</v>
      </c>
      <c r="E86" s="15"/>
      <c r="F86" s="34">
        <f>IF(D$12=0,0,D86/D$12)</f>
        <v>-5.6126339699896569E-2</v>
      </c>
      <c r="G86" s="15"/>
      <c r="H86" s="32">
        <f>SUM(H83:H85)</f>
        <v>-11171.279999999999</v>
      </c>
      <c r="I86" s="15"/>
      <c r="J86" s="34">
        <f>IF(H$12=0,0,H86/H$12)</f>
        <v>0</v>
      </c>
      <c r="K86" s="16"/>
      <c r="L86" s="32">
        <f>+D86-H86</f>
        <v>7787.130000000001</v>
      </c>
      <c r="M86" s="16"/>
      <c r="N86" s="34">
        <f>IF(H86=0,0,L86/H86)</f>
        <v>-0.69706694308978034</v>
      </c>
      <c r="O86" s="28"/>
      <c r="P86" s="32">
        <f>SUM(P83:P85)</f>
        <v>-119652.79000000012</v>
      </c>
      <c r="Q86" s="15"/>
      <c r="R86" s="34">
        <f>IF(P$12=0,0,P86/P$12)</f>
        <v>-0.41581899836699759</v>
      </c>
      <c r="S86" s="15"/>
      <c r="T86" s="32">
        <f>SUM(T83:T85)</f>
        <v>-133075.81</v>
      </c>
      <c r="U86" s="15"/>
      <c r="V86" s="34">
        <f>IF(T$12=0,0,T86/T$12)</f>
        <v>0</v>
      </c>
      <c r="W86" s="16"/>
      <c r="X86" s="32">
        <f>+P86-T86</f>
        <v>13423.019999999873</v>
      </c>
      <c r="Y86" s="16"/>
      <c r="Z86" s="34">
        <f>IF(T86=0,0,X86/T86)</f>
        <v>-0.10086746794928299</v>
      </c>
    </row>
    <row r="87" spans="1:26" ht="15" customHeight="1" x14ac:dyDescent="0.25">
      <c r="A87" s="10"/>
      <c r="C87" s="10"/>
      <c r="D87" s="18"/>
      <c r="E87" s="18"/>
      <c r="G87" s="18"/>
      <c r="H87" s="18"/>
      <c r="I87" s="18"/>
      <c r="J87" s="41"/>
      <c r="K87" s="18"/>
      <c r="L87" s="18"/>
      <c r="M87" s="18"/>
      <c r="P87" s="18"/>
      <c r="Q87" s="18"/>
      <c r="R87" s="41"/>
      <c r="S87" s="18"/>
      <c r="T87" s="18"/>
      <c r="U87" s="18"/>
      <c r="V87" s="41"/>
      <c r="W87" s="18"/>
      <c r="X87" s="18"/>
    </row>
    <row r="88" spans="1:26" ht="15" customHeight="1" x14ac:dyDescent="0.25">
      <c r="A88" s="10"/>
      <c r="B88" s="50">
        <v>44727.879654085649</v>
      </c>
      <c r="D88" s="18"/>
      <c r="E88" s="18"/>
      <c r="G88" s="18"/>
      <c r="H88" s="18"/>
      <c r="I88" s="18"/>
      <c r="J88" s="41"/>
      <c r="K88" s="18"/>
      <c r="L88" s="18"/>
      <c r="M88" s="18"/>
      <c r="P88" s="18"/>
      <c r="Q88" s="18"/>
      <c r="R88" s="41"/>
      <c r="S88" s="18"/>
      <c r="T88" s="18"/>
      <c r="U88" s="18"/>
      <c r="V88" s="41"/>
      <c r="W88" s="18"/>
      <c r="X88" s="18"/>
    </row>
    <row r="89" spans="1:26" ht="15" customHeight="1" x14ac:dyDescent="0.25">
      <c r="A89" s="10"/>
      <c r="B89" s="53" t="s">
        <v>297</v>
      </c>
      <c r="D89" s="18"/>
      <c r="E89" s="18"/>
      <c r="G89" s="18"/>
      <c r="H89" s="18"/>
      <c r="I89" s="18"/>
      <c r="J89" s="41"/>
      <c r="K89" s="18"/>
      <c r="L89" s="18"/>
      <c r="M89" s="18"/>
      <c r="P89" s="18"/>
      <c r="Q89" s="18"/>
      <c r="R89" s="41"/>
      <c r="S89" s="18"/>
      <c r="T89" s="18"/>
      <c r="U89" s="18"/>
      <c r="V89" s="41"/>
      <c r="W89" s="18"/>
      <c r="X89" s="18"/>
    </row>
    <row r="90" spans="1:26" ht="15" customHeight="1" x14ac:dyDescent="0.25">
      <c r="A90" s="10"/>
      <c r="B90" s="55"/>
      <c r="D90" s="18"/>
      <c r="E90" s="18"/>
      <c r="G90" s="18"/>
      <c r="H90" s="18"/>
      <c r="I90" s="18"/>
      <c r="J90" s="41"/>
      <c r="K90" s="18"/>
      <c r="L90" s="18"/>
      <c r="M90" s="18"/>
      <c r="P90" s="18"/>
      <c r="Q90" s="18"/>
      <c r="R90" s="41"/>
      <c r="S90" s="18"/>
      <c r="T90" s="18"/>
      <c r="U90" s="18"/>
      <c r="V90" s="41"/>
      <c r="W90" s="18"/>
      <c r="X90" s="18"/>
    </row>
    <row r="91" spans="1:26" ht="15" customHeight="1" x14ac:dyDescent="0.25"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C9BB-7848-4F29-8448-A0992D61B3B3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","327"," - ","C-Store Vending Machine(s)")</f>
        <v>Department 327 - C-Store Vending Machine(s)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275.74</v>
      </c>
      <c r="E12" s="5"/>
      <c r="F12" s="13"/>
      <c r="G12" s="5"/>
      <c r="H12" s="5">
        <f>SUM(OSRRefH13x_0)</f>
        <v>4</v>
      </c>
      <c r="I12" s="5"/>
      <c r="J12" s="13"/>
      <c r="K12" s="5"/>
      <c r="L12" s="5">
        <f>+D12-H12</f>
        <v>271.74</v>
      </c>
      <c r="M12" s="5"/>
      <c r="N12" s="13">
        <f>IF(H12=0,0,L12/H12)</f>
        <v>67.935000000000002</v>
      </c>
      <c r="O12" s="11"/>
      <c r="P12" s="5">
        <f>SUM(OSRRefP13x_0)</f>
        <v>1827.05</v>
      </c>
      <c r="Q12" s="5"/>
      <c r="R12" s="13"/>
      <c r="S12" s="5"/>
      <c r="T12" s="5">
        <f>SUM(OSRRefT13x_0)</f>
        <v>400.45</v>
      </c>
      <c r="U12" s="5"/>
      <c r="V12" s="13"/>
      <c r="W12" s="5"/>
      <c r="X12" s="5">
        <f>+P12-T12</f>
        <v>1426.6</v>
      </c>
      <c r="Y12" s="5"/>
      <c r="Z12" s="13">
        <f>IF(T12=0,0,X12/T12)</f>
        <v>3.562492196279186</v>
      </c>
    </row>
    <row r="13" spans="1:26" s="69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--275.74</f>
        <v>275.74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275.74</v>
      </c>
      <c r="M13" s="3"/>
      <c r="N13" s="20">
        <f>IF(H13=0,0,L13/H13)</f>
        <v>0</v>
      </c>
      <c r="O13" s="12"/>
      <c r="P13" s="3">
        <f>--1827.05</f>
        <v>1827.05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1827.05</v>
      </c>
      <c r="Y13" s="3"/>
      <c r="Z13" s="20">
        <f>IF(T13=0,0,X13/T13)</f>
        <v>0</v>
      </c>
    </row>
    <row r="14" spans="1:26" s="69" customFormat="1" ht="15" hidden="1" customHeight="1" outlineLevel="1" x14ac:dyDescent="0.25">
      <c r="A14" s="42"/>
      <c r="B14" s="12" t="str">
        <f>CONCATENATE("          ","4153"," - ","NON-TAXABLE SALES-FOOD")</f>
        <v xml:space="preserve">          4153 - NON-TAXABLE SALES-FOOD</v>
      </c>
      <c r="C14" s="12"/>
      <c r="D14" s="3">
        <f>0</f>
        <v>0</v>
      </c>
      <c r="E14" s="3"/>
      <c r="F14" s="20"/>
      <c r="G14" s="3"/>
      <c r="H14" s="3">
        <f>--4</f>
        <v>4</v>
      </c>
      <c r="I14" s="3"/>
      <c r="J14" s="20"/>
      <c r="K14" s="3"/>
      <c r="L14" s="3">
        <f>+D14-H14</f>
        <v>-4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f>--400.45</f>
        <v>400.45</v>
      </c>
      <c r="U14" s="3"/>
      <c r="V14" s="20"/>
      <c r="W14" s="3"/>
      <c r="X14" s="3">
        <f>+P14-T14</f>
        <v>-400.45</v>
      </c>
      <c r="Y14" s="3"/>
      <c r="Z14" s="20">
        <f>IF(T14=0,0,X14/T14)</f>
        <v>-1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25">
      <c r="A16" s="11"/>
      <c r="B16" s="28" t="s">
        <v>287</v>
      </c>
      <c r="C16" s="11"/>
      <c r="D16" s="5">
        <f>SUM(OSRRefD16x_0)</f>
        <v>147</v>
      </c>
      <c r="E16" s="5"/>
      <c r="F16" s="13">
        <f>IF(D$12=0,0,D16/D$12)</f>
        <v>0.53311090157394647</v>
      </c>
      <c r="G16" s="5"/>
      <c r="H16" s="5">
        <f>SUM(OSRRefH16x_0)</f>
        <v>-29</v>
      </c>
      <c r="I16" s="5"/>
      <c r="J16" s="13">
        <f>IF(H$12=0,0,H16/H$12)</f>
        <v>-7.25</v>
      </c>
      <c r="K16" s="5"/>
      <c r="L16" s="5">
        <f>+D16-H16</f>
        <v>176</v>
      </c>
      <c r="M16" s="5"/>
      <c r="N16" s="13">
        <f>IF(H16=0,0,L16/H16)</f>
        <v>-6.068965517241379</v>
      </c>
      <c r="O16" s="11"/>
      <c r="P16" s="5">
        <f>SUM(OSRRefP16x_0)</f>
        <v>179.2</v>
      </c>
      <c r="Q16" s="5"/>
      <c r="R16" s="13">
        <f>IF(P$12=0,0,P16/P$12)</f>
        <v>9.8081606962042628E-2</v>
      </c>
      <c r="S16" s="5"/>
      <c r="T16" s="5">
        <f>SUM(OSRRefT16x_0)</f>
        <v>-347.01</v>
      </c>
      <c r="U16" s="5"/>
      <c r="V16" s="13">
        <f>IF(T$12=0,0,T16/T$12)</f>
        <v>-0.86655013110250967</v>
      </c>
      <c r="W16" s="5"/>
      <c r="X16" s="5">
        <f>+P16-T16</f>
        <v>526.21</v>
      </c>
      <c r="Y16" s="5"/>
      <c r="Z16" s="13">
        <f>IF(T16=0,0,X16/T16)</f>
        <v>-1.5164116307887383</v>
      </c>
    </row>
    <row r="17" spans="1:26" s="69" customFormat="1" ht="15" hidden="1" customHeight="1" outlineLevel="1" x14ac:dyDescent="0.25">
      <c r="A17" s="42"/>
      <c r="B17" s="12" t="str">
        <f>CONCATENATE("          ","5053"," - ","PURCHASES @ COST-FOOD")</f>
        <v xml:space="preserve">          5053 - PURCHASES @ COST-FOOD</v>
      </c>
      <c r="C17" s="12"/>
      <c r="D17" s="3"/>
      <c r="E17" s="3"/>
      <c r="F17" s="20">
        <f>IF(D$12=0,0,D17/D$12)</f>
        <v>0</v>
      </c>
      <c r="G17" s="3"/>
      <c r="H17" s="3">
        <v>-29</v>
      </c>
      <c r="I17" s="3"/>
      <c r="J17" s="20">
        <f>IF(H$12=0,0,H17/H$12)</f>
        <v>-7.25</v>
      </c>
      <c r="K17" s="3"/>
      <c r="L17" s="3">
        <f>+D17-H17</f>
        <v>29</v>
      </c>
      <c r="M17" s="3"/>
      <c r="N17" s="20">
        <f>IF(H17=0,0,L17/H17)</f>
        <v>-1</v>
      </c>
      <c r="O17" s="12"/>
      <c r="P17" s="3">
        <v>45</v>
      </c>
      <c r="Q17" s="3"/>
      <c r="R17" s="20">
        <f>IF(P$12=0,0,P17/P$12)</f>
        <v>2.462986781970937E-2</v>
      </c>
      <c r="S17" s="3"/>
      <c r="T17" s="3">
        <v>-29</v>
      </c>
      <c r="U17" s="3"/>
      <c r="V17" s="20">
        <f>IF(T$12=0,0,T17/T$12)</f>
        <v>-7.241852915470097E-2</v>
      </c>
      <c r="W17" s="3"/>
      <c r="X17" s="3">
        <f>+P17-T17</f>
        <v>74</v>
      </c>
      <c r="Y17" s="3"/>
      <c r="Z17" s="20">
        <f>IF(T17=0,0,X17/T17)</f>
        <v>-2.5517241379310347</v>
      </c>
    </row>
    <row r="18" spans="1:26" s="69" customFormat="1" ht="15" hidden="1" customHeight="1" outlineLevel="1" x14ac:dyDescent="0.25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147</v>
      </c>
      <c r="E18" s="3"/>
      <c r="F18" s="20">
        <f>IF(D$12=0,0,D18/D$12)</f>
        <v>0.53311090157394647</v>
      </c>
      <c r="G18" s="3"/>
      <c r="H18" s="3"/>
      <c r="I18" s="3"/>
      <c r="J18" s="20">
        <f>IF(H$12=0,0,H18/H$12)</f>
        <v>0</v>
      </c>
      <c r="K18" s="3"/>
      <c r="L18" s="3">
        <f>+D18-H18</f>
        <v>147</v>
      </c>
      <c r="M18" s="3"/>
      <c r="N18" s="20">
        <f>IF(H18=0,0,L18/H18)</f>
        <v>0</v>
      </c>
      <c r="O18" s="12"/>
      <c r="P18" s="3">
        <v>134.19999999999999</v>
      </c>
      <c r="Q18" s="3"/>
      <c r="R18" s="20">
        <f>IF(P$12=0,0,P18/P$12)</f>
        <v>7.3451739142333258E-2</v>
      </c>
      <c r="S18" s="3"/>
      <c r="T18" s="3">
        <v>-318.01</v>
      </c>
      <c r="U18" s="3"/>
      <c r="V18" s="20">
        <f>IF(T$12=0,0,T18/T$12)</f>
        <v>-0.79413160194780874</v>
      </c>
      <c r="W18" s="3"/>
      <c r="X18" s="3">
        <f>+P18-T18</f>
        <v>452.21</v>
      </c>
      <c r="Y18" s="3"/>
      <c r="Z18" s="20">
        <f>IF(T18=0,0,X18/T18)</f>
        <v>-1.4219993081978555</v>
      </c>
    </row>
    <row r="19" spans="1:26" ht="15" customHeight="1" x14ac:dyDescent="0.25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25">
      <c r="A20" s="11"/>
      <c r="B20" s="27" t="s">
        <v>288</v>
      </c>
      <c r="C20" s="27"/>
      <c r="D20" s="22">
        <f>D12-D16</f>
        <v>128.74</v>
      </c>
      <c r="E20" s="15"/>
      <c r="F20" s="23">
        <f>IF(D$12=0,0,D20/D$12)</f>
        <v>0.46688909842605353</v>
      </c>
      <c r="G20" s="15"/>
      <c r="H20" s="22">
        <f>H12-H16</f>
        <v>33</v>
      </c>
      <c r="I20" s="15"/>
      <c r="J20" s="23">
        <f>IF(H$12=0,0,H20/H$12)</f>
        <v>8.25</v>
      </c>
      <c r="K20" s="16"/>
      <c r="L20" s="22">
        <f>+D20-H20</f>
        <v>95.740000000000009</v>
      </c>
      <c r="M20" s="16"/>
      <c r="N20" s="23">
        <f>IF(H20=0,0,L20/H20)</f>
        <v>2.9012121212121214</v>
      </c>
      <c r="O20" s="28"/>
      <c r="P20" s="22">
        <f>P12-P16</f>
        <v>1647.85</v>
      </c>
      <c r="Q20" s="15"/>
      <c r="R20" s="23">
        <f>IF(P$12=0,0,P20/P$12)</f>
        <v>0.90191839303795729</v>
      </c>
      <c r="S20" s="15"/>
      <c r="T20" s="22">
        <f>T12-T16</f>
        <v>747.46</v>
      </c>
      <c r="U20" s="15"/>
      <c r="V20" s="23">
        <f>IF(T$12=0,0,T20/T$12)</f>
        <v>1.8665501311025099</v>
      </c>
      <c r="W20" s="16"/>
      <c r="X20" s="22">
        <f>+P20-T20</f>
        <v>900.38999999999987</v>
      </c>
      <c r="Y20" s="16"/>
      <c r="Z20" s="23">
        <f>IF(T20=0,0,X20/T20)</f>
        <v>1.2045995772349021</v>
      </c>
    </row>
    <row r="21" spans="1:26" ht="15" customHeight="1" x14ac:dyDescent="0.25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25">
      <c r="A22" s="11"/>
      <c r="B22" s="28" t="s">
        <v>289</v>
      </c>
      <c r="C22" s="11"/>
      <c r="D22" s="21" cm="1">
        <f t="array" ref="D22">SUM(OSRRefD22x_0)</f>
        <v>87.42</v>
      </c>
      <c r="E22" s="21"/>
      <c r="F22" s="31">
        <f>IF(D$12=0,0,D22/D$12)</f>
        <v>0.31703778922173059</v>
      </c>
      <c r="G22" s="21"/>
      <c r="H22" s="21" cm="1">
        <f t="array" ref="H22">SUM(OSRRefH22x_0)</f>
        <v>43.04</v>
      </c>
      <c r="I22" s="21"/>
      <c r="J22" s="31">
        <f>IF(H$12=0,0,H22/H$12)</f>
        <v>10.76</v>
      </c>
      <c r="K22" s="5"/>
      <c r="L22" s="21">
        <f>+D22-H22</f>
        <v>44.38</v>
      </c>
      <c r="M22" s="5"/>
      <c r="N22" s="31">
        <f>IF(H22=0,0,L22/H22)</f>
        <v>1.0311338289962826</v>
      </c>
      <c r="O22" s="11"/>
      <c r="P22" s="21" cm="1">
        <f t="array" ref="P22">SUM(OSRRefP22x_0)</f>
        <v>1506.08</v>
      </c>
      <c r="Q22" s="21"/>
      <c r="R22" s="31">
        <f>IF(P$12=0,0,P22/P$12)</f>
        <v>0.82432336279795293</v>
      </c>
      <c r="S22" s="21"/>
      <c r="T22" s="21" cm="1">
        <f t="array" ref="T22">SUM(OSRRefT22x_0)</f>
        <v>674.63</v>
      </c>
      <c r="U22" s="21"/>
      <c r="V22" s="31">
        <f>IF(T$12=0,0,T22/T$12)</f>
        <v>1.68467973529779</v>
      </c>
      <c r="W22" s="5"/>
      <c r="X22" s="21">
        <f>+P22-T22</f>
        <v>831.44999999999993</v>
      </c>
      <c r="Y22" s="5"/>
      <c r="Z22" s="31">
        <f>IF(T22=0,0,X22/T22)</f>
        <v>1.2324533447964068</v>
      </c>
    </row>
    <row r="23" spans="1:26" s="68" customFormat="1" ht="15" customHeight="1" outlineLevel="1" collapsed="1" x14ac:dyDescent="0.25">
      <c r="A23" s="26"/>
      <c r="B23" s="14" t="str">
        <f>CONCATENATE("     ","Bank/card Fees                                    ")</f>
        <v xml:space="preserve">     Bank/card Fees                                    </v>
      </c>
      <c r="C23" s="14"/>
      <c r="D23" s="2">
        <f>SUM(OSRRefD22_0x_0)</f>
        <v>87.42</v>
      </c>
      <c r="E23" s="2"/>
      <c r="F23" s="6">
        <f>IF(D$12=0,0,D23/D$12)</f>
        <v>0.31703778922173059</v>
      </c>
      <c r="G23" s="2"/>
      <c r="H23" s="2">
        <f>SUM(OSRRefH22_0x_0)</f>
        <v>43.04</v>
      </c>
      <c r="I23" s="2"/>
      <c r="J23" s="6">
        <f>IF(H$12=0,0,H23/H$12)</f>
        <v>10.76</v>
      </c>
      <c r="K23" s="2"/>
      <c r="L23" s="2">
        <f>+D23-H23</f>
        <v>44.38</v>
      </c>
      <c r="M23" s="2"/>
      <c r="N23" s="6">
        <f>IF(H23=0,0,L23/H23)</f>
        <v>1.0311338289962826</v>
      </c>
      <c r="O23" s="14"/>
      <c r="P23" s="2">
        <f>SUM(OSRRefP22_0x_0)</f>
        <v>747.2</v>
      </c>
      <c r="Q23" s="2"/>
      <c r="R23" s="6">
        <f>IF(P$12=0,0,P23/P$12)</f>
        <v>0.40896527188637427</v>
      </c>
      <c r="S23" s="2"/>
      <c r="T23" s="2">
        <f>SUM(OSRRefT22_0x_0)</f>
        <v>554.63</v>
      </c>
      <c r="U23" s="2"/>
      <c r="V23" s="6">
        <f>IF(T$12=0,0,T23/T$12)</f>
        <v>1.3850168560369585</v>
      </c>
      <c r="W23" s="2"/>
      <c r="X23" s="2">
        <f>+P23-T23</f>
        <v>192.57000000000005</v>
      </c>
      <c r="Y23" s="2"/>
      <c r="Z23" s="6">
        <f>IF(T23=0,0,X23/T23)</f>
        <v>0.34720444260137401</v>
      </c>
    </row>
    <row r="24" spans="1:26" s="69" customFormat="1" ht="15" hidden="1" customHeight="1" outlineLevel="2" x14ac:dyDescent="0.25">
      <c r="A24" s="25"/>
      <c r="B24" s="12" t="str">
        <f>CONCATENATE("          ","6381"," - ","BANK/CREDIT CARD FEES")</f>
        <v xml:space="preserve">          6381 - BANK/CREDIT CARD FEES</v>
      </c>
      <c r="C24" s="12"/>
      <c r="D24" s="7">
        <v>87.42</v>
      </c>
      <c r="E24" s="3"/>
      <c r="F24" s="8">
        <f>IF(D$12=0,0,D24/D$12)</f>
        <v>0.31703778922173059</v>
      </c>
      <c r="G24" s="3"/>
      <c r="H24" s="7">
        <v>43.04</v>
      </c>
      <c r="I24" s="3"/>
      <c r="J24" s="8">
        <f>IF(H$12=0,0,H24/H$12)</f>
        <v>10.76</v>
      </c>
      <c r="K24" s="3"/>
      <c r="L24" s="7">
        <f>+D24-H24</f>
        <v>44.38</v>
      </c>
      <c r="M24" s="3"/>
      <c r="N24" s="8">
        <f>IF(H24=0,0,L24/H24)</f>
        <v>1.0311338289962826</v>
      </c>
      <c r="O24" s="12"/>
      <c r="P24" s="7">
        <v>747.2</v>
      </c>
      <c r="Q24" s="3"/>
      <c r="R24" s="8">
        <f>IF(P$12=0,0,P24/P$12)</f>
        <v>0.40896527188637427</v>
      </c>
      <c r="S24" s="3"/>
      <c r="T24" s="7">
        <v>554.63</v>
      </c>
      <c r="U24" s="3"/>
      <c r="V24" s="8">
        <f>IF(T$12=0,0,T24/T$12)</f>
        <v>1.3850168560369585</v>
      </c>
      <c r="W24" s="3"/>
      <c r="X24" s="7">
        <f>+P24-T24</f>
        <v>192.57000000000005</v>
      </c>
      <c r="Y24" s="3"/>
      <c r="Z24" s="8">
        <f>IF(T24=0,0,X24/T24)</f>
        <v>0.34720444260137401</v>
      </c>
    </row>
    <row r="25" spans="1:26" s="68" customFormat="1" ht="15" customHeight="1" outlineLevel="1" collapsed="1" x14ac:dyDescent="0.25">
      <c r="A25" s="26"/>
      <c r="B25" s="14" t="str">
        <f>CONCATENATE("     ","General                                           ")</f>
        <v xml:space="preserve">     General                                           </v>
      </c>
      <c r="C25" s="14"/>
      <c r="D25" s="2">
        <f>SUM(OSRRefD22_1x_0)</f>
        <v>0</v>
      </c>
      <c r="E25" s="2"/>
      <c r="F25" s="6">
        <f>IF(D$12=0,0,D25/D$12)</f>
        <v>0</v>
      </c>
      <c r="G25" s="2"/>
      <c r="H25" s="2">
        <f>SUM(OSRRefH22_1x_0)</f>
        <v>0</v>
      </c>
      <c r="I25" s="2"/>
      <c r="J25" s="6">
        <f>IF(H$12=0,0,H25/H$12)</f>
        <v>0</v>
      </c>
      <c r="K25" s="2"/>
      <c r="L25" s="2">
        <f>+D25-H25</f>
        <v>0</v>
      </c>
      <c r="M25" s="2"/>
      <c r="N25" s="6">
        <f>IF(H25=0,0,L25/H25)</f>
        <v>0</v>
      </c>
      <c r="O25" s="14"/>
      <c r="P25" s="2">
        <f>SUM(OSRRefP22_1x_0)</f>
        <v>758.88</v>
      </c>
      <c r="Q25" s="2"/>
      <c r="R25" s="6">
        <f>IF(P$12=0,0,P25/P$12)</f>
        <v>0.41535809091157877</v>
      </c>
      <c r="S25" s="2"/>
      <c r="T25" s="2">
        <f>SUM(OSRRefT22_1x_0)</f>
        <v>120</v>
      </c>
      <c r="U25" s="2"/>
      <c r="V25" s="6">
        <f>IF(T$12=0,0,T25/T$12)</f>
        <v>0.29966287926083157</v>
      </c>
      <c r="W25" s="2"/>
      <c r="X25" s="2">
        <f>+P25-T25</f>
        <v>638.88</v>
      </c>
      <c r="Y25" s="2"/>
      <c r="Z25" s="6">
        <f>IF(T25=0,0,X25/T25)</f>
        <v>5.3239999999999998</v>
      </c>
    </row>
    <row r="26" spans="1:26" s="69" customFormat="1" ht="15" hidden="1" customHeight="1" outlineLevel="2" x14ac:dyDescent="0.25">
      <c r="A26" s="25"/>
      <c r="B26" s="12" t="str">
        <f>CONCATENATE("          ","6279"," - ","GENERAL EXPENSE")</f>
        <v xml:space="preserve">          6279 - GENERAL EXPENSE</v>
      </c>
      <c r="C26" s="12"/>
      <c r="D26" s="7"/>
      <c r="E26" s="3"/>
      <c r="F26" s="8">
        <f>IF(D$12=0,0,D26/D$12)</f>
        <v>0</v>
      </c>
      <c r="G26" s="3"/>
      <c r="H26" s="7"/>
      <c r="I26" s="3"/>
      <c r="J26" s="8">
        <f>IF(H$12=0,0,H26/H$12)</f>
        <v>0</v>
      </c>
      <c r="K26" s="3"/>
      <c r="L26" s="7">
        <f>+D26-H26</f>
        <v>0</v>
      </c>
      <c r="M26" s="3"/>
      <c r="N26" s="8">
        <f>IF(H26=0,0,L26/H26)</f>
        <v>0</v>
      </c>
      <c r="O26" s="12"/>
      <c r="P26" s="7">
        <v>758.88</v>
      </c>
      <c r="Q26" s="3"/>
      <c r="R26" s="8">
        <f>IF(P$12=0,0,P26/P$12)</f>
        <v>0.41535809091157877</v>
      </c>
      <c r="S26" s="3"/>
      <c r="T26" s="7">
        <v>120</v>
      </c>
      <c r="U26" s="3"/>
      <c r="V26" s="8">
        <f>IF(T$12=0,0,T26/T$12)</f>
        <v>0.29966287926083157</v>
      </c>
      <c r="W26" s="3"/>
      <c r="X26" s="7">
        <f>+P26-T26</f>
        <v>638.88</v>
      </c>
      <c r="Y26" s="3"/>
      <c r="Z26" s="8">
        <f>IF(T26=0,0,X26/T26)</f>
        <v>5.3239999999999998</v>
      </c>
    </row>
    <row r="27" spans="1:26" s="64" customFormat="1" ht="15" customHeight="1" x14ac:dyDescent="0.25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25">
      <c r="A28" s="11"/>
      <c r="B28" s="28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25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25">
      <c r="A30" s="11"/>
      <c r="B30" s="27" t="s">
        <v>291</v>
      </c>
      <c r="C30" s="27"/>
      <c r="D30" s="22">
        <f>+D20-D22+D28</f>
        <v>41.320000000000007</v>
      </c>
      <c r="E30" s="15"/>
      <c r="F30" s="23">
        <f>IF(D$12=0,0,D30/D$12)</f>
        <v>0.14985130920432294</v>
      </c>
      <c r="G30" s="15"/>
      <c r="H30" s="22">
        <f>+H20-H22+H28</f>
        <v>-10.039999999999999</v>
      </c>
      <c r="I30" s="15"/>
      <c r="J30" s="23">
        <f>IF(H$12=0,0,H30/H$12)</f>
        <v>-2.5099999999999998</v>
      </c>
      <c r="K30" s="16"/>
      <c r="L30" s="22">
        <f>+D30-H30</f>
        <v>51.360000000000007</v>
      </c>
      <c r="M30" s="16"/>
      <c r="N30" s="23">
        <f>IF(H30=0,0,L30/H30)</f>
        <v>-5.1155378486055785</v>
      </c>
      <c r="O30" s="28"/>
      <c r="P30" s="22">
        <f>+P20-P22+P28</f>
        <v>141.76999999999998</v>
      </c>
      <c r="Q30" s="15"/>
      <c r="R30" s="23">
        <f>IF(P$12=0,0,P30/P$12)</f>
        <v>7.7595030240004373E-2</v>
      </c>
      <c r="S30" s="15"/>
      <c r="T30" s="22">
        <f>+T20-T22+T28</f>
        <v>72.830000000000041</v>
      </c>
      <c r="U30" s="15"/>
      <c r="V30" s="23">
        <f>IF(T$12=0,0,T30/T$12)</f>
        <v>0.18187039580471981</v>
      </c>
      <c r="W30" s="16"/>
      <c r="X30" s="22">
        <f>+P30-T30</f>
        <v>68.939999999999941</v>
      </c>
      <c r="Y30" s="16"/>
      <c r="Z30" s="23">
        <f>IF(T30=0,0,X30/T30)</f>
        <v>0.94658794452835238</v>
      </c>
    </row>
    <row r="31" spans="1:26" ht="15" customHeight="1" x14ac:dyDescent="0.25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25">
      <c r="A32" s="48"/>
      <c r="B32" s="11" t="s">
        <v>292</v>
      </c>
      <c r="C32" s="11"/>
      <c r="D32" s="5">
        <v>29.67</v>
      </c>
      <c r="E32" s="5"/>
      <c r="F32" s="13">
        <f>IF(D$12=0,0,D32/D$12)</f>
        <v>0.10760136360339451</v>
      </c>
      <c r="G32" s="5"/>
      <c r="H32" s="5">
        <v>2.63</v>
      </c>
      <c r="I32" s="5"/>
      <c r="J32" s="13">
        <f>IF(H$12=0,0,H32/H$12)</f>
        <v>0.65749999999999997</v>
      </c>
      <c r="K32" s="5"/>
      <c r="L32" s="5">
        <f>+D32-H32</f>
        <v>27.040000000000003</v>
      </c>
      <c r="M32" s="5"/>
      <c r="N32" s="13">
        <f>IF(H32=0,0,L32/H32)</f>
        <v>10.281368821292777</v>
      </c>
      <c r="O32" s="11"/>
      <c r="P32" s="5">
        <v>205.41</v>
      </c>
      <c r="Q32" s="5"/>
      <c r="R32" s="13">
        <f>IF(P$12=0,0,P32/P$12)</f>
        <v>0.11242713664103336</v>
      </c>
      <c r="S32" s="5"/>
      <c r="T32" s="5">
        <v>85.57</v>
      </c>
      <c r="U32" s="5"/>
      <c r="V32" s="13">
        <f>IF(T$12=0,0,T32/T$12)</f>
        <v>0.21368460481957796</v>
      </c>
      <c r="W32" s="5"/>
      <c r="X32" s="5">
        <f>+P32-T32</f>
        <v>119.84</v>
      </c>
      <c r="Y32" s="5"/>
      <c r="Z32" s="13">
        <f>IF(T32=0,0,X32/T32)</f>
        <v>1.4004908262241442</v>
      </c>
    </row>
    <row r="33" spans="1:26" ht="15" customHeight="1" x14ac:dyDescent="0.25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25">
      <c r="A34" s="11"/>
      <c r="B34" s="27" t="s">
        <v>293</v>
      </c>
      <c r="C34" s="27"/>
      <c r="D34" s="35">
        <f>+D30-D32</f>
        <v>11.650000000000006</v>
      </c>
      <c r="E34" s="15"/>
      <c r="F34" s="30">
        <f>IF(D$12=0,0,D34/D$12)</f>
        <v>4.2249945600928429E-2</v>
      </c>
      <c r="G34" s="15"/>
      <c r="H34" s="35">
        <f>+H30-H32</f>
        <v>-12.669999999999998</v>
      </c>
      <c r="I34" s="15"/>
      <c r="J34" s="30">
        <f>IF(H$12=0,0,H34/H$12)</f>
        <v>-3.1674999999999995</v>
      </c>
      <c r="K34" s="16"/>
      <c r="L34" s="35">
        <f>D34-H34</f>
        <v>24.320000000000004</v>
      </c>
      <c r="M34" s="16"/>
      <c r="N34" s="30">
        <f>IF(H34=0,0,L34/H34)</f>
        <v>-1.9194948697711134</v>
      </c>
      <c r="O34" s="28"/>
      <c r="P34" s="35">
        <f>+P30-P32</f>
        <v>-63.640000000000015</v>
      </c>
      <c r="Q34" s="15"/>
      <c r="R34" s="30">
        <f>IF(P$12=0,0,P34/P$12)</f>
        <v>-3.4832106401028989E-2</v>
      </c>
      <c r="S34" s="15"/>
      <c r="T34" s="35">
        <f>+T30-T32</f>
        <v>-12.739999999999952</v>
      </c>
      <c r="U34" s="15"/>
      <c r="V34" s="30">
        <f>IF(T$12=0,0,T34/T$12)</f>
        <v>-3.1814209014858166E-2</v>
      </c>
      <c r="W34" s="16"/>
      <c r="X34" s="35">
        <f>P34-T34</f>
        <v>-50.900000000000063</v>
      </c>
      <c r="Y34" s="16"/>
      <c r="Z34" s="30">
        <f>IF(T34=0,0,X34/T34)</f>
        <v>3.9952904238618725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25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25">
      <c r="A37" s="11"/>
      <c r="B37" s="27" t="s">
        <v>296</v>
      </c>
      <c r="C37" s="27"/>
      <c r="D37" s="32">
        <f>SUM(D34:D36)</f>
        <v>11.650000000000006</v>
      </c>
      <c r="E37" s="15"/>
      <c r="F37" s="34">
        <f>IF(D$12=0,0,D37/D$12)</f>
        <v>4.2249945600928429E-2</v>
      </c>
      <c r="G37" s="15"/>
      <c r="H37" s="32">
        <f>SUM(H34:H36)</f>
        <v>-12.669999999999998</v>
      </c>
      <c r="I37" s="15"/>
      <c r="J37" s="34">
        <f>IF(H$12=0,0,H37/H$12)</f>
        <v>-3.1674999999999995</v>
      </c>
      <c r="K37" s="16"/>
      <c r="L37" s="32">
        <f>+D37-H37</f>
        <v>24.320000000000004</v>
      </c>
      <c r="M37" s="16"/>
      <c r="N37" s="34">
        <f>IF(H37=0,0,L37/H37)</f>
        <v>-1.9194948697711134</v>
      </c>
      <c r="O37" s="28"/>
      <c r="P37" s="32">
        <f>SUM(P34:P36)</f>
        <v>-63.640000000000015</v>
      </c>
      <c r="Q37" s="15"/>
      <c r="R37" s="34">
        <f>IF(P$12=0,0,P37/P$12)</f>
        <v>-3.4832106401028989E-2</v>
      </c>
      <c r="S37" s="15"/>
      <c r="T37" s="32">
        <f>SUM(T34:T36)</f>
        <v>-12.739999999999952</v>
      </c>
      <c r="U37" s="15"/>
      <c r="V37" s="34">
        <f>IF(T$12=0,0,T37/T$12)</f>
        <v>-3.1814209014858166E-2</v>
      </c>
      <c r="W37" s="16"/>
      <c r="X37" s="32">
        <f>+P37-T37</f>
        <v>-50.900000000000063</v>
      </c>
      <c r="Y37" s="16"/>
      <c r="Z37" s="34">
        <f>IF(T37=0,0,X37/T37)</f>
        <v>3.9952904238618725</v>
      </c>
    </row>
    <row r="38" spans="1:26" ht="15" customHeight="1" x14ac:dyDescent="0.25">
      <c r="A38" s="10"/>
      <c r="C38" s="10"/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0">
        <v>44727.879654085649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3" t="s">
        <v>297</v>
      </c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A41" s="10"/>
      <c r="B41" s="55"/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25"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F034B-A4F1-46B9-2347-8BBE50C12B8B}">
  <sheetPr>
    <tabColor rgb="FFFFC000"/>
    <outlinePr summaryBelow="0" summaryRight="0"/>
  </sheetPr>
  <dimension ref="A2:Z13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309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808443.53</v>
      </c>
      <c r="E12" s="5"/>
      <c r="F12" s="13"/>
      <c r="G12" s="5"/>
      <c r="H12" s="5">
        <f>SUM(OSRRefH13x_0)</f>
        <v>112283.45</v>
      </c>
      <c r="I12" s="5"/>
      <c r="J12" s="13"/>
      <c r="K12" s="5"/>
      <c r="L12" s="5">
        <f t="shared" ref="L12:L21" si="0">+D12-H12</f>
        <v>696160.08000000007</v>
      </c>
      <c r="M12" s="5"/>
      <c r="N12" s="13">
        <f t="shared" ref="N12:N21" si="1">IF(H12=0,0,L12/H12)</f>
        <v>6.2000239572261107</v>
      </c>
      <c r="O12" s="11"/>
      <c r="P12" s="5">
        <f>SUM(OSRRefP13x_0)</f>
        <v>13125023.430000002</v>
      </c>
      <c r="Q12" s="5"/>
      <c r="R12" s="13"/>
      <c r="S12" s="5"/>
      <c r="T12" s="5">
        <f>SUM(OSRRefT13x_0)</f>
        <v>1510259.66</v>
      </c>
      <c r="U12" s="5"/>
      <c r="V12" s="13"/>
      <c r="W12" s="5"/>
      <c r="X12" s="5">
        <f t="shared" ref="X12:X21" si="2">+P12-T12</f>
        <v>11614763.770000001</v>
      </c>
      <c r="Y12" s="5"/>
      <c r="Z12" s="13">
        <f t="shared" ref="Z12:Z21" si="3">IF(T12=0,0,X12/T12)</f>
        <v>7.6905740632706845</v>
      </c>
    </row>
    <row r="13" spans="1:26" s="69" customFormat="1" ht="15" hidden="1" customHeight="1" outlineLevel="1" x14ac:dyDescent="0.25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--27103.03</f>
        <v>27103.03</v>
      </c>
      <c r="E13" s="3"/>
      <c r="F13" s="20"/>
      <c r="G13" s="3"/>
      <c r="H13" s="3">
        <f>--7161.66</f>
        <v>7161.66</v>
      </c>
      <c r="I13" s="3"/>
      <c r="J13" s="20"/>
      <c r="K13" s="3"/>
      <c r="L13" s="3">
        <f t="shared" si="0"/>
        <v>19941.37</v>
      </c>
      <c r="M13" s="3"/>
      <c r="N13" s="20">
        <f t="shared" si="1"/>
        <v>2.7844619822778518</v>
      </c>
      <c r="O13" s="12"/>
      <c r="P13" s="3">
        <f>--346011.28</f>
        <v>346011.28</v>
      </c>
      <c r="Q13" s="3"/>
      <c r="R13" s="20"/>
      <c r="S13" s="3"/>
      <c r="T13" s="3">
        <f>--39282.92</f>
        <v>39282.92</v>
      </c>
      <c r="U13" s="3"/>
      <c r="V13" s="20"/>
      <c r="W13" s="3"/>
      <c r="X13" s="3">
        <f t="shared" si="2"/>
        <v>306728.36000000004</v>
      </c>
      <c r="Y13" s="3"/>
      <c r="Z13" s="20">
        <f t="shared" si="3"/>
        <v>7.8081863568186902</v>
      </c>
    </row>
    <row r="14" spans="1:26" s="69" customFormat="1" ht="15" hidden="1" customHeight="1" outlineLevel="1" x14ac:dyDescent="0.25">
      <c r="A14" s="42"/>
      <c r="B14" s="12" t="str">
        <f>CONCATENATE("          ","4052"," - ","TAXABLE SALES-FOOD")</f>
        <v xml:space="preserve">          4052 - TAXABLE SALES-FOOD</v>
      </c>
      <c r="C14" s="12"/>
      <c r="D14" s="3">
        <f>0</f>
        <v>0</v>
      </c>
      <c r="E14" s="3"/>
      <c r="F14" s="20"/>
      <c r="G14" s="3"/>
      <c r="H14" s="3">
        <f>--47978.22</f>
        <v>47978.22</v>
      </c>
      <c r="I14" s="3"/>
      <c r="J14" s="20"/>
      <c r="K14" s="3"/>
      <c r="L14" s="3">
        <f t="shared" si="0"/>
        <v>-47978.22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--428653.01</f>
        <v>428653.01</v>
      </c>
      <c r="U14" s="3"/>
      <c r="V14" s="20"/>
      <c r="W14" s="3"/>
      <c r="X14" s="3">
        <f t="shared" si="2"/>
        <v>-428653.01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--789.03</f>
        <v>789.03</v>
      </c>
      <c r="E15" s="3"/>
      <c r="F15" s="20"/>
      <c r="G15" s="3"/>
      <c r="H15" s="3">
        <f>--21.66</f>
        <v>21.66</v>
      </c>
      <c r="I15" s="3"/>
      <c r="J15" s="20"/>
      <c r="K15" s="3"/>
      <c r="L15" s="3">
        <f t="shared" si="0"/>
        <v>767.37</v>
      </c>
      <c r="M15" s="3"/>
      <c r="N15" s="20">
        <f t="shared" si="1"/>
        <v>35.427977839335178</v>
      </c>
      <c r="O15" s="12"/>
      <c r="P15" s="3">
        <f>--29361.98</f>
        <v>29361.98</v>
      </c>
      <c r="Q15" s="3"/>
      <c r="R15" s="20"/>
      <c r="S15" s="3"/>
      <c r="T15" s="3">
        <f>--1106.56</f>
        <v>1106.56</v>
      </c>
      <c r="U15" s="3"/>
      <c r="V15" s="20"/>
      <c r="W15" s="3"/>
      <c r="X15" s="3">
        <f t="shared" si="2"/>
        <v>28255.42</v>
      </c>
      <c r="Y15" s="3"/>
      <c r="Z15" s="20">
        <f t="shared" si="3"/>
        <v>25.534467177559282</v>
      </c>
    </row>
    <row r="16" spans="1:26" s="69" customFormat="1" ht="15" hidden="1" customHeight="1" outlineLevel="1" x14ac:dyDescent="0.25">
      <c r="A16" s="42"/>
      <c r="B16" s="12" t="str">
        <f>CONCATENATE("          ","4055"," - ","TAXABLE SALES-FOOD")</f>
        <v xml:space="preserve">          4055 - TAXABLE SALES-FOOD</v>
      </c>
      <c r="C16" s="12"/>
      <c r="D16" s="3">
        <f>--514.53</f>
        <v>514.53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514.53</v>
      </c>
      <c r="M16" s="3"/>
      <c r="N16" s="20">
        <f t="shared" si="1"/>
        <v>0</v>
      </c>
      <c r="O16" s="12"/>
      <c r="P16" s="3">
        <f>--2070.63</f>
        <v>2070.63</v>
      </c>
      <c r="Q16" s="3"/>
      <c r="R16" s="20"/>
      <c r="S16" s="3"/>
      <c r="T16" s="3">
        <f>0</f>
        <v>0</v>
      </c>
      <c r="U16" s="3"/>
      <c r="V16" s="20"/>
      <c r="W16" s="3"/>
      <c r="X16" s="3">
        <f t="shared" si="2"/>
        <v>2070.63</v>
      </c>
      <c r="Y16" s="3"/>
      <c r="Z16" s="20">
        <f t="shared" si="3"/>
        <v>0</v>
      </c>
    </row>
    <row r="17" spans="1:26" s="69" customFormat="1" ht="15" hidden="1" customHeight="1" outlineLevel="1" x14ac:dyDescent="0.25">
      <c r="A17" s="42"/>
      <c r="B17" s="12" t="str">
        <f>CONCATENATE("          ","4058"," - ","TAXABLE SALES-FOOD")</f>
        <v xml:space="preserve">          4058 - TAXABLE SALES-FOOD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--974.91</f>
        <v>974.91</v>
      </c>
      <c r="U17" s="3"/>
      <c r="V17" s="20"/>
      <c r="W17" s="3"/>
      <c r="X17" s="3">
        <f t="shared" si="2"/>
        <v>-974.91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","4151"," - ","NON-TAXABLE SALES-FOOD")</f>
        <v xml:space="preserve">          4151 - NON-TAXABLE SALES-FOOD</v>
      </c>
      <c r="C18" s="12"/>
      <c r="D18" s="3">
        <f>--773084.43</f>
        <v>773084.43</v>
      </c>
      <c r="E18" s="3"/>
      <c r="F18" s="20"/>
      <c r="G18" s="3"/>
      <c r="H18" s="3">
        <f>--54229.87</f>
        <v>54229.87</v>
      </c>
      <c r="I18" s="3"/>
      <c r="J18" s="20"/>
      <c r="K18" s="3"/>
      <c r="L18" s="3">
        <f t="shared" si="0"/>
        <v>718854.56</v>
      </c>
      <c r="M18" s="3"/>
      <c r="N18" s="20">
        <f t="shared" si="1"/>
        <v>13.255693956116804</v>
      </c>
      <c r="O18" s="12"/>
      <c r="P18" s="3">
        <f>--12624781.14</f>
        <v>12624781.140000001</v>
      </c>
      <c r="Q18" s="3"/>
      <c r="R18" s="20"/>
      <c r="S18" s="3"/>
      <c r="T18" s="3">
        <f>--978326.99</f>
        <v>978326.99</v>
      </c>
      <c r="U18" s="3"/>
      <c r="V18" s="20"/>
      <c r="W18" s="3"/>
      <c r="X18" s="3">
        <f t="shared" si="2"/>
        <v>11646454.15</v>
      </c>
      <c r="Y18" s="3"/>
      <c r="Z18" s="20">
        <f t="shared" si="3"/>
        <v>11.904459622441777</v>
      </c>
    </row>
    <row r="19" spans="1:26" s="69" customFormat="1" ht="15" hidden="1" customHeight="1" outlineLevel="1" x14ac:dyDescent="0.25">
      <c r="A19" s="42"/>
      <c r="B19" s="12" t="str">
        <f>CONCATENATE("          ","4152"," - ","NON-TAXABLE SALES-FOOD")</f>
        <v xml:space="preserve">          4152 - NON-TAXABLE SALES-FOOD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--11580.95</f>
        <v>11580.95</v>
      </c>
      <c r="U19" s="3"/>
      <c r="V19" s="20"/>
      <c r="W19" s="3"/>
      <c r="X19" s="3">
        <f t="shared" si="2"/>
        <v>-11580.95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","4153"," - ","NON-TAXABLE SALES-FOOD")</f>
        <v xml:space="preserve">          4153 - NON-TAXABLE SALES-FOOD</v>
      </c>
      <c r="C20" s="12"/>
      <c r="D20" s="3">
        <f>--6068.42</f>
        <v>6068.42</v>
      </c>
      <c r="E20" s="3"/>
      <c r="F20" s="20"/>
      <c r="G20" s="3"/>
      <c r="H20" s="3">
        <f>--2892.04</f>
        <v>2892.04</v>
      </c>
      <c r="I20" s="3"/>
      <c r="J20" s="20"/>
      <c r="K20" s="3"/>
      <c r="L20" s="3">
        <f t="shared" si="0"/>
        <v>3176.38</v>
      </c>
      <c r="M20" s="3"/>
      <c r="N20" s="20">
        <f t="shared" si="1"/>
        <v>1.0983181422110344</v>
      </c>
      <c r="O20" s="12"/>
      <c r="P20" s="3">
        <f>--118114.99</f>
        <v>118114.99</v>
      </c>
      <c r="Q20" s="3"/>
      <c r="R20" s="20"/>
      <c r="S20" s="3"/>
      <c r="T20" s="3">
        <f>--50334.32</f>
        <v>50334.32</v>
      </c>
      <c r="U20" s="3"/>
      <c r="V20" s="20"/>
      <c r="W20" s="3"/>
      <c r="X20" s="3">
        <f t="shared" si="2"/>
        <v>67780.670000000013</v>
      </c>
      <c r="Y20" s="3"/>
      <c r="Z20" s="20">
        <f t="shared" si="3"/>
        <v>1.3466094307025507</v>
      </c>
    </row>
    <row r="21" spans="1:26" s="69" customFormat="1" ht="15" hidden="1" customHeight="1" outlineLevel="1" x14ac:dyDescent="0.25">
      <c r="A21" s="42"/>
      <c r="B21" s="12" t="str">
        <f>CONCATENATE("          ","4155"," - ","NON-TAXABLE SALES-FOOD")</f>
        <v xml:space="preserve">          4155 - NON-TAXABLE SALES-FOOD</v>
      </c>
      <c r="C21" s="12"/>
      <c r="D21" s="3">
        <f>--884.09</f>
        <v>884.09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884.09</v>
      </c>
      <c r="M21" s="3"/>
      <c r="N21" s="20">
        <f t="shared" si="1"/>
        <v>0</v>
      </c>
      <c r="O21" s="12"/>
      <c r="P21" s="3">
        <f>--4683.41</f>
        <v>4683.41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4683.41</v>
      </c>
      <c r="Y21" s="3"/>
      <c r="Z21" s="20">
        <f t="shared" si="3"/>
        <v>0</v>
      </c>
    </row>
    <row r="22" spans="1:26" ht="15" customHeight="1" x14ac:dyDescent="0.25">
      <c r="A22" s="10"/>
      <c r="B22" s="11"/>
      <c r="C22" s="10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collapsed="1" x14ac:dyDescent="0.25">
      <c r="A23" s="11"/>
      <c r="B23" s="28" t="s">
        <v>287</v>
      </c>
      <c r="C23" s="11"/>
      <c r="D23" s="5">
        <f>SUM(OSRRefD16x_0)</f>
        <v>246668.49</v>
      </c>
      <c r="E23" s="5"/>
      <c r="F23" s="13">
        <f>IF(D$12=0,0,D23/D$12)</f>
        <v>0.30511529976620627</v>
      </c>
      <c r="G23" s="5"/>
      <c r="H23" s="5">
        <f>SUM(OSRRefH16x_0)</f>
        <v>29424.93</v>
      </c>
      <c r="I23" s="5"/>
      <c r="J23" s="13">
        <f>IF(H$12=0,0,H23/H$12)</f>
        <v>0.26205936849998823</v>
      </c>
      <c r="K23" s="5"/>
      <c r="L23" s="5">
        <f>+D23-H23</f>
        <v>217243.56</v>
      </c>
      <c r="M23" s="5"/>
      <c r="N23" s="13">
        <f>IF(H23=0,0,L23/H23)</f>
        <v>7.3829762721610548</v>
      </c>
      <c r="O23" s="11"/>
      <c r="P23" s="5">
        <f>SUM(OSRRefP16x_0)</f>
        <v>3350649.48</v>
      </c>
      <c r="Q23" s="5"/>
      <c r="R23" s="13">
        <f>IF(P$12=0,0,P23/P$12)</f>
        <v>0.25528712370458601</v>
      </c>
      <c r="S23" s="5"/>
      <c r="T23" s="5">
        <f>SUM(OSRRefT16x_0)</f>
        <v>458835.41</v>
      </c>
      <c r="U23" s="5"/>
      <c r="V23" s="13">
        <f>IF(T$12=0,0,T23/T$12)</f>
        <v>0.30381226629598251</v>
      </c>
      <c r="W23" s="5"/>
      <c r="X23" s="5">
        <f>+P23-T23</f>
        <v>2891814.07</v>
      </c>
      <c r="Y23" s="5"/>
      <c r="Z23" s="13">
        <f>IF(T23=0,0,X23/T23)</f>
        <v>6.3025084964562783</v>
      </c>
    </row>
    <row r="24" spans="1:26" s="69" customFormat="1" ht="15" hidden="1" customHeight="1" outlineLevel="1" x14ac:dyDescent="0.25">
      <c r="A24" s="42"/>
      <c r="B24" s="12" t="str">
        <f>CONCATENATE("          ","5053"," - ","PURCHASES @ COST-FOOD")</f>
        <v xml:space="preserve">          5053 - PURCHASES @ COST-FOOD</v>
      </c>
      <c r="C24" s="12"/>
      <c r="D24" s="3">
        <v>204784.83</v>
      </c>
      <c r="E24" s="3"/>
      <c r="F24" s="20">
        <f>IF(D$12=0,0,D24/D$12)</f>
        <v>0.2533075253877039</v>
      </c>
      <c r="G24" s="3"/>
      <c r="H24" s="3">
        <v>28069.93</v>
      </c>
      <c r="I24" s="3"/>
      <c r="J24" s="20">
        <f>IF(H$12=0,0,H24/H$12)</f>
        <v>0.24999169512514979</v>
      </c>
      <c r="K24" s="3"/>
      <c r="L24" s="3">
        <f>+D24-H24</f>
        <v>176714.9</v>
      </c>
      <c r="M24" s="3"/>
      <c r="N24" s="20">
        <f>IF(H24=0,0,L24/H24)</f>
        <v>6.2955233589823703</v>
      </c>
      <c r="O24" s="12"/>
      <c r="P24" s="3">
        <v>3282850.51</v>
      </c>
      <c r="Q24" s="3"/>
      <c r="R24" s="20">
        <f>IF(P$12=0,0,P24/P$12)</f>
        <v>0.2501214971164436</v>
      </c>
      <c r="S24" s="3"/>
      <c r="T24" s="3">
        <v>455876.1</v>
      </c>
      <c r="U24" s="3"/>
      <c r="V24" s="20">
        <f>IF(T$12=0,0,T24/T$12)</f>
        <v>0.30185279530011416</v>
      </c>
      <c r="W24" s="3"/>
      <c r="X24" s="3">
        <f>+P24-T24</f>
        <v>2826974.4099999997</v>
      </c>
      <c r="Y24" s="3"/>
      <c r="Z24" s="20">
        <f>IF(T24=0,0,X24/T24)</f>
        <v>6.2011902137444794</v>
      </c>
    </row>
    <row r="25" spans="1:26" s="69" customFormat="1" ht="15" hidden="1" customHeight="1" outlineLevel="1" x14ac:dyDescent="0.25">
      <c r="A25" s="42"/>
      <c r="B25" s="12" t="str">
        <f>CONCATENATE("          ","5059"," - ","PURCHASES @ COST-FOOD")</f>
        <v xml:space="preserve">          5059 - PURCHASES @ COST-FOOD</v>
      </c>
      <c r="C25" s="12"/>
      <c r="D25" s="3">
        <v>41883.660000000003</v>
      </c>
      <c r="E25" s="3"/>
      <c r="F25" s="20">
        <f>IF(D$12=0,0,D25/D$12)</f>
        <v>5.1807774378502355E-2</v>
      </c>
      <c r="G25" s="3"/>
      <c r="H25" s="3">
        <v>1355</v>
      </c>
      <c r="I25" s="3"/>
      <c r="J25" s="20">
        <f>IF(H$12=0,0,H25/H$12)</f>
        <v>1.2067673374838411E-2</v>
      </c>
      <c r="K25" s="3"/>
      <c r="L25" s="3">
        <f>+D25-H25</f>
        <v>40528.660000000003</v>
      </c>
      <c r="M25" s="3"/>
      <c r="N25" s="20">
        <f>IF(H25=0,0,L25/H25)</f>
        <v>29.910450184501848</v>
      </c>
      <c r="O25" s="12"/>
      <c r="P25" s="3">
        <v>67798.97</v>
      </c>
      <c r="Q25" s="3"/>
      <c r="R25" s="20">
        <f>IF(P$12=0,0,P25/P$12)</f>
        <v>5.1656265881424024E-3</v>
      </c>
      <c r="S25" s="3"/>
      <c r="T25" s="3">
        <v>2959.31</v>
      </c>
      <c r="U25" s="3"/>
      <c r="V25" s="20">
        <f>IF(T$12=0,0,T25/T$12)</f>
        <v>1.9594709958683531E-3</v>
      </c>
      <c r="W25" s="3"/>
      <c r="X25" s="3">
        <f>+P25-T25</f>
        <v>64839.66</v>
      </c>
      <c r="Y25" s="3"/>
      <c r="Z25" s="20">
        <f>IF(T25=0,0,X25/T25)</f>
        <v>21.910398031973671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288</v>
      </c>
      <c r="C27" s="27"/>
      <c r="D27" s="22">
        <f>D12-D23</f>
        <v>561775.04</v>
      </c>
      <c r="E27" s="15"/>
      <c r="F27" s="23">
        <f>IF(D$12=0,0,D27/D$12)</f>
        <v>0.69488470023379367</v>
      </c>
      <c r="G27" s="15"/>
      <c r="H27" s="22">
        <f>H12-H23</f>
        <v>82858.51999999999</v>
      </c>
      <c r="I27" s="15"/>
      <c r="J27" s="23">
        <f>IF(H$12=0,0,H27/H$12)</f>
        <v>0.73794063150001177</v>
      </c>
      <c r="K27" s="16"/>
      <c r="L27" s="22">
        <f>+D27-H27</f>
        <v>478916.52</v>
      </c>
      <c r="M27" s="16"/>
      <c r="N27" s="23">
        <f>IF(H27=0,0,L27/H27)</f>
        <v>5.7799308990795408</v>
      </c>
      <c r="O27" s="28"/>
      <c r="P27" s="22">
        <f>P12-P23</f>
        <v>9774373.9500000011</v>
      </c>
      <c r="Q27" s="15"/>
      <c r="R27" s="23">
        <f>IF(P$12=0,0,P27/P$12)</f>
        <v>0.74471287629541394</v>
      </c>
      <c r="S27" s="15"/>
      <c r="T27" s="22">
        <f>T12-T23</f>
        <v>1051424.25</v>
      </c>
      <c r="U27" s="15"/>
      <c r="V27" s="23">
        <f>IF(T$12=0,0,T27/T$12)</f>
        <v>0.69618773370401754</v>
      </c>
      <c r="W27" s="16"/>
      <c r="X27" s="22">
        <f>+P27-T27</f>
        <v>8722949.7000000011</v>
      </c>
      <c r="Y27" s="16"/>
      <c r="Z27" s="23">
        <f>IF(T27=0,0,X27/T27)</f>
        <v>8.2963177803821821</v>
      </c>
    </row>
    <row r="28" spans="1:26" ht="15" customHeight="1" x14ac:dyDescent="0.25">
      <c r="A28" s="10"/>
      <c r="B28" s="11"/>
      <c r="C28" s="10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2" customFormat="1" ht="15" customHeight="1" x14ac:dyDescent="0.25">
      <c r="A29" s="11"/>
      <c r="B29" s="28" t="s">
        <v>289</v>
      </c>
      <c r="C29" s="11"/>
      <c r="D29" s="21" cm="1">
        <f t="array" ref="D29">SUM(OSRRefD22x_0)</f>
        <v>603952.68000000017</v>
      </c>
      <c r="E29" s="21"/>
      <c r="F29" s="31">
        <f t="shared" ref="F29:F60" si="4">IF(D$12=0,0,D29/D$12)</f>
        <v>0.74705611163713581</v>
      </c>
      <c r="G29" s="21"/>
      <c r="H29" s="21" cm="1">
        <f t="array" ref="H29">SUM(OSRRefH22x_0)</f>
        <v>320142.31</v>
      </c>
      <c r="I29" s="21"/>
      <c r="J29" s="31">
        <f t="shared" ref="J29:J60" si="5">IF(H$12=0,0,H29/H$12)</f>
        <v>2.8511976609197527</v>
      </c>
      <c r="K29" s="5"/>
      <c r="L29" s="21">
        <f t="shared" ref="L29:L60" si="6">+D29-H29</f>
        <v>283810.37000000017</v>
      </c>
      <c r="M29" s="5"/>
      <c r="N29" s="31">
        <f t="shared" ref="N29:N60" si="7">IF(H29=0,0,L29/H29)</f>
        <v>0.88651315722686008</v>
      </c>
      <c r="O29" s="11"/>
      <c r="P29" s="21" cm="1">
        <f t="array" ref="P29">SUM(OSRRefP22x_0)</f>
        <v>7257822.5300000003</v>
      </c>
      <c r="Q29" s="21"/>
      <c r="R29" s="31">
        <f t="shared" ref="R29:R60" si="8">IF(P$12=0,0,P29/P$12)</f>
        <v>0.55297596752556799</v>
      </c>
      <c r="S29" s="21"/>
      <c r="T29" s="21" cm="1">
        <f t="array" ref="T29">SUM(OSRRefT22x_0)</f>
        <v>3701530.9100000011</v>
      </c>
      <c r="U29" s="21"/>
      <c r="V29" s="31">
        <f t="shared" ref="V29:V60" si="9">IF(T$12=0,0,T29/T$12)</f>
        <v>2.4509235120535506</v>
      </c>
      <c r="W29" s="5"/>
      <c r="X29" s="21">
        <f t="shared" ref="X29:X60" si="10">+P29-T29</f>
        <v>3556291.6199999992</v>
      </c>
      <c r="Y29" s="5"/>
      <c r="Z29" s="31">
        <f t="shared" ref="Z29:Z60" si="11">IF(T29=0,0,X29/T29)</f>
        <v>0.9607623727772675</v>
      </c>
    </row>
    <row r="30" spans="1:26" s="68" customFormat="1" ht="15" customHeight="1" outlineLevel="1" collapsed="1" x14ac:dyDescent="0.25">
      <c r="A30" s="26"/>
      <c r="B30" s="14" t="str">
        <f>CONCATENATE("     ","*Benefits                                         ")</f>
        <v xml:space="preserve">     *Benefits                                         </v>
      </c>
      <c r="C30" s="14"/>
      <c r="D30" s="2">
        <f>SUM(OSRRefD22_0x_0)</f>
        <v>113737.51000000001</v>
      </c>
      <c r="E30" s="2"/>
      <c r="F30" s="6">
        <f t="shared" si="4"/>
        <v>0.14068701867154532</v>
      </c>
      <c r="G30" s="2"/>
      <c r="H30" s="2">
        <f>SUM(OSRRefH22_0x_0)</f>
        <v>94959.360000000001</v>
      </c>
      <c r="I30" s="2"/>
      <c r="J30" s="6">
        <f t="shared" si="5"/>
        <v>0.8457110998994064</v>
      </c>
      <c r="K30" s="2"/>
      <c r="L30" s="2">
        <f t="shared" si="6"/>
        <v>18778.150000000009</v>
      </c>
      <c r="M30" s="2"/>
      <c r="N30" s="6">
        <f t="shared" si="7"/>
        <v>0.19774933192473085</v>
      </c>
      <c r="O30" s="14"/>
      <c r="P30" s="2">
        <f>SUM(OSRRefP22_0x_0)</f>
        <v>1295187.4799999997</v>
      </c>
      <c r="Q30" s="2"/>
      <c r="R30" s="6">
        <f t="shared" si="8"/>
        <v>9.8680774697862739E-2</v>
      </c>
      <c r="S30" s="2"/>
      <c r="T30" s="2">
        <f>SUM(OSRRefT22_0x_0)</f>
        <v>1077004.99</v>
      </c>
      <c r="U30" s="2"/>
      <c r="V30" s="6">
        <f t="shared" si="9"/>
        <v>0.7131257084626097</v>
      </c>
      <c r="W30" s="2"/>
      <c r="X30" s="2">
        <f t="shared" si="10"/>
        <v>218182.48999999976</v>
      </c>
      <c r="Y30" s="2"/>
      <c r="Z30" s="6">
        <f t="shared" si="11"/>
        <v>0.20258261756057394</v>
      </c>
    </row>
    <row r="31" spans="1:26" s="69" customFormat="1" ht="15" hidden="1" customHeight="1" outlineLevel="2" x14ac:dyDescent="0.25">
      <c r="A31" s="25"/>
      <c r="B31" s="12" t="str">
        <f>CONCATENATE("          ","6111"," - ","F.I.C.A.")</f>
        <v xml:space="preserve">          6111 - F.I.C.A.</v>
      </c>
      <c r="C31" s="12"/>
      <c r="D31" s="7">
        <v>15295.45</v>
      </c>
      <c r="E31" s="3"/>
      <c r="F31" s="8">
        <f t="shared" si="4"/>
        <v>1.8919626952794092E-2</v>
      </c>
      <c r="G31" s="3"/>
      <c r="H31" s="7">
        <v>9496.7199999999993</v>
      </c>
      <c r="I31" s="3"/>
      <c r="J31" s="8">
        <f t="shared" si="5"/>
        <v>8.4578092319037221E-2</v>
      </c>
      <c r="K31" s="3"/>
      <c r="L31" s="7">
        <f t="shared" si="6"/>
        <v>5798.7300000000014</v>
      </c>
      <c r="M31" s="3"/>
      <c r="N31" s="8">
        <f t="shared" si="7"/>
        <v>0.61060345045447284</v>
      </c>
      <c r="O31" s="12"/>
      <c r="P31" s="7">
        <v>186247.89</v>
      </c>
      <c r="Q31" s="3"/>
      <c r="R31" s="8">
        <f t="shared" si="8"/>
        <v>1.4190290096876421E-2</v>
      </c>
      <c r="S31" s="3"/>
      <c r="T31" s="7">
        <v>117270.02</v>
      </c>
      <c r="U31" s="3"/>
      <c r="V31" s="8">
        <f t="shared" si="9"/>
        <v>7.7648912373121326E-2</v>
      </c>
      <c r="W31" s="3"/>
      <c r="X31" s="7">
        <f t="shared" si="10"/>
        <v>68977.87000000001</v>
      </c>
      <c r="Y31" s="3"/>
      <c r="Z31" s="8">
        <f t="shared" si="11"/>
        <v>0.5881969662834543</v>
      </c>
    </row>
    <row r="32" spans="1:26" s="69" customFormat="1" ht="15" hidden="1" customHeight="1" outlineLevel="2" x14ac:dyDescent="0.25">
      <c r="A32" s="25"/>
      <c r="B32" s="12" t="str">
        <f>CONCATENATE("          ","6112"," - ","COMPENSATION INSURANCE")</f>
        <v xml:space="preserve">          6112 - COMPENSATION INSURANCE</v>
      </c>
      <c r="C32" s="12"/>
      <c r="D32" s="7">
        <v>15938.65</v>
      </c>
      <c r="E32" s="3"/>
      <c r="F32" s="8">
        <f t="shared" si="4"/>
        <v>1.9715229831822636E-2</v>
      </c>
      <c r="G32" s="3"/>
      <c r="H32" s="7">
        <v>7453.04</v>
      </c>
      <c r="I32" s="3"/>
      <c r="J32" s="8">
        <f t="shared" si="5"/>
        <v>6.6377012818897171E-2</v>
      </c>
      <c r="K32" s="3"/>
      <c r="L32" s="7">
        <f t="shared" si="6"/>
        <v>8485.61</v>
      </c>
      <c r="M32" s="3"/>
      <c r="N32" s="8">
        <f t="shared" si="7"/>
        <v>1.1385434668269594</v>
      </c>
      <c r="O32" s="12"/>
      <c r="P32" s="7">
        <v>115129.48</v>
      </c>
      <c r="Q32" s="3"/>
      <c r="R32" s="8">
        <f t="shared" si="8"/>
        <v>8.7717542459274673E-3</v>
      </c>
      <c r="S32" s="3"/>
      <c r="T32" s="7">
        <v>63243.02</v>
      </c>
      <c r="U32" s="3"/>
      <c r="V32" s="8">
        <f t="shared" si="9"/>
        <v>4.1875593763790263E-2</v>
      </c>
      <c r="W32" s="3"/>
      <c r="X32" s="7">
        <f t="shared" si="10"/>
        <v>51886.46</v>
      </c>
      <c r="Y32" s="3"/>
      <c r="Z32" s="8">
        <f t="shared" si="11"/>
        <v>0.82042982767110118</v>
      </c>
    </row>
    <row r="33" spans="1:26" s="69" customFormat="1" ht="15" hidden="1" customHeight="1" outlineLevel="2" x14ac:dyDescent="0.25">
      <c r="A33" s="25"/>
      <c r="B33" s="12" t="str">
        <f>CONCATENATE("          ","6113"," - ","GROUP INSURANCE")</f>
        <v xml:space="preserve">          6113 - GROUP INSURANCE</v>
      </c>
      <c r="C33" s="12"/>
      <c r="D33" s="7">
        <v>52207.54</v>
      </c>
      <c r="E33" s="3"/>
      <c r="F33" s="8">
        <f t="shared" si="4"/>
        <v>6.4577843798193299E-2</v>
      </c>
      <c r="G33" s="3"/>
      <c r="H33" s="7">
        <v>53385.82</v>
      </c>
      <c r="I33" s="3"/>
      <c r="J33" s="8">
        <f t="shared" si="5"/>
        <v>0.47545582185086049</v>
      </c>
      <c r="K33" s="3"/>
      <c r="L33" s="7">
        <f t="shared" si="6"/>
        <v>-1178.2799999999988</v>
      </c>
      <c r="M33" s="3"/>
      <c r="N33" s="8">
        <f t="shared" si="7"/>
        <v>-2.2071029348242639E-2</v>
      </c>
      <c r="O33" s="12"/>
      <c r="P33" s="7">
        <v>599366.06999999995</v>
      </c>
      <c r="Q33" s="3"/>
      <c r="R33" s="8">
        <f t="shared" si="8"/>
        <v>4.5665904765550568E-2</v>
      </c>
      <c r="S33" s="3"/>
      <c r="T33" s="7">
        <v>597224.24</v>
      </c>
      <c r="U33" s="3"/>
      <c r="V33" s="8">
        <f t="shared" si="9"/>
        <v>0.39544474093944881</v>
      </c>
      <c r="W33" s="3"/>
      <c r="X33" s="7">
        <f t="shared" si="10"/>
        <v>2141.8299999999581</v>
      </c>
      <c r="Y33" s="3"/>
      <c r="Z33" s="8">
        <f t="shared" si="11"/>
        <v>3.5863078832834351E-3</v>
      </c>
    </row>
    <row r="34" spans="1:26" s="69" customFormat="1" ht="15" hidden="1" customHeight="1" outlineLevel="2" x14ac:dyDescent="0.25">
      <c r="A34" s="25"/>
      <c r="B34" s="12" t="str">
        <f>CONCATENATE("          ","6114"," - ","STATE UNEMPLOYMENT INSURANCE")</f>
        <v xml:space="preserve">          6114 - STATE UNEMPLOYMENT INSURANCE</v>
      </c>
      <c r="C34" s="12"/>
      <c r="D34" s="7">
        <v>1196.43</v>
      </c>
      <c r="E34" s="3"/>
      <c r="F34" s="8">
        <f t="shared" si="4"/>
        <v>1.4799178366855135E-3</v>
      </c>
      <c r="G34" s="3"/>
      <c r="H34" s="7">
        <v>514.4</v>
      </c>
      <c r="I34" s="3"/>
      <c r="J34" s="8">
        <f t="shared" si="5"/>
        <v>4.5812628664331206E-3</v>
      </c>
      <c r="K34" s="3"/>
      <c r="L34" s="7">
        <f t="shared" si="6"/>
        <v>682.03000000000009</v>
      </c>
      <c r="M34" s="3"/>
      <c r="N34" s="8">
        <f t="shared" si="7"/>
        <v>1.3258748055987561</v>
      </c>
      <c r="O34" s="12"/>
      <c r="P34" s="7">
        <v>8672.27</v>
      </c>
      <c r="Q34" s="3"/>
      <c r="R34" s="8">
        <f t="shared" si="8"/>
        <v>6.607432014313745E-4</v>
      </c>
      <c r="S34" s="3"/>
      <c r="T34" s="7">
        <v>4470.87</v>
      </c>
      <c r="U34" s="3"/>
      <c r="V34" s="8">
        <f t="shared" si="9"/>
        <v>2.9603320001277134E-3</v>
      </c>
      <c r="W34" s="3"/>
      <c r="X34" s="7">
        <f t="shared" si="10"/>
        <v>4201.4000000000005</v>
      </c>
      <c r="Y34" s="3"/>
      <c r="Z34" s="8">
        <f t="shared" si="11"/>
        <v>0.9397276145358735</v>
      </c>
    </row>
    <row r="35" spans="1:26" s="69" customFormat="1" ht="15" hidden="1" customHeight="1" outlineLevel="2" x14ac:dyDescent="0.25">
      <c r="A35" s="25"/>
      <c r="B35" s="12" t="str">
        <f>CONCATENATE("          ","6115"," - ","P.E.R.S.")</f>
        <v xml:space="preserve">          6115 - P.E.R.S.</v>
      </c>
      <c r="C35" s="12"/>
      <c r="D35" s="7">
        <v>6230.92</v>
      </c>
      <c r="E35" s="3"/>
      <c r="F35" s="8">
        <f t="shared" si="4"/>
        <v>7.7073039350070618E-3</v>
      </c>
      <c r="G35" s="3"/>
      <c r="H35" s="7">
        <v>6377.98</v>
      </c>
      <c r="I35" s="3"/>
      <c r="J35" s="8">
        <f t="shared" si="5"/>
        <v>5.6802494045204342E-2</v>
      </c>
      <c r="K35" s="3"/>
      <c r="L35" s="7">
        <f t="shared" si="6"/>
        <v>-147.05999999999949</v>
      </c>
      <c r="M35" s="3"/>
      <c r="N35" s="8">
        <f t="shared" si="7"/>
        <v>-2.3057457063208022E-2</v>
      </c>
      <c r="O35" s="12"/>
      <c r="P35" s="7">
        <v>83972.91</v>
      </c>
      <c r="Q35" s="3"/>
      <c r="R35" s="8">
        <f t="shared" si="8"/>
        <v>6.3979245787906371E-3</v>
      </c>
      <c r="S35" s="3"/>
      <c r="T35" s="7">
        <v>78547.649999999994</v>
      </c>
      <c r="U35" s="3"/>
      <c r="V35" s="8">
        <f t="shared" si="9"/>
        <v>5.2009367713628796E-2</v>
      </c>
      <c r="W35" s="3"/>
      <c r="X35" s="7">
        <f t="shared" si="10"/>
        <v>5425.2600000000093</v>
      </c>
      <c r="Y35" s="3"/>
      <c r="Z35" s="8">
        <f t="shared" si="11"/>
        <v>6.9069666629109974E-2</v>
      </c>
    </row>
    <row r="36" spans="1:26" s="69" customFormat="1" ht="15" hidden="1" customHeight="1" outlineLevel="2" x14ac:dyDescent="0.25">
      <c r="A36" s="25"/>
      <c r="B36" s="12" t="str">
        <f>CONCATENATE("          ","6117"," - ","RETIREMENT STAFF HOURLY")</f>
        <v xml:space="preserve">          6117 - RETIREMENT STAFF HOURLY</v>
      </c>
      <c r="C36" s="12"/>
      <c r="D36" s="7">
        <v>1605.46</v>
      </c>
      <c r="E36" s="3"/>
      <c r="F36" s="8">
        <f t="shared" si="4"/>
        <v>1.985865357843856E-3</v>
      </c>
      <c r="G36" s="3"/>
      <c r="H36" s="7">
        <v>1429.07</v>
      </c>
      <c r="I36" s="3"/>
      <c r="J36" s="8">
        <f t="shared" si="5"/>
        <v>1.272734316588954E-2</v>
      </c>
      <c r="K36" s="3"/>
      <c r="L36" s="7">
        <f t="shared" si="6"/>
        <v>176.3900000000001</v>
      </c>
      <c r="M36" s="3"/>
      <c r="N36" s="8">
        <f t="shared" si="7"/>
        <v>0.12342992295688812</v>
      </c>
      <c r="O36" s="12"/>
      <c r="P36" s="7">
        <v>18680.39</v>
      </c>
      <c r="Q36" s="3"/>
      <c r="R36" s="8">
        <f t="shared" si="8"/>
        <v>1.4232652687919808E-3</v>
      </c>
      <c r="S36" s="3"/>
      <c r="T36" s="7">
        <v>16831.96</v>
      </c>
      <c r="U36" s="3"/>
      <c r="V36" s="8">
        <f t="shared" si="9"/>
        <v>1.1145076867113036E-2</v>
      </c>
      <c r="W36" s="3"/>
      <c r="X36" s="7">
        <f t="shared" si="10"/>
        <v>1848.4300000000003</v>
      </c>
      <c r="Y36" s="3"/>
      <c r="Z36" s="8">
        <f t="shared" si="11"/>
        <v>0.10981668207386426</v>
      </c>
    </row>
    <row r="37" spans="1:26" s="69" customFormat="1" ht="15" hidden="1" customHeight="1" outlineLevel="2" x14ac:dyDescent="0.25">
      <c r="A37" s="25"/>
      <c r="B37" s="12" t="str">
        <f>CONCATENATE("          ","6118"," - ","VACATION")</f>
        <v xml:space="preserve">          6118 - VACATION</v>
      </c>
      <c r="C37" s="12"/>
      <c r="D37" s="7">
        <v>9362.6</v>
      </c>
      <c r="E37" s="3"/>
      <c r="F37" s="8">
        <f t="shared" si="4"/>
        <v>1.1581019146754752E-2</v>
      </c>
      <c r="G37" s="3"/>
      <c r="H37" s="7">
        <v>8507.2000000000007</v>
      </c>
      <c r="I37" s="3"/>
      <c r="J37" s="8">
        <f t="shared" si="5"/>
        <v>7.5765395523561138E-2</v>
      </c>
      <c r="K37" s="3"/>
      <c r="L37" s="7">
        <f t="shared" si="6"/>
        <v>855.39999999999964</v>
      </c>
      <c r="M37" s="3"/>
      <c r="N37" s="8">
        <f t="shared" si="7"/>
        <v>0.1005501222493887</v>
      </c>
      <c r="O37" s="12"/>
      <c r="P37" s="7">
        <v>126892.37</v>
      </c>
      <c r="Q37" s="3"/>
      <c r="R37" s="8">
        <f t="shared" si="8"/>
        <v>9.6679728365254413E-3</v>
      </c>
      <c r="S37" s="3"/>
      <c r="T37" s="7">
        <v>102626.95</v>
      </c>
      <c r="U37" s="3"/>
      <c r="V37" s="8">
        <f t="shared" si="9"/>
        <v>6.7953182302439311E-2</v>
      </c>
      <c r="W37" s="3"/>
      <c r="X37" s="7">
        <f t="shared" si="10"/>
        <v>24265.42</v>
      </c>
      <c r="Y37" s="3"/>
      <c r="Z37" s="8">
        <f t="shared" si="11"/>
        <v>0.23644296161973047</v>
      </c>
    </row>
    <row r="38" spans="1:26" s="69" customFormat="1" ht="15" hidden="1" customHeight="1" outlineLevel="2" x14ac:dyDescent="0.25">
      <c r="A38" s="25"/>
      <c r="B38" s="12" t="str">
        <f>CONCATENATE("          ","6119"," - ","SICK LEAVE")</f>
        <v xml:space="preserve">          6119 - SICK LEAVE</v>
      </c>
      <c r="C38" s="12"/>
      <c r="D38" s="7">
        <v>7073.14</v>
      </c>
      <c r="E38" s="3"/>
      <c r="F38" s="8">
        <f t="shared" si="4"/>
        <v>8.7490835630783022E-3</v>
      </c>
      <c r="G38" s="3"/>
      <c r="H38" s="7">
        <v>5325.16</v>
      </c>
      <c r="I38" s="3"/>
      <c r="J38" s="8">
        <f t="shared" si="5"/>
        <v>4.7426045423435065E-2</v>
      </c>
      <c r="K38" s="3"/>
      <c r="L38" s="7">
        <f t="shared" si="6"/>
        <v>1747.9800000000005</v>
      </c>
      <c r="M38" s="3"/>
      <c r="N38" s="8">
        <f t="shared" si="7"/>
        <v>0.32824929204005149</v>
      </c>
      <c r="O38" s="12"/>
      <c r="P38" s="7">
        <v>101429.16</v>
      </c>
      <c r="Q38" s="3"/>
      <c r="R38" s="8">
        <f t="shared" si="8"/>
        <v>7.7279222045548756E-3</v>
      </c>
      <c r="S38" s="3"/>
      <c r="T38" s="7">
        <v>66257.05</v>
      </c>
      <c r="U38" s="3"/>
      <c r="V38" s="8">
        <f t="shared" si="9"/>
        <v>4.3871296939759358E-2</v>
      </c>
      <c r="W38" s="3"/>
      <c r="X38" s="7">
        <f t="shared" si="10"/>
        <v>35172.11</v>
      </c>
      <c r="Y38" s="3"/>
      <c r="Z38" s="8">
        <f t="shared" si="11"/>
        <v>0.53084328384677548</v>
      </c>
    </row>
    <row r="39" spans="1:26" s="69" customFormat="1" ht="15" hidden="1" customHeight="1" outlineLevel="2" x14ac:dyDescent="0.25">
      <c r="A39" s="25"/>
      <c r="B39" s="12" t="str">
        <f>CONCATENATE("          ","6156"," - ","EMPLOYEE MEALS")</f>
        <v xml:space="preserve">          6156 - EMPLOYEE MEALS</v>
      </c>
      <c r="C39" s="12"/>
      <c r="D39" s="7">
        <v>4827.32</v>
      </c>
      <c r="E39" s="3"/>
      <c r="F39" s="8">
        <f t="shared" si="4"/>
        <v>5.9711282493657902E-3</v>
      </c>
      <c r="G39" s="3"/>
      <c r="H39" s="7">
        <v>2469.9699999999998</v>
      </c>
      <c r="I39" s="3"/>
      <c r="J39" s="8">
        <f t="shared" si="5"/>
        <v>2.1997631886088286E-2</v>
      </c>
      <c r="K39" s="3"/>
      <c r="L39" s="7">
        <f t="shared" si="6"/>
        <v>2357.35</v>
      </c>
      <c r="M39" s="3"/>
      <c r="N39" s="8">
        <f t="shared" si="7"/>
        <v>0.95440430450572278</v>
      </c>
      <c r="O39" s="12"/>
      <c r="P39" s="7">
        <v>54796.94</v>
      </c>
      <c r="Q39" s="3"/>
      <c r="R39" s="8">
        <f t="shared" si="8"/>
        <v>4.1749974994139873E-3</v>
      </c>
      <c r="S39" s="3"/>
      <c r="T39" s="7">
        <v>30533.23</v>
      </c>
      <c r="U39" s="3"/>
      <c r="V39" s="8">
        <f t="shared" si="9"/>
        <v>2.0217205563181104E-2</v>
      </c>
      <c r="W39" s="3"/>
      <c r="X39" s="7">
        <f t="shared" si="10"/>
        <v>24263.710000000003</v>
      </c>
      <c r="Y39" s="3"/>
      <c r="Z39" s="8">
        <f t="shared" si="11"/>
        <v>0.79466568063712895</v>
      </c>
    </row>
    <row r="40" spans="1:26" s="68" customFormat="1" ht="15" customHeight="1" outlineLevel="1" collapsed="1" x14ac:dyDescent="0.25">
      <c r="A40" s="26"/>
      <c r="B40" s="14" t="str">
        <f>CONCATENATE("     ","*Payroll                                          ")</f>
        <v xml:space="preserve">     *Payroll                                          </v>
      </c>
      <c r="C40" s="14"/>
      <c r="D40" s="2">
        <f>SUM(OSRRefD22_1x_0)</f>
        <v>248746.41999999998</v>
      </c>
      <c r="E40" s="2"/>
      <c r="F40" s="6">
        <f t="shared" si="4"/>
        <v>0.30768558442170968</v>
      </c>
      <c r="G40" s="2"/>
      <c r="H40" s="2">
        <f>SUM(OSRRefH22_1x_0)</f>
        <v>116472.43000000001</v>
      </c>
      <c r="I40" s="2"/>
      <c r="J40" s="6">
        <f t="shared" si="5"/>
        <v>1.0373071899732331</v>
      </c>
      <c r="K40" s="2"/>
      <c r="L40" s="2">
        <f t="shared" si="6"/>
        <v>132273.99</v>
      </c>
      <c r="M40" s="2"/>
      <c r="N40" s="6">
        <f t="shared" si="7"/>
        <v>1.1356678142629975</v>
      </c>
      <c r="O40" s="14"/>
      <c r="P40" s="2">
        <f>SUM(OSRRefP22_1x_0)</f>
        <v>3359000.91</v>
      </c>
      <c r="Q40" s="2"/>
      <c r="R40" s="6">
        <f t="shared" si="8"/>
        <v>0.25592342199727408</v>
      </c>
      <c r="S40" s="2"/>
      <c r="T40" s="2">
        <f>SUM(OSRRefT22_1x_0)</f>
        <v>1477621.1699999997</v>
      </c>
      <c r="U40" s="2"/>
      <c r="V40" s="6">
        <f t="shared" si="9"/>
        <v>0.97838882222411994</v>
      </c>
      <c r="W40" s="2"/>
      <c r="X40" s="2">
        <f t="shared" si="10"/>
        <v>1881379.7400000005</v>
      </c>
      <c r="Y40" s="2"/>
      <c r="Z40" s="6">
        <f t="shared" si="11"/>
        <v>1.2732490425810568</v>
      </c>
    </row>
    <row r="41" spans="1:26" s="69" customFormat="1" ht="15" hidden="1" customHeight="1" outlineLevel="2" x14ac:dyDescent="0.25">
      <c r="A41" s="25"/>
      <c r="B41" s="12" t="str">
        <f>CONCATENATE("          ","6001"," - ","ADMINISTRATIVE SALARIES")</f>
        <v xml:space="preserve">          6001 - ADMINISTRATIVE SALARIES</v>
      </c>
      <c r="C41" s="12"/>
      <c r="D41" s="7">
        <v>19678.77</v>
      </c>
      <c r="E41" s="3"/>
      <c r="F41" s="8">
        <f t="shared" si="4"/>
        <v>2.4341551722233463E-2</v>
      </c>
      <c r="G41" s="3"/>
      <c r="H41" s="7">
        <v>17261.5</v>
      </c>
      <c r="I41" s="3"/>
      <c r="J41" s="8">
        <f t="shared" si="5"/>
        <v>0.15373147155702821</v>
      </c>
      <c r="K41" s="3"/>
      <c r="L41" s="7">
        <f t="shared" si="6"/>
        <v>2417.2700000000004</v>
      </c>
      <c r="M41" s="3"/>
      <c r="N41" s="8">
        <f t="shared" si="7"/>
        <v>0.14003823537931237</v>
      </c>
      <c r="O41" s="12"/>
      <c r="P41" s="7">
        <v>226890.36</v>
      </c>
      <c r="Q41" s="3"/>
      <c r="R41" s="8">
        <f t="shared" si="8"/>
        <v>1.7286853711925142E-2</v>
      </c>
      <c r="S41" s="3"/>
      <c r="T41" s="7">
        <v>219481.99</v>
      </c>
      <c r="U41" s="3"/>
      <c r="V41" s="8">
        <f t="shared" si="9"/>
        <v>0.14532732073370747</v>
      </c>
      <c r="W41" s="3"/>
      <c r="X41" s="7">
        <f t="shared" si="10"/>
        <v>7408.3699999999953</v>
      </c>
      <c r="Y41" s="3"/>
      <c r="Z41" s="8">
        <f t="shared" si="11"/>
        <v>3.3753885683285426E-2</v>
      </c>
    </row>
    <row r="42" spans="1:26" s="69" customFormat="1" ht="15" hidden="1" customHeight="1" outlineLevel="2" x14ac:dyDescent="0.25">
      <c r="A42" s="25"/>
      <c r="B42" s="12" t="str">
        <f>CONCATENATE("          ","6002"," - ","STAFF SALARIES")</f>
        <v xml:space="preserve">          6002 - STAFF SALARIES</v>
      </c>
      <c r="C42" s="12"/>
      <c r="D42" s="7">
        <v>47095.93</v>
      </c>
      <c r="E42" s="3"/>
      <c r="F42" s="8">
        <f t="shared" si="4"/>
        <v>5.82550645188539E-2</v>
      </c>
      <c r="G42" s="3"/>
      <c r="H42" s="7">
        <v>41127.51</v>
      </c>
      <c r="I42" s="3"/>
      <c r="J42" s="8">
        <f t="shared" si="5"/>
        <v>0.3662829205907015</v>
      </c>
      <c r="K42" s="3"/>
      <c r="L42" s="7">
        <f t="shared" si="6"/>
        <v>5968.4199999999983</v>
      </c>
      <c r="M42" s="3"/>
      <c r="N42" s="8">
        <f t="shared" si="7"/>
        <v>0.14511989663366437</v>
      </c>
      <c r="O42" s="12"/>
      <c r="P42" s="7">
        <v>651219.29</v>
      </c>
      <c r="Q42" s="3"/>
      <c r="R42" s="8">
        <f t="shared" si="8"/>
        <v>4.9616619236770382E-2</v>
      </c>
      <c r="S42" s="3"/>
      <c r="T42" s="7">
        <v>481343.44</v>
      </c>
      <c r="U42" s="3"/>
      <c r="V42" s="8">
        <f t="shared" si="9"/>
        <v>0.3187156836328397</v>
      </c>
      <c r="W42" s="3"/>
      <c r="X42" s="7">
        <f t="shared" si="10"/>
        <v>169875.85000000003</v>
      </c>
      <c r="Y42" s="3"/>
      <c r="Z42" s="8">
        <f t="shared" si="11"/>
        <v>0.35292025585723164</v>
      </c>
    </row>
    <row r="43" spans="1:26" s="69" customFormat="1" ht="15" hidden="1" customHeight="1" outlineLevel="2" x14ac:dyDescent="0.25">
      <c r="A43" s="25"/>
      <c r="B43" s="12" t="str">
        <f>CONCATENATE("          ","6004"," - ","STAFF HOURLY")</f>
        <v xml:space="preserve">          6004 - STAFF HOURLY</v>
      </c>
      <c r="C43" s="12"/>
      <c r="D43" s="7">
        <v>78225.039999999994</v>
      </c>
      <c r="E43" s="3"/>
      <c r="F43" s="8">
        <f t="shared" si="4"/>
        <v>9.6760054471584422E-2</v>
      </c>
      <c r="G43" s="3"/>
      <c r="H43" s="7">
        <v>45128.18</v>
      </c>
      <c r="I43" s="3"/>
      <c r="J43" s="8">
        <f t="shared" si="5"/>
        <v>0.40191301567595228</v>
      </c>
      <c r="K43" s="3"/>
      <c r="L43" s="7">
        <f t="shared" si="6"/>
        <v>33096.859999999993</v>
      </c>
      <c r="M43" s="3"/>
      <c r="N43" s="8">
        <f t="shared" si="7"/>
        <v>0.73339673791409254</v>
      </c>
      <c r="O43" s="12"/>
      <c r="P43" s="7">
        <v>970344.47</v>
      </c>
      <c r="Q43" s="3"/>
      <c r="R43" s="8">
        <f t="shared" si="8"/>
        <v>7.3930875260921333E-2</v>
      </c>
      <c r="S43" s="3"/>
      <c r="T43" s="7">
        <v>536155.69999999995</v>
      </c>
      <c r="U43" s="3"/>
      <c r="V43" s="8">
        <f t="shared" si="9"/>
        <v>0.35500895256647458</v>
      </c>
      <c r="W43" s="3"/>
      <c r="X43" s="7">
        <f t="shared" si="10"/>
        <v>434188.77</v>
      </c>
      <c r="Y43" s="3"/>
      <c r="Z43" s="8">
        <f t="shared" si="11"/>
        <v>0.80981843520454988</v>
      </c>
    </row>
    <row r="44" spans="1:26" s="69" customFormat="1" ht="15" hidden="1" customHeight="1" outlineLevel="2" x14ac:dyDescent="0.25">
      <c r="A44" s="25"/>
      <c r="B44" s="12" t="str">
        <f>CONCATENATE("          ","6005"," - ","TEMPORARY WAGES-HOURLY")</f>
        <v xml:space="preserve">          6005 - TEMPORARY WAGES-HOURLY</v>
      </c>
      <c r="C44" s="12"/>
      <c r="D44" s="7">
        <v>26337.21</v>
      </c>
      <c r="E44" s="3"/>
      <c r="F44" s="8">
        <f t="shared" si="4"/>
        <v>3.2577674287281387E-2</v>
      </c>
      <c r="G44" s="3"/>
      <c r="H44" s="7">
        <v>7133.27</v>
      </c>
      <c r="I44" s="3"/>
      <c r="J44" s="8">
        <f t="shared" si="5"/>
        <v>6.352913096275542E-2</v>
      </c>
      <c r="K44" s="3"/>
      <c r="L44" s="7">
        <f t="shared" si="6"/>
        <v>19203.939999999999</v>
      </c>
      <c r="M44" s="3"/>
      <c r="N44" s="8">
        <f t="shared" si="7"/>
        <v>2.6921650238950714</v>
      </c>
      <c r="O44" s="12"/>
      <c r="P44" s="7">
        <v>514904.72</v>
      </c>
      <c r="Q44" s="3"/>
      <c r="R44" s="8">
        <f t="shared" si="8"/>
        <v>3.9230765777002498E-2</v>
      </c>
      <c r="S44" s="3"/>
      <c r="T44" s="7">
        <v>110398.39</v>
      </c>
      <c r="U44" s="3"/>
      <c r="V44" s="8">
        <f t="shared" si="9"/>
        <v>7.3098946442097246E-2</v>
      </c>
      <c r="W44" s="3"/>
      <c r="X44" s="7">
        <f t="shared" si="10"/>
        <v>404506.32999999996</v>
      </c>
      <c r="Y44" s="3"/>
      <c r="Z44" s="8">
        <f t="shared" si="11"/>
        <v>3.6640600465278519</v>
      </c>
    </row>
    <row r="45" spans="1:26" s="69" customFormat="1" ht="15" hidden="1" customHeight="1" outlineLevel="2" x14ac:dyDescent="0.25">
      <c r="A45" s="25"/>
      <c r="B45" s="12" t="str">
        <f>CONCATENATE("          ","6006"," - ","TEMPORARY PART TIME")</f>
        <v xml:space="preserve">          6006 - TEMPORARY PART TIME</v>
      </c>
      <c r="C45" s="12"/>
      <c r="D45" s="7">
        <v>1994.5</v>
      </c>
      <c r="E45" s="3"/>
      <c r="F45" s="8">
        <f t="shared" si="4"/>
        <v>2.4670863529577631E-3</v>
      </c>
      <c r="G45" s="3"/>
      <c r="H45" s="7">
        <v>252.7</v>
      </c>
      <c r="I45" s="3"/>
      <c r="J45" s="8">
        <f t="shared" si="5"/>
        <v>2.2505542891672814E-3</v>
      </c>
      <c r="K45" s="3"/>
      <c r="L45" s="7">
        <f t="shared" si="6"/>
        <v>1741.8</v>
      </c>
      <c r="M45" s="3"/>
      <c r="N45" s="8">
        <f t="shared" si="7"/>
        <v>6.8927582113177683</v>
      </c>
      <c r="O45" s="12"/>
      <c r="P45" s="7">
        <v>9198.2199999999993</v>
      </c>
      <c r="Q45" s="3"/>
      <c r="R45" s="8">
        <f t="shared" si="8"/>
        <v>7.0081551084895844E-4</v>
      </c>
      <c r="S45" s="3"/>
      <c r="T45" s="7">
        <v>2427.2199999999998</v>
      </c>
      <c r="U45" s="3"/>
      <c r="V45" s="8">
        <f t="shared" si="9"/>
        <v>1.6071540969319143E-3</v>
      </c>
      <c r="W45" s="3"/>
      <c r="X45" s="7">
        <f t="shared" si="10"/>
        <v>6771</v>
      </c>
      <c r="Y45" s="3"/>
      <c r="Z45" s="8">
        <f t="shared" si="11"/>
        <v>2.7896111600926163</v>
      </c>
    </row>
    <row r="46" spans="1:26" s="69" customFormat="1" ht="15" hidden="1" customHeight="1" outlineLevel="2" x14ac:dyDescent="0.25">
      <c r="A46" s="25"/>
      <c r="B46" s="12" t="str">
        <f>CONCATENATE("          ","6007"," - ","STUDENT HOURLY")</f>
        <v xml:space="preserve">          6007 - STUDENT HOURLY</v>
      </c>
      <c r="C46" s="12"/>
      <c r="D46" s="7">
        <v>55176.5</v>
      </c>
      <c r="E46" s="3"/>
      <c r="F46" s="8">
        <f t="shared" si="4"/>
        <v>6.8250283356216607E-2</v>
      </c>
      <c r="G46" s="3"/>
      <c r="H46" s="7">
        <v>5569.27</v>
      </c>
      <c r="I46" s="3"/>
      <c r="J46" s="8">
        <f t="shared" si="5"/>
        <v>4.9600096897628287E-2</v>
      </c>
      <c r="K46" s="3"/>
      <c r="L46" s="7">
        <f t="shared" si="6"/>
        <v>49607.229999999996</v>
      </c>
      <c r="M46" s="3"/>
      <c r="N46" s="8">
        <f t="shared" si="7"/>
        <v>8.9073128076031498</v>
      </c>
      <c r="O46" s="12"/>
      <c r="P46" s="7">
        <v>736439.27</v>
      </c>
      <c r="Q46" s="3"/>
      <c r="R46" s="8">
        <f t="shared" si="8"/>
        <v>5.6109558503089081E-2</v>
      </c>
      <c r="S46" s="3"/>
      <c r="T46" s="7">
        <v>117183.55</v>
      </c>
      <c r="U46" s="3"/>
      <c r="V46" s="8">
        <f t="shared" si="9"/>
        <v>7.7591657318053509E-2</v>
      </c>
      <c r="W46" s="3"/>
      <c r="X46" s="7">
        <f t="shared" si="10"/>
        <v>619255.72</v>
      </c>
      <c r="Y46" s="3"/>
      <c r="Z46" s="8">
        <f t="shared" si="11"/>
        <v>5.2844935999976101</v>
      </c>
    </row>
    <row r="47" spans="1:26" s="69" customFormat="1" ht="15" hidden="1" customHeight="1" outlineLevel="2" x14ac:dyDescent="0.25">
      <c r="A47" s="25"/>
      <c r="B47" s="12" t="str">
        <f>CONCATENATE("          ","6008"," - ","STUDENT HOURLY-FICA EXEMPT")</f>
        <v xml:space="preserve">          6008 - STUDENT HOURLY-FICA EXEMPT</v>
      </c>
      <c r="C47" s="12"/>
      <c r="D47" s="7">
        <v>20238.47</v>
      </c>
      <c r="E47" s="3"/>
      <c r="F47" s="8">
        <f t="shared" si="4"/>
        <v>2.5033869712582153E-2</v>
      </c>
      <c r="G47" s="3"/>
      <c r="H47" s="7"/>
      <c r="I47" s="3"/>
      <c r="J47" s="8">
        <f t="shared" si="5"/>
        <v>0</v>
      </c>
      <c r="K47" s="3"/>
      <c r="L47" s="7">
        <f t="shared" si="6"/>
        <v>20238.47</v>
      </c>
      <c r="M47" s="3"/>
      <c r="N47" s="8">
        <f t="shared" si="7"/>
        <v>0</v>
      </c>
      <c r="O47" s="12"/>
      <c r="P47" s="7">
        <v>250004.58</v>
      </c>
      <c r="Q47" s="3"/>
      <c r="R47" s="8">
        <f t="shared" si="8"/>
        <v>1.9047933996716677E-2</v>
      </c>
      <c r="S47" s="3"/>
      <c r="T47" s="7">
        <v>10630.88</v>
      </c>
      <c r="U47" s="3"/>
      <c r="V47" s="8">
        <f t="shared" si="9"/>
        <v>7.0391074340156847E-3</v>
      </c>
      <c r="W47" s="3"/>
      <c r="X47" s="7">
        <f t="shared" si="10"/>
        <v>239373.69999999998</v>
      </c>
      <c r="Y47" s="3"/>
      <c r="Z47" s="8">
        <f t="shared" si="11"/>
        <v>22.516828334060772</v>
      </c>
    </row>
    <row r="48" spans="1:26" s="68" customFormat="1" ht="15" customHeight="1" outlineLevel="1" collapsed="1" x14ac:dyDescent="0.25">
      <c r="A48" s="26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1403.58</v>
      </c>
      <c r="E48" s="2"/>
      <c r="F48" s="6">
        <f t="shared" si="4"/>
        <v>1.7361509467457793E-3</v>
      </c>
      <c r="G48" s="2"/>
      <c r="H48" s="2">
        <f>SUM(OSRRefH22_2x_0)</f>
        <v>6.3</v>
      </c>
      <c r="I48" s="2"/>
      <c r="J48" s="6">
        <f t="shared" si="5"/>
        <v>5.6108001668990398E-5</v>
      </c>
      <c r="K48" s="2"/>
      <c r="L48" s="2">
        <f t="shared" si="6"/>
        <v>1397.28</v>
      </c>
      <c r="M48" s="2"/>
      <c r="N48" s="6">
        <f t="shared" si="7"/>
        <v>221.7904761904762</v>
      </c>
      <c r="O48" s="14"/>
      <c r="P48" s="2">
        <f>SUM(OSRRefP22_2x_0)</f>
        <v>7383</v>
      </c>
      <c r="Q48" s="2"/>
      <c r="R48" s="6">
        <f t="shared" si="8"/>
        <v>5.62513281547719E-4</v>
      </c>
      <c r="S48" s="2"/>
      <c r="T48" s="2">
        <f>SUM(OSRRefT22_2x_0)</f>
        <v>2015.38</v>
      </c>
      <c r="U48" s="2"/>
      <c r="V48" s="6">
        <f t="shared" si="9"/>
        <v>1.3344592677526725E-3</v>
      </c>
      <c r="W48" s="2"/>
      <c r="X48" s="2">
        <f t="shared" si="10"/>
        <v>5367.62</v>
      </c>
      <c r="Y48" s="2"/>
      <c r="Z48" s="6">
        <f t="shared" si="11"/>
        <v>2.663328999990076</v>
      </c>
    </row>
    <row r="49" spans="1:26" s="69" customFormat="1" ht="15" hidden="1" customHeight="1" outlineLevel="2" x14ac:dyDescent="0.25">
      <c r="A49" s="25"/>
      <c r="B49" s="12" t="str">
        <f>CONCATENATE("          ","6362"," - ","ADVERTISING EXPENSE")</f>
        <v xml:space="preserve">          6362 - ADVERTISING EXPENSE</v>
      </c>
      <c r="C49" s="12"/>
      <c r="D49" s="7">
        <v>1403.58</v>
      </c>
      <c r="E49" s="3"/>
      <c r="F49" s="8">
        <f t="shared" si="4"/>
        <v>1.7361509467457793E-3</v>
      </c>
      <c r="G49" s="3"/>
      <c r="H49" s="7">
        <v>6.3</v>
      </c>
      <c r="I49" s="3"/>
      <c r="J49" s="8">
        <f t="shared" si="5"/>
        <v>5.6108001668990398E-5</v>
      </c>
      <c r="K49" s="3"/>
      <c r="L49" s="7">
        <f t="shared" si="6"/>
        <v>1397.28</v>
      </c>
      <c r="M49" s="3"/>
      <c r="N49" s="8">
        <f t="shared" si="7"/>
        <v>221.7904761904762</v>
      </c>
      <c r="O49" s="12"/>
      <c r="P49" s="7">
        <v>7383</v>
      </c>
      <c r="Q49" s="3"/>
      <c r="R49" s="8">
        <f t="shared" si="8"/>
        <v>5.62513281547719E-4</v>
      </c>
      <c r="S49" s="3"/>
      <c r="T49" s="7">
        <v>2015.38</v>
      </c>
      <c r="U49" s="3"/>
      <c r="V49" s="8">
        <f t="shared" si="9"/>
        <v>1.3344592677526725E-3</v>
      </c>
      <c r="W49" s="3"/>
      <c r="X49" s="7">
        <f t="shared" si="10"/>
        <v>5367.62</v>
      </c>
      <c r="Y49" s="3"/>
      <c r="Z49" s="8">
        <f t="shared" si="11"/>
        <v>2.663328999990076</v>
      </c>
    </row>
    <row r="50" spans="1:26" s="68" customFormat="1" ht="15" customHeight="1" outlineLevel="1" collapsed="1" x14ac:dyDescent="0.25">
      <c r="A50" s="26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8.51</v>
      </c>
      <c r="E50" s="2"/>
      <c r="F50" s="6">
        <f t="shared" si="4"/>
        <v>1.0526400031923071E-5</v>
      </c>
      <c r="G50" s="2"/>
      <c r="H50" s="2">
        <f>SUM(OSRRefH22_3x_0)</f>
        <v>7.22</v>
      </c>
      <c r="I50" s="2"/>
      <c r="J50" s="6">
        <f t="shared" si="5"/>
        <v>6.4301551119065186E-5</v>
      </c>
      <c r="K50" s="2"/>
      <c r="L50" s="2">
        <f t="shared" si="6"/>
        <v>1.29</v>
      </c>
      <c r="M50" s="2"/>
      <c r="N50" s="6">
        <f t="shared" si="7"/>
        <v>0.17867036011080334</v>
      </c>
      <c r="O50" s="14"/>
      <c r="P50" s="2">
        <f>SUM(OSRRefP22_3x_0)</f>
        <v>-26.21</v>
      </c>
      <c r="Q50" s="2"/>
      <c r="R50" s="6">
        <f t="shared" si="8"/>
        <v>-1.9969488161134655E-6</v>
      </c>
      <c r="S50" s="2"/>
      <c r="T50" s="2">
        <f>SUM(OSRRefT22_3x_0)</f>
        <v>69.739999999999995</v>
      </c>
      <c r="U50" s="2"/>
      <c r="V50" s="6">
        <f t="shared" si="9"/>
        <v>4.6177489770202823E-5</v>
      </c>
      <c r="W50" s="2"/>
      <c r="X50" s="2">
        <f t="shared" si="10"/>
        <v>-95.949999999999989</v>
      </c>
      <c r="Y50" s="2"/>
      <c r="Z50" s="6">
        <f t="shared" si="11"/>
        <v>-1.3758244909664468</v>
      </c>
    </row>
    <row r="51" spans="1:26" s="69" customFormat="1" ht="15" hidden="1" customHeight="1" outlineLevel="2" x14ac:dyDescent="0.25">
      <c r="A51" s="25"/>
      <c r="B51" s="12" t="str">
        <f>CONCATENATE("          ","6272"," - ","CASH (OVER/SHORT)")</f>
        <v xml:space="preserve">          6272 - CASH (OVER/SHORT)</v>
      </c>
      <c r="C51" s="12"/>
      <c r="D51" s="7">
        <v>8.51</v>
      </c>
      <c r="E51" s="3"/>
      <c r="F51" s="8">
        <f t="shared" si="4"/>
        <v>1.0526400031923071E-5</v>
      </c>
      <c r="G51" s="3"/>
      <c r="H51" s="7">
        <v>7.22</v>
      </c>
      <c r="I51" s="3"/>
      <c r="J51" s="8">
        <f t="shared" si="5"/>
        <v>6.4301551119065186E-5</v>
      </c>
      <c r="K51" s="3"/>
      <c r="L51" s="7">
        <f t="shared" si="6"/>
        <v>1.29</v>
      </c>
      <c r="M51" s="3"/>
      <c r="N51" s="8">
        <f t="shared" si="7"/>
        <v>0.17867036011080334</v>
      </c>
      <c r="O51" s="12"/>
      <c r="P51" s="7">
        <v>-26.21</v>
      </c>
      <c r="Q51" s="3"/>
      <c r="R51" s="8">
        <f t="shared" si="8"/>
        <v>-1.9969488161134655E-6</v>
      </c>
      <c r="S51" s="3"/>
      <c r="T51" s="7">
        <v>69.739999999999995</v>
      </c>
      <c r="U51" s="3"/>
      <c r="V51" s="8">
        <f t="shared" si="9"/>
        <v>4.6177489770202823E-5</v>
      </c>
      <c r="W51" s="3"/>
      <c r="X51" s="7">
        <f t="shared" si="10"/>
        <v>-95.949999999999989</v>
      </c>
      <c r="Y51" s="3"/>
      <c r="Z51" s="8">
        <f t="shared" si="11"/>
        <v>-1.3758244909664468</v>
      </c>
    </row>
    <row r="52" spans="1:26" s="68" customFormat="1" ht="15" customHeight="1" outlineLevel="1" collapsed="1" x14ac:dyDescent="0.25">
      <c r="A52" s="26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7316.44</v>
      </c>
      <c r="E52" s="2"/>
      <c r="F52" s="6">
        <f t="shared" si="4"/>
        <v>9.0500322267406848E-3</v>
      </c>
      <c r="G52" s="2"/>
      <c r="H52" s="2">
        <f>SUM(OSRRefH22_4x_0)</f>
        <v>772.27</v>
      </c>
      <c r="I52" s="2"/>
      <c r="J52" s="6">
        <f t="shared" si="5"/>
        <v>6.8778613410970186E-3</v>
      </c>
      <c r="K52" s="2"/>
      <c r="L52" s="2">
        <f t="shared" si="6"/>
        <v>6544.17</v>
      </c>
      <c r="M52" s="2"/>
      <c r="N52" s="6">
        <f t="shared" si="7"/>
        <v>8.4739404612376497</v>
      </c>
      <c r="O52" s="14"/>
      <c r="P52" s="2">
        <f>SUM(OSRRefP22_4x_0)</f>
        <v>54735.66</v>
      </c>
      <c r="Q52" s="2"/>
      <c r="R52" s="6">
        <f t="shared" si="8"/>
        <v>4.1703285553677675E-3</v>
      </c>
      <c r="S52" s="2"/>
      <c r="T52" s="2">
        <f>SUM(OSRRefT22_4x_0)</f>
        <v>7441.66</v>
      </c>
      <c r="U52" s="2"/>
      <c r="V52" s="6">
        <f t="shared" si="9"/>
        <v>4.9274043378739257E-3</v>
      </c>
      <c r="W52" s="2"/>
      <c r="X52" s="2">
        <f t="shared" si="10"/>
        <v>47294</v>
      </c>
      <c r="Y52" s="2"/>
      <c r="Z52" s="6">
        <f t="shared" si="11"/>
        <v>6.3553024459596381</v>
      </c>
    </row>
    <row r="53" spans="1:26" s="69" customFormat="1" ht="15" hidden="1" customHeight="1" outlineLevel="2" x14ac:dyDescent="0.25">
      <c r="A53" s="25"/>
      <c r="B53" s="12" t="str">
        <f>CONCATENATE("          ","6381"," - ","BANK/CREDIT CARD FEES")</f>
        <v xml:space="preserve">          6381 - BANK/CREDIT CARD FEES</v>
      </c>
      <c r="C53" s="12"/>
      <c r="D53" s="7">
        <v>7316.44</v>
      </c>
      <c r="E53" s="3"/>
      <c r="F53" s="8">
        <f t="shared" si="4"/>
        <v>9.0500322267406848E-3</v>
      </c>
      <c r="G53" s="3"/>
      <c r="H53" s="7">
        <v>772.27</v>
      </c>
      <c r="I53" s="3"/>
      <c r="J53" s="8">
        <f t="shared" si="5"/>
        <v>6.8778613410970186E-3</v>
      </c>
      <c r="K53" s="3"/>
      <c r="L53" s="7">
        <f t="shared" si="6"/>
        <v>6544.17</v>
      </c>
      <c r="M53" s="3"/>
      <c r="N53" s="8">
        <f t="shared" si="7"/>
        <v>8.4739404612376497</v>
      </c>
      <c r="O53" s="12"/>
      <c r="P53" s="7">
        <v>54735.66</v>
      </c>
      <c r="Q53" s="3"/>
      <c r="R53" s="8">
        <f t="shared" si="8"/>
        <v>4.1703285553677675E-3</v>
      </c>
      <c r="S53" s="3"/>
      <c r="T53" s="7">
        <v>7441.66</v>
      </c>
      <c r="U53" s="3"/>
      <c r="V53" s="8">
        <f t="shared" si="9"/>
        <v>4.9274043378739257E-3</v>
      </c>
      <c r="W53" s="3"/>
      <c r="X53" s="7">
        <f t="shared" si="10"/>
        <v>47294</v>
      </c>
      <c r="Y53" s="3"/>
      <c r="Z53" s="8">
        <f t="shared" si="11"/>
        <v>6.3553024459596381</v>
      </c>
    </row>
    <row r="54" spans="1:26" s="68" customFormat="1" ht="15" customHeight="1" outlineLevel="1" collapsed="1" x14ac:dyDescent="0.25">
      <c r="A54" s="26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37482.86</v>
      </c>
      <c r="E54" s="2"/>
      <c r="F54" s="6">
        <f t="shared" si="4"/>
        <v>4.6364227814402817E-2</v>
      </c>
      <c r="G54" s="2"/>
      <c r="H54" s="2">
        <f>SUM(OSRRefH22_5x_0)</f>
        <v>37479.230000000003</v>
      </c>
      <c r="I54" s="2"/>
      <c r="J54" s="6">
        <f t="shared" si="5"/>
        <v>0.33379122212578971</v>
      </c>
      <c r="K54" s="2"/>
      <c r="L54" s="2">
        <f t="shared" si="6"/>
        <v>3.6299999999973807</v>
      </c>
      <c r="M54" s="2"/>
      <c r="N54" s="6">
        <f t="shared" si="7"/>
        <v>9.6853644004889648E-5</v>
      </c>
      <c r="O54" s="14"/>
      <c r="P54" s="2">
        <f>SUM(OSRRefP22_5x_0)</f>
        <v>375712.68</v>
      </c>
      <c r="Q54" s="2"/>
      <c r="R54" s="6">
        <f t="shared" si="8"/>
        <v>2.862567689907735E-2</v>
      </c>
      <c r="S54" s="2"/>
      <c r="T54" s="2">
        <f>SUM(OSRRefT22_5x_0)</f>
        <v>414566.91</v>
      </c>
      <c r="U54" s="2"/>
      <c r="V54" s="6">
        <f t="shared" si="9"/>
        <v>0.2745004193517292</v>
      </c>
      <c r="W54" s="2"/>
      <c r="X54" s="2">
        <f t="shared" si="10"/>
        <v>-38854.229999999981</v>
      </c>
      <c r="Y54" s="2"/>
      <c r="Z54" s="6">
        <f t="shared" si="11"/>
        <v>-9.3722458456706015E-2</v>
      </c>
    </row>
    <row r="55" spans="1:26" s="69" customFormat="1" ht="15" hidden="1" customHeight="1" outlineLevel="2" x14ac:dyDescent="0.25">
      <c r="A55" s="25"/>
      <c r="B55" s="12" t="str">
        <f>CONCATENATE("          ","6321"," - ","BUILDING DEPRECIATION")</f>
        <v xml:space="preserve">          6321 - BUILDING DEPRECIATION</v>
      </c>
      <c r="C55" s="12"/>
      <c r="D55" s="7">
        <v>23539.4</v>
      </c>
      <c r="E55" s="3"/>
      <c r="F55" s="8">
        <f t="shared" si="4"/>
        <v>2.9116937827432424E-2</v>
      </c>
      <c r="G55" s="3"/>
      <c r="H55" s="7">
        <v>23583.49</v>
      </c>
      <c r="I55" s="3"/>
      <c r="J55" s="8">
        <f t="shared" si="5"/>
        <v>0.21003531686993945</v>
      </c>
      <c r="K55" s="3"/>
      <c r="L55" s="7">
        <f t="shared" si="6"/>
        <v>-44.090000000000146</v>
      </c>
      <c r="M55" s="3"/>
      <c r="N55" s="8">
        <f t="shared" si="7"/>
        <v>-1.8695282165616769E-3</v>
      </c>
      <c r="O55" s="12"/>
      <c r="P55" s="7">
        <v>259021.54</v>
      </c>
      <c r="Q55" s="3"/>
      <c r="R55" s="8">
        <f t="shared" si="8"/>
        <v>1.9734939246504643E-2</v>
      </c>
      <c r="S55" s="3"/>
      <c r="T55" s="7">
        <v>260202.58</v>
      </c>
      <c r="U55" s="3"/>
      <c r="V55" s="8">
        <f t="shared" si="9"/>
        <v>0.17228996237640354</v>
      </c>
      <c r="W55" s="3"/>
      <c r="X55" s="7">
        <f t="shared" si="10"/>
        <v>-1181.039999999979</v>
      </c>
      <c r="Y55" s="3"/>
      <c r="Z55" s="8">
        <f t="shared" si="11"/>
        <v>-4.5389250175766095E-3</v>
      </c>
    </row>
    <row r="56" spans="1:26" s="69" customFormat="1" ht="15" hidden="1" customHeight="1" outlineLevel="2" x14ac:dyDescent="0.25">
      <c r="A56" s="25"/>
      <c r="B56" s="12" t="str">
        <f>CONCATENATE("          ","6322"," - ","EQUIPMENT DEPRECIATION EXPENSE")</f>
        <v xml:space="preserve">          6322 - EQUIPMENT DEPRECIATION EXPENSE</v>
      </c>
      <c r="C56" s="12"/>
      <c r="D56" s="7">
        <v>13943.46</v>
      </c>
      <c r="E56" s="3"/>
      <c r="F56" s="8">
        <f t="shared" si="4"/>
        <v>1.7247289986970393E-2</v>
      </c>
      <c r="G56" s="3"/>
      <c r="H56" s="7">
        <v>13895.74</v>
      </c>
      <c r="I56" s="3"/>
      <c r="J56" s="8">
        <f t="shared" si="5"/>
        <v>0.12375590525585026</v>
      </c>
      <c r="K56" s="3"/>
      <c r="L56" s="7">
        <f t="shared" si="6"/>
        <v>47.719999999999345</v>
      </c>
      <c r="M56" s="3"/>
      <c r="N56" s="8">
        <f t="shared" si="7"/>
        <v>3.4341460044588733E-3</v>
      </c>
      <c r="O56" s="12"/>
      <c r="P56" s="7">
        <v>116691.14</v>
      </c>
      <c r="Q56" s="3"/>
      <c r="R56" s="8">
        <f t="shared" si="8"/>
        <v>8.8907376525727069E-3</v>
      </c>
      <c r="S56" s="3"/>
      <c r="T56" s="7">
        <v>154364.32999999999</v>
      </c>
      <c r="U56" s="3"/>
      <c r="V56" s="8">
        <f t="shared" si="9"/>
        <v>0.10221045697532569</v>
      </c>
      <c r="W56" s="3"/>
      <c r="X56" s="7">
        <f t="shared" si="10"/>
        <v>-37673.189999999988</v>
      </c>
      <c r="Y56" s="3"/>
      <c r="Z56" s="8">
        <f t="shared" si="11"/>
        <v>-0.24405372666081596</v>
      </c>
    </row>
    <row r="57" spans="1:26" s="68" customFormat="1" ht="15" customHeight="1" outlineLevel="1" collapsed="1" x14ac:dyDescent="0.25">
      <c r="A57" s="26"/>
      <c r="B57" s="14" t="str">
        <f>CONCATENATE("     ","Donations                                         ")</f>
        <v xml:space="preserve">     Donations                                         </v>
      </c>
      <c r="C57" s="14"/>
      <c r="D57" s="2">
        <f>SUM(OSRRefD22_6x_0)</f>
        <v>3862.46</v>
      </c>
      <c r="E57" s="2"/>
      <c r="F57" s="6">
        <f t="shared" si="4"/>
        <v>4.7776497141364966E-3</v>
      </c>
      <c r="G57" s="2"/>
      <c r="H57" s="2">
        <f>SUM(OSRRefH22_6x_0)</f>
        <v>3603.41</v>
      </c>
      <c r="I57" s="2"/>
      <c r="J57" s="6">
        <f t="shared" si="5"/>
        <v>3.2092084808580425E-2</v>
      </c>
      <c r="K57" s="2"/>
      <c r="L57" s="2">
        <f t="shared" si="6"/>
        <v>259.05000000000018</v>
      </c>
      <c r="M57" s="2"/>
      <c r="N57" s="6">
        <f t="shared" si="7"/>
        <v>7.1890237302999163E-2</v>
      </c>
      <c r="O57" s="14"/>
      <c r="P57" s="2">
        <f>SUM(OSRRefP22_6x_0)</f>
        <v>70553.73</v>
      </c>
      <c r="Q57" s="2"/>
      <c r="R57" s="6">
        <f t="shared" si="8"/>
        <v>5.3755126896562035E-3</v>
      </c>
      <c r="S57" s="2"/>
      <c r="T57" s="2">
        <f>SUM(OSRRefT22_6x_0)</f>
        <v>61909.05</v>
      </c>
      <c r="U57" s="2"/>
      <c r="V57" s="6">
        <f t="shared" si="9"/>
        <v>4.0992321810409744E-2</v>
      </c>
      <c r="W57" s="2"/>
      <c r="X57" s="2">
        <f t="shared" si="10"/>
        <v>8644.679999999993</v>
      </c>
      <c r="Y57" s="2"/>
      <c r="Z57" s="6">
        <f t="shared" si="11"/>
        <v>0.13963515834922346</v>
      </c>
    </row>
    <row r="58" spans="1:26" s="69" customFormat="1" ht="15" hidden="1" customHeight="1" outlineLevel="2" x14ac:dyDescent="0.25">
      <c r="A58" s="25"/>
      <c r="B58" s="12" t="str">
        <f>CONCATENATE("          ","6399"," - ","DONATION-ON CAMPUS")</f>
        <v xml:space="preserve">          6399 - DONATION-ON CAMPUS</v>
      </c>
      <c r="C58" s="12"/>
      <c r="D58" s="7">
        <v>3862.46</v>
      </c>
      <c r="E58" s="3"/>
      <c r="F58" s="8">
        <f t="shared" si="4"/>
        <v>4.7776497141364966E-3</v>
      </c>
      <c r="G58" s="3"/>
      <c r="H58" s="7">
        <v>3603.41</v>
      </c>
      <c r="I58" s="3"/>
      <c r="J58" s="8">
        <f t="shared" si="5"/>
        <v>3.2092084808580425E-2</v>
      </c>
      <c r="K58" s="3"/>
      <c r="L58" s="7">
        <f t="shared" si="6"/>
        <v>259.05000000000018</v>
      </c>
      <c r="M58" s="3"/>
      <c r="N58" s="8">
        <f t="shared" si="7"/>
        <v>7.1890237302999163E-2</v>
      </c>
      <c r="O58" s="12"/>
      <c r="P58" s="7">
        <v>70553.73</v>
      </c>
      <c r="Q58" s="3"/>
      <c r="R58" s="8">
        <f t="shared" si="8"/>
        <v>5.3755126896562035E-3</v>
      </c>
      <c r="S58" s="3"/>
      <c r="T58" s="7">
        <v>61909.05</v>
      </c>
      <c r="U58" s="3"/>
      <c r="V58" s="8">
        <f t="shared" si="9"/>
        <v>4.0992321810409744E-2</v>
      </c>
      <c r="W58" s="3"/>
      <c r="X58" s="7">
        <f t="shared" si="10"/>
        <v>8644.679999999993</v>
      </c>
      <c r="Y58" s="3"/>
      <c r="Z58" s="8">
        <f t="shared" si="11"/>
        <v>0.13963515834922346</v>
      </c>
    </row>
    <row r="59" spans="1:26" s="68" customFormat="1" ht="15" customHeight="1" outlineLevel="1" collapsed="1" x14ac:dyDescent="0.25">
      <c r="A59" s="26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SUM(OSRRefD22_7x_0)</f>
        <v>0</v>
      </c>
      <c r="E59" s="2"/>
      <c r="F59" s="6">
        <f t="shared" si="4"/>
        <v>0</v>
      </c>
      <c r="G59" s="2"/>
      <c r="H59" s="2">
        <f>SUM(OSRRefH22_7x_0)</f>
        <v>0</v>
      </c>
      <c r="I59" s="2"/>
      <c r="J59" s="6">
        <f t="shared" si="5"/>
        <v>0</v>
      </c>
      <c r="K59" s="2"/>
      <c r="L59" s="2">
        <f t="shared" si="6"/>
        <v>0</v>
      </c>
      <c r="M59" s="2"/>
      <c r="N59" s="6">
        <f t="shared" si="7"/>
        <v>0</v>
      </c>
      <c r="O59" s="14"/>
      <c r="P59" s="2">
        <f>SUM(OSRRefP22_7x_0)</f>
        <v>702.03</v>
      </c>
      <c r="Q59" s="2"/>
      <c r="R59" s="6">
        <f t="shared" si="8"/>
        <v>5.3487904516449301E-5</v>
      </c>
      <c r="S59" s="2"/>
      <c r="T59" s="2">
        <f>SUM(OSRRefT22_7x_0)</f>
        <v>10</v>
      </c>
      <c r="U59" s="2"/>
      <c r="V59" s="6">
        <f t="shared" si="9"/>
        <v>6.621377942386411E-6</v>
      </c>
      <c r="W59" s="2"/>
      <c r="X59" s="2">
        <f t="shared" si="10"/>
        <v>692.03</v>
      </c>
      <c r="Y59" s="2"/>
      <c r="Z59" s="6">
        <f t="shared" si="11"/>
        <v>69.203000000000003</v>
      </c>
    </row>
    <row r="60" spans="1:26" s="69" customFormat="1" ht="15" hidden="1" customHeight="1" outlineLevel="2" x14ac:dyDescent="0.25">
      <c r="A60" s="25"/>
      <c r="B60" s="12" t="str">
        <f>CONCATENATE("          ","6277"," - ","EMPLOYEE APPRECIATION")</f>
        <v xml:space="preserve">          6277 - EMPLOYEE APPRECIATION</v>
      </c>
      <c r="C60" s="12"/>
      <c r="D60" s="7"/>
      <c r="E60" s="3"/>
      <c r="F60" s="8">
        <f t="shared" si="4"/>
        <v>0</v>
      </c>
      <c r="G60" s="3"/>
      <c r="H60" s="7"/>
      <c r="I60" s="3"/>
      <c r="J60" s="8">
        <f t="shared" si="5"/>
        <v>0</v>
      </c>
      <c r="K60" s="3"/>
      <c r="L60" s="7">
        <f t="shared" si="6"/>
        <v>0</v>
      </c>
      <c r="M60" s="3"/>
      <c r="N60" s="8">
        <f t="shared" si="7"/>
        <v>0</v>
      </c>
      <c r="O60" s="12"/>
      <c r="P60" s="7">
        <v>702.03</v>
      </c>
      <c r="Q60" s="3"/>
      <c r="R60" s="8">
        <f t="shared" si="8"/>
        <v>5.3487904516449301E-5</v>
      </c>
      <c r="S60" s="3"/>
      <c r="T60" s="7">
        <v>10</v>
      </c>
      <c r="U60" s="3"/>
      <c r="V60" s="8">
        <f t="shared" si="9"/>
        <v>6.621377942386411E-6</v>
      </c>
      <c r="W60" s="3"/>
      <c r="X60" s="7">
        <f t="shared" si="10"/>
        <v>692.03</v>
      </c>
      <c r="Y60" s="3"/>
      <c r="Z60" s="8">
        <f t="shared" si="11"/>
        <v>69.203000000000003</v>
      </c>
    </row>
    <row r="61" spans="1:26" s="68" customFormat="1" ht="15" customHeight="1" outlineLevel="1" collapsed="1" x14ac:dyDescent="0.25">
      <c r="A61" s="26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SUM(OSRRefD22_8x_0)</f>
        <v>1394.71</v>
      </c>
      <c r="E61" s="2"/>
      <c r="F61" s="6">
        <f t="shared" ref="F61:F92" si="12">IF(D$12=0,0,D61/D$12)</f>
        <v>1.7251792465949971E-3</v>
      </c>
      <c r="G61" s="2"/>
      <c r="H61" s="2">
        <f>SUM(OSRRefH22_8x_0)</f>
        <v>1872.93</v>
      </c>
      <c r="I61" s="2"/>
      <c r="J61" s="6">
        <f t="shared" ref="J61:J92" si="13">IF(H$12=0,0,H61/H$12)</f>
        <v>1.6680374534270188E-2</v>
      </c>
      <c r="K61" s="2"/>
      <c r="L61" s="2">
        <f t="shared" ref="L61:L92" si="14">+D61-H61</f>
        <v>-478.22</v>
      </c>
      <c r="M61" s="2"/>
      <c r="N61" s="6">
        <f t="shared" ref="N61:N92" si="15">IF(H61=0,0,L61/H61)</f>
        <v>-0.25533255380606856</v>
      </c>
      <c r="O61" s="14"/>
      <c r="P61" s="2">
        <f>SUM(OSRRefP22_8x_0)</f>
        <v>22193.31</v>
      </c>
      <c r="Q61" s="2"/>
      <c r="R61" s="6">
        <f t="shared" ref="R61:R92" si="16">IF(P$12=0,0,P61/P$12)</f>
        <v>1.6909158386165257E-3</v>
      </c>
      <c r="S61" s="2"/>
      <c r="T61" s="2">
        <f>SUM(OSRRefT22_8x_0)</f>
        <v>12801.93</v>
      </c>
      <c r="U61" s="2"/>
      <c r="V61" s="6">
        <f t="shared" ref="V61:V92" si="17">IF(T$12=0,0,T61/T$12)</f>
        <v>8.4766416921974869E-3</v>
      </c>
      <c r="W61" s="2"/>
      <c r="X61" s="2">
        <f t="shared" ref="X61:X92" si="18">+P61-T61</f>
        <v>9391.380000000001</v>
      </c>
      <c r="Y61" s="2"/>
      <c r="Z61" s="6">
        <f t="shared" ref="Z61:Z92" si="19">IF(T61=0,0,X61/T61)</f>
        <v>0.7335909507394589</v>
      </c>
    </row>
    <row r="62" spans="1:26" s="69" customFormat="1" ht="15" hidden="1" customHeight="1" outlineLevel="2" x14ac:dyDescent="0.25">
      <c r="A62" s="25"/>
      <c r="B62" s="12" t="str">
        <f>CONCATENATE("          ","6351"," - ","EQUIPMENT RENTAL")</f>
        <v xml:space="preserve">          6351 - EQUIPMENT RENTAL</v>
      </c>
      <c r="C62" s="12"/>
      <c r="D62" s="7">
        <v>1394.71</v>
      </c>
      <c r="E62" s="3"/>
      <c r="F62" s="8">
        <f t="shared" si="12"/>
        <v>1.7251792465949971E-3</v>
      </c>
      <c r="G62" s="3"/>
      <c r="H62" s="7">
        <v>1872.93</v>
      </c>
      <c r="I62" s="3"/>
      <c r="J62" s="8">
        <f t="shared" si="13"/>
        <v>1.6680374534270188E-2</v>
      </c>
      <c r="K62" s="3"/>
      <c r="L62" s="7">
        <f t="shared" si="14"/>
        <v>-478.22</v>
      </c>
      <c r="M62" s="3"/>
      <c r="N62" s="8">
        <f t="shared" si="15"/>
        <v>-0.25533255380606856</v>
      </c>
      <c r="O62" s="12"/>
      <c r="P62" s="7">
        <v>22193.31</v>
      </c>
      <c r="Q62" s="3"/>
      <c r="R62" s="8">
        <f t="shared" si="16"/>
        <v>1.6909158386165257E-3</v>
      </c>
      <c r="S62" s="3"/>
      <c r="T62" s="7">
        <v>12801.93</v>
      </c>
      <c r="U62" s="3"/>
      <c r="V62" s="8">
        <f t="shared" si="17"/>
        <v>8.4766416921974869E-3</v>
      </c>
      <c r="W62" s="3"/>
      <c r="X62" s="7">
        <f t="shared" si="18"/>
        <v>9391.380000000001</v>
      </c>
      <c r="Y62" s="3"/>
      <c r="Z62" s="8">
        <f t="shared" si="19"/>
        <v>0.7335909507394589</v>
      </c>
    </row>
    <row r="63" spans="1:26" s="68" customFormat="1" ht="15" customHeight="1" outlineLevel="1" collapsed="1" x14ac:dyDescent="0.25">
      <c r="A63" s="26"/>
      <c r="B63" s="14" t="str">
        <f>CONCATENATE("     ","Freight out/Postage                               ")</f>
        <v xml:space="preserve">     Freight out/Postage                               </v>
      </c>
      <c r="C63" s="14"/>
      <c r="D63" s="2">
        <f>SUM(OSRRefD22_9x_0)</f>
        <v>0</v>
      </c>
      <c r="E63" s="2"/>
      <c r="F63" s="6">
        <f t="shared" si="12"/>
        <v>0</v>
      </c>
      <c r="G63" s="2"/>
      <c r="H63" s="2">
        <f>SUM(OSRRefH22_9x_0)</f>
        <v>0</v>
      </c>
      <c r="I63" s="2"/>
      <c r="J63" s="6">
        <f t="shared" si="13"/>
        <v>0</v>
      </c>
      <c r="K63" s="2"/>
      <c r="L63" s="2">
        <f t="shared" si="14"/>
        <v>0</v>
      </c>
      <c r="M63" s="2"/>
      <c r="N63" s="6">
        <f t="shared" si="15"/>
        <v>0</v>
      </c>
      <c r="O63" s="14"/>
      <c r="P63" s="2">
        <f>SUM(OSRRefP22_9x_0)</f>
        <v>0</v>
      </c>
      <c r="Q63" s="2"/>
      <c r="R63" s="6">
        <f t="shared" si="16"/>
        <v>0</v>
      </c>
      <c r="S63" s="2"/>
      <c r="T63" s="2">
        <f>SUM(OSRRefT22_9x_0)</f>
        <v>-2.4500000000000002</v>
      </c>
      <c r="U63" s="2"/>
      <c r="V63" s="6">
        <f t="shared" si="17"/>
        <v>-1.6222375958846709E-6</v>
      </c>
      <c r="W63" s="2"/>
      <c r="X63" s="2">
        <f t="shared" si="18"/>
        <v>2.4500000000000002</v>
      </c>
      <c r="Y63" s="2"/>
      <c r="Z63" s="6">
        <f t="shared" si="19"/>
        <v>-1</v>
      </c>
    </row>
    <row r="64" spans="1:26" s="69" customFormat="1" ht="15" hidden="1" customHeight="1" outlineLevel="2" x14ac:dyDescent="0.25">
      <c r="A64" s="25"/>
      <c r="B64" s="12" t="str">
        <f>CONCATENATE("          ","6307"," - ","POSTAGE")</f>
        <v xml:space="preserve">          6307 - POSTAGE</v>
      </c>
      <c r="C64" s="12"/>
      <c r="D64" s="7"/>
      <c r="E64" s="3"/>
      <c r="F64" s="8">
        <f t="shared" si="12"/>
        <v>0</v>
      </c>
      <c r="G64" s="3"/>
      <c r="H64" s="7"/>
      <c r="I64" s="3"/>
      <c r="J64" s="8">
        <f t="shared" si="13"/>
        <v>0</v>
      </c>
      <c r="K64" s="3"/>
      <c r="L64" s="7">
        <f t="shared" si="14"/>
        <v>0</v>
      </c>
      <c r="M64" s="3"/>
      <c r="N64" s="8">
        <f t="shared" si="15"/>
        <v>0</v>
      </c>
      <c r="O64" s="12"/>
      <c r="P64" s="7"/>
      <c r="Q64" s="3"/>
      <c r="R64" s="8">
        <f t="shared" si="16"/>
        <v>0</v>
      </c>
      <c r="S64" s="3"/>
      <c r="T64" s="7">
        <v>-2.4500000000000002</v>
      </c>
      <c r="U64" s="3"/>
      <c r="V64" s="8">
        <f t="shared" si="17"/>
        <v>-1.6222375958846709E-6</v>
      </c>
      <c r="W64" s="3"/>
      <c r="X64" s="7">
        <f t="shared" si="18"/>
        <v>2.4500000000000002</v>
      </c>
      <c r="Y64" s="3"/>
      <c r="Z64" s="8">
        <f t="shared" si="19"/>
        <v>-1</v>
      </c>
    </row>
    <row r="65" spans="1:26" s="68" customFormat="1" ht="15" customHeight="1" outlineLevel="1" collapsed="1" x14ac:dyDescent="0.25">
      <c r="A65" s="26"/>
      <c r="B65" s="14" t="str">
        <f>CONCATENATE("     ","General                                           ")</f>
        <v xml:space="preserve">     General                                           </v>
      </c>
      <c r="C65" s="14"/>
      <c r="D65" s="2">
        <f>SUM(OSRRefD22_10x_0)</f>
        <v>27357.64</v>
      </c>
      <c r="E65" s="2"/>
      <c r="F65" s="6">
        <f t="shared" si="12"/>
        <v>3.3839889843635708E-2</v>
      </c>
      <c r="G65" s="2"/>
      <c r="H65" s="2">
        <f>SUM(OSRRefH22_10x_0)</f>
        <v>303.18</v>
      </c>
      <c r="I65" s="2"/>
      <c r="J65" s="6">
        <f t="shared" si="13"/>
        <v>2.700130785080081E-3</v>
      </c>
      <c r="K65" s="2"/>
      <c r="L65" s="2">
        <f t="shared" si="14"/>
        <v>27054.46</v>
      </c>
      <c r="M65" s="2"/>
      <c r="N65" s="6">
        <f t="shared" si="15"/>
        <v>89.23563559601557</v>
      </c>
      <c r="O65" s="14"/>
      <c r="P65" s="2">
        <f>SUM(OSRRefP22_10x_0)</f>
        <v>66500.990000000005</v>
      </c>
      <c r="Q65" s="2"/>
      <c r="R65" s="6">
        <f t="shared" si="16"/>
        <v>5.0667330503957808E-3</v>
      </c>
      <c r="S65" s="2"/>
      <c r="T65" s="2">
        <f>SUM(OSRRefT22_10x_0)</f>
        <v>15547.41</v>
      </c>
      <c r="U65" s="2"/>
      <c r="V65" s="6">
        <f t="shared" si="17"/>
        <v>1.0294527763523791E-2</v>
      </c>
      <c r="W65" s="2"/>
      <c r="X65" s="2">
        <f t="shared" si="18"/>
        <v>50953.58</v>
      </c>
      <c r="Y65" s="2"/>
      <c r="Z65" s="6">
        <f t="shared" si="19"/>
        <v>3.2773034222420327</v>
      </c>
    </row>
    <row r="66" spans="1:26" s="69" customFormat="1" ht="15" hidden="1" customHeight="1" outlineLevel="2" x14ac:dyDescent="0.25">
      <c r="A66" s="25"/>
      <c r="B66" s="12" t="str">
        <f>CONCATENATE("          ","6279"," - ","GENERAL EXPENSE")</f>
        <v xml:space="preserve">          6279 - GENERAL EXPENSE</v>
      </c>
      <c r="C66" s="12"/>
      <c r="D66" s="7">
        <v>27357.64</v>
      </c>
      <c r="E66" s="3"/>
      <c r="F66" s="8">
        <f t="shared" si="12"/>
        <v>3.3839889843635708E-2</v>
      </c>
      <c r="G66" s="3"/>
      <c r="H66" s="7">
        <v>303.18</v>
      </c>
      <c r="I66" s="3"/>
      <c r="J66" s="8">
        <f t="shared" si="13"/>
        <v>2.700130785080081E-3</v>
      </c>
      <c r="K66" s="3"/>
      <c r="L66" s="7">
        <f t="shared" si="14"/>
        <v>27054.46</v>
      </c>
      <c r="M66" s="3"/>
      <c r="N66" s="8">
        <f t="shared" si="15"/>
        <v>89.23563559601557</v>
      </c>
      <c r="O66" s="12"/>
      <c r="P66" s="7">
        <v>66500.990000000005</v>
      </c>
      <c r="Q66" s="3"/>
      <c r="R66" s="8">
        <f t="shared" si="16"/>
        <v>5.0667330503957808E-3</v>
      </c>
      <c r="S66" s="3"/>
      <c r="T66" s="7">
        <v>15547.41</v>
      </c>
      <c r="U66" s="3"/>
      <c r="V66" s="8">
        <f t="shared" si="17"/>
        <v>1.0294527763523791E-2</v>
      </c>
      <c r="W66" s="3"/>
      <c r="X66" s="7">
        <f t="shared" si="18"/>
        <v>50953.58</v>
      </c>
      <c r="Y66" s="3"/>
      <c r="Z66" s="8">
        <f t="shared" si="19"/>
        <v>3.2773034222420327</v>
      </c>
    </row>
    <row r="67" spans="1:26" s="68" customFormat="1" ht="15" customHeight="1" outlineLevel="1" collapsed="1" x14ac:dyDescent="0.25">
      <c r="A67" s="26"/>
      <c r="B67" s="14" t="str">
        <f>CONCATENATE("     ","Insurance                                         ")</f>
        <v xml:space="preserve">     Insurance                                         </v>
      </c>
      <c r="C67" s="14"/>
      <c r="D67" s="2">
        <f>SUM(OSRRefD22_11x_0)</f>
        <v>5761.42</v>
      </c>
      <c r="E67" s="2"/>
      <c r="F67" s="6">
        <f t="shared" si="12"/>
        <v>7.1265583633281105E-3</v>
      </c>
      <c r="G67" s="2"/>
      <c r="H67" s="2">
        <f>SUM(OSRRefH22_11x_0)</f>
        <v>4246.03</v>
      </c>
      <c r="I67" s="2"/>
      <c r="J67" s="6">
        <f t="shared" si="13"/>
        <v>3.7815279099457665E-2</v>
      </c>
      <c r="K67" s="2"/>
      <c r="L67" s="2">
        <f t="shared" si="14"/>
        <v>1515.3900000000003</v>
      </c>
      <c r="M67" s="2"/>
      <c r="N67" s="6">
        <f t="shared" si="15"/>
        <v>0.35689573554591003</v>
      </c>
      <c r="O67" s="14"/>
      <c r="P67" s="2">
        <f>SUM(OSRRefP22_11x_0)</f>
        <v>70258.63</v>
      </c>
      <c r="Q67" s="2"/>
      <c r="R67" s="6">
        <f t="shared" si="16"/>
        <v>5.3530289202691345E-3</v>
      </c>
      <c r="S67" s="2"/>
      <c r="T67" s="2">
        <f>SUM(OSRRefT22_11x_0)</f>
        <v>52818.33</v>
      </c>
      <c r="U67" s="2"/>
      <c r="V67" s="6">
        <f t="shared" si="17"/>
        <v>3.4973012521568647E-2</v>
      </c>
      <c r="W67" s="2"/>
      <c r="X67" s="2">
        <f t="shared" si="18"/>
        <v>17440.300000000003</v>
      </c>
      <c r="Y67" s="2"/>
      <c r="Z67" s="6">
        <f t="shared" si="19"/>
        <v>0.33019408224379687</v>
      </c>
    </row>
    <row r="68" spans="1:26" s="69" customFormat="1" ht="15" hidden="1" customHeight="1" outlineLevel="2" x14ac:dyDescent="0.25">
      <c r="A68" s="25"/>
      <c r="B68" s="12" t="str">
        <f>CONCATENATE("          ","6314"," - ","LIABILITY INSURANCE")</f>
        <v xml:space="preserve">          6314 - LIABILITY INSURANCE</v>
      </c>
      <c r="C68" s="12"/>
      <c r="D68" s="7">
        <v>5761.42</v>
      </c>
      <c r="E68" s="3"/>
      <c r="F68" s="8">
        <f t="shared" si="12"/>
        <v>7.1265583633281105E-3</v>
      </c>
      <c r="G68" s="3"/>
      <c r="H68" s="7">
        <v>4246.03</v>
      </c>
      <c r="I68" s="3"/>
      <c r="J68" s="8">
        <f t="shared" si="13"/>
        <v>3.7815279099457665E-2</v>
      </c>
      <c r="K68" s="3"/>
      <c r="L68" s="7">
        <f t="shared" si="14"/>
        <v>1515.3900000000003</v>
      </c>
      <c r="M68" s="3"/>
      <c r="N68" s="8">
        <f t="shared" si="15"/>
        <v>0.35689573554591003</v>
      </c>
      <c r="O68" s="12"/>
      <c r="P68" s="7">
        <v>70258.63</v>
      </c>
      <c r="Q68" s="3"/>
      <c r="R68" s="8">
        <f t="shared" si="16"/>
        <v>5.3530289202691345E-3</v>
      </c>
      <c r="S68" s="3"/>
      <c r="T68" s="7">
        <v>52818.33</v>
      </c>
      <c r="U68" s="3"/>
      <c r="V68" s="8">
        <f t="shared" si="17"/>
        <v>3.4973012521568647E-2</v>
      </c>
      <c r="W68" s="3"/>
      <c r="X68" s="7">
        <f t="shared" si="18"/>
        <v>17440.300000000003</v>
      </c>
      <c r="Y68" s="3"/>
      <c r="Z68" s="8">
        <f t="shared" si="19"/>
        <v>0.33019408224379687</v>
      </c>
    </row>
    <row r="69" spans="1:26" s="68" customFormat="1" ht="15" customHeight="1" outlineLevel="1" collapsed="1" x14ac:dyDescent="0.25">
      <c r="A69" s="26"/>
      <c r="B69" s="14" t="str">
        <f>CONCATENATE("     ","Interest                                          ")</f>
        <v xml:space="preserve">     Interest                                          </v>
      </c>
      <c r="C69" s="14"/>
      <c r="D69" s="2">
        <f>SUM(OSRRefD22_12x_0)</f>
        <v>7253</v>
      </c>
      <c r="E69" s="2"/>
      <c r="F69" s="6">
        <f t="shared" si="12"/>
        <v>8.9715604502394863E-3</v>
      </c>
      <c r="G69" s="2"/>
      <c r="H69" s="2">
        <f>SUM(OSRRefH22_12x_0)</f>
        <v>7510</v>
      </c>
      <c r="I69" s="2"/>
      <c r="J69" s="6">
        <f t="shared" si="13"/>
        <v>6.6884300402240943E-2</v>
      </c>
      <c r="K69" s="2"/>
      <c r="L69" s="2">
        <f t="shared" si="14"/>
        <v>-257</v>
      </c>
      <c r="M69" s="2"/>
      <c r="N69" s="6">
        <f t="shared" si="15"/>
        <v>-3.4221038615179764E-2</v>
      </c>
      <c r="O69" s="14"/>
      <c r="P69" s="2">
        <f>SUM(OSRRefP22_12x_0)</f>
        <v>77645</v>
      </c>
      <c r="Q69" s="2"/>
      <c r="R69" s="6">
        <f t="shared" si="16"/>
        <v>5.9157989632632598E-3</v>
      </c>
      <c r="S69" s="2"/>
      <c r="T69" s="2">
        <f>SUM(OSRRefT22_12x_0)</f>
        <v>80580.149999999994</v>
      </c>
      <c r="U69" s="2"/>
      <c r="V69" s="6">
        <f t="shared" si="17"/>
        <v>5.3355162780418831E-2</v>
      </c>
      <c r="W69" s="2"/>
      <c r="X69" s="2">
        <f t="shared" si="18"/>
        <v>-2935.1499999999942</v>
      </c>
      <c r="Y69" s="2"/>
      <c r="Z69" s="6">
        <f t="shared" si="19"/>
        <v>-3.6425223829938194E-2</v>
      </c>
    </row>
    <row r="70" spans="1:26" s="69" customFormat="1" ht="15" hidden="1" customHeight="1" outlineLevel="2" x14ac:dyDescent="0.25">
      <c r="A70" s="25"/>
      <c r="B70" s="12" t="str">
        <f>CONCATENATE("          ","6401"," - ","INTEREST EXPENSE")</f>
        <v xml:space="preserve">          6401 - INTEREST EXPENSE</v>
      </c>
      <c r="C70" s="12"/>
      <c r="D70" s="7">
        <v>7253</v>
      </c>
      <c r="E70" s="3"/>
      <c r="F70" s="8">
        <f t="shared" si="12"/>
        <v>8.9715604502394863E-3</v>
      </c>
      <c r="G70" s="3"/>
      <c r="H70" s="7">
        <v>7510</v>
      </c>
      <c r="I70" s="3"/>
      <c r="J70" s="8">
        <f t="shared" si="13"/>
        <v>6.6884300402240943E-2</v>
      </c>
      <c r="K70" s="3"/>
      <c r="L70" s="7">
        <f t="shared" si="14"/>
        <v>-257</v>
      </c>
      <c r="M70" s="3"/>
      <c r="N70" s="8">
        <f t="shared" si="15"/>
        <v>-3.4221038615179764E-2</v>
      </c>
      <c r="O70" s="12"/>
      <c r="P70" s="7">
        <v>77645</v>
      </c>
      <c r="Q70" s="3"/>
      <c r="R70" s="8">
        <f t="shared" si="16"/>
        <v>5.9157989632632598E-3</v>
      </c>
      <c r="S70" s="3"/>
      <c r="T70" s="7">
        <v>80580.149999999994</v>
      </c>
      <c r="U70" s="3"/>
      <c r="V70" s="8">
        <f t="shared" si="17"/>
        <v>5.3355162780418831E-2</v>
      </c>
      <c r="W70" s="3"/>
      <c r="X70" s="7">
        <f t="shared" si="18"/>
        <v>-2935.1499999999942</v>
      </c>
      <c r="Y70" s="3"/>
      <c r="Z70" s="8">
        <f t="shared" si="19"/>
        <v>-3.6425223829938194E-2</v>
      </c>
    </row>
    <row r="71" spans="1:26" s="68" customFormat="1" ht="15" customHeight="1" outlineLevel="1" collapsed="1" x14ac:dyDescent="0.25">
      <c r="A71" s="26"/>
      <c r="B71" s="14" t="str">
        <f>CONCATENATE("     ","Professional Services                             ")</f>
        <v xml:space="preserve">     Professional Services                             </v>
      </c>
      <c r="C71" s="14"/>
      <c r="D71" s="2">
        <f>SUM(OSRRefD22_13x_0)</f>
        <v>511.58</v>
      </c>
      <c r="E71" s="2"/>
      <c r="F71" s="6">
        <f t="shared" si="12"/>
        <v>6.3279620779450104E-4</v>
      </c>
      <c r="G71" s="2"/>
      <c r="H71" s="2">
        <f>SUM(OSRRefH22_13x_0)</f>
        <v>0</v>
      </c>
      <c r="I71" s="2"/>
      <c r="J71" s="6">
        <f t="shared" si="13"/>
        <v>0</v>
      </c>
      <c r="K71" s="2"/>
      <c r="L71" s="2">
        <f t="shared" si="14"/>
        <v>511.58</v>
      </c>
      <c r="M71" s="2"/>
      <c r="N71" s="6">
        <f t="shared" si="15"/>
        <v>0</v>
      </c>
      <c r="O71" s="14"/>
      <c r="P71" s="2">
        <f>SUM(OSRRefP22_13x_0)</f>
        <v>511.58</v>
      </c>
      <c r="Q71" s="2"/>
      <c r="R71" s="6">
        <f t="shared" si="16"/>
        <v>3.8977454229199795E-5</v>
      </c>
      <c r="S71" s="2"/>
      <c r="T71" s="2">
        <f>SUM(OSRRefT22_13x_0)</f>
        <v>0</v>
      </c>
      <c r="U71" s="2"/>
      <c r="V71" s="6">
        <f t="shared" si="17"/>
        <v>0</v>
      </c>
      <c r="W71" s="2"/>
      <c r="X71" s="2">
        <f t="shared" si="18"/>
        <v>511.58</v>
      </c>
      <c r="Y71" s="2"/>
      <c r="Z71" s="6">
        <f t="shared" si="19"/>
        <v>0</v>
      </c>
    </row>
    <row r="72" spans="1:26" s="69" customFormat="1" ht="15" hidden="1" customHeight="1" outlineLevel="2" x14ac:dyDescent="0.25">
      <c r="A72" s="25"/>
      <c r="B72" s="12" t="str">
        <f>CONCATENATE("          ","6336"," - ","PROFESSIONAL SERVICES")</f>
        <v xml:space="preserve">          6336 - PROFESSIONAL SERVICES</v>
      </c>
      <c r="C72" s="12"/>
      <c r="D72" s="7">
        <v>511.58</v>
      </c>
      <c r="E72" s="3"/>
      <c r="F72" s="8">
        <f t="shared" si="12"/>
        <v>6.3279620779450104E-4</v>
      </c>
      <c r="G72" s="3"/>
      <c r="H72" s="7"/>
      <c r="I72" s="3"/>
      <c r="J72" s="8">
        <f t="shared" si="13"/>
        <v>0</v>
      </c>
      <c r="K72" s="3"/>
      <c r="L72" s="7">
        <f t="shared" si="14"/>
        <v>511.58</v>
      </c>
      <c r="M72" s="3"/>
      <c r="N72" s="8">
        <f t="shared" si="15"/>
        <v>0</v>
      </c>
      <c r="O72" s="12"/>
      <c r="P72" s="7">
        <v>511.58</v>
      </c>
      <c r="Q72" s="3"/>
      <c r="R72" s="8">
        <f t="shared" si="16"/>
        <v>3.8977454229199795E-5</v>
      </c>
      <c r="S72" s="3"/>
      <c r="T72" s="7"/>
      <c r="U72" s="3"/>
      <c r="V72" s="8">
        <f t="shared" si="17"/>
        <v>0</v>
      </c>
      <c r="W72" s="3"/>
      <c r="X72" s="7">
        <f t="shared" si="18"/>
        <v>511.58</v>
      </c>
      <c r="Y72" s="3"/>
      <c r="Z72" s="8">
        <f t="shared" si="19"/>
        <v>0</v>
      </c>
    </row>
    <row r="73" spans="1:26" s="68" customFormat="1" ht="15" customHeight="1" outlineLevel="1" collapsed="1" x14ac:dyDescent="0.25">
      <c r="A73" s="26"/>
      <c r="B73" s="14" t="str">
        <f>CONCATENATE("     ","R/H Commissions                                   ")</f>
        <v xml:space="preserve">     R/H Commissions                                   </v>
      </c>
      <c r="C73" s="14"/>
      <c r="D73" s="2">
        <f>SUM(OSRRefD22_14x_0)</f>
        <v>56038.67</v>
      </c>
      <c r="E73" s="2"/>
      <c r="F73" s="6">
        <f t="shared" si="12"/>
        <v>6.9316740032541291E-2</v>
      </c>
      <c r="G73" s="2"/>
      <c r="H73" s="2">
        <f>SUM(OSRRefH22_14x_0)</f>
        <v>3760.68</v>
      </c>
      <c r="I73" s="2"/>
      <c r="J73" s="6">
        <f t="shared" si="13"/>
        <v>3.3492736462942665E-2</v>
      </c>
      <c r="K73" s="2"/>
      <c r="L73" s="2">
        <f t="shared" si="14"/>
        <v>52277.99</v>
      </c>
      <c r="M73" s="2"/>
      <c r="N73" s="6">
        <f t="shared" si="15"/>
        <v>13.901206696661243</v>
      </c>
      <c r="O73" s="14"/>
      <c r="P73" s="2">
        <f>SUM(OSRRefP22_14x_0)</f>
        <v>912239.08</v>
      </c>
      <c r="Q73" s="2"/>
      <c r="R73" s="6">
        <f t="shared" si="16"/>
        <v>6.9503805830539375E-2</v>
      </c>
      <c r="S73" s="2"/>
      <c r="T73" s="2">
        <f>SUM(OSRRefT22_14x_0)</f>
        <v>69400.47</v>
      </c>
      <c r="U73" s="2"/>
      <c r="V73" s="6">
        <f t="shared" si="17"/>
        <v>4.5952674124924986E-2</v>
      </c>
      <c r="W73" s="2"/>
      <c r="X73" s="2">
        <f t="shared" si="18"/>
        <v>842838.61</v>
      </c>
      <c r="Y73" s="2"/>
      <c r="Z73" s="6">
        <f t="shared" si="19"/>
        <v>12.14456631201489</v>
      </c>
    </row>
    <row r="74" spans="1:26" s="69" customFormat="1" ht="15" hidden="1" customHeight="1" outlineLevel="2" x14ac:dyDescent="0.25">
      <c r="A74" s="25"/>
      <c r="B74" s="12" t="str">
        <f>CONCATENATE("          ","6387"," - ","COMMISSION DUE HOUSING")</f>
        <v xml:space="preserve">          6387 - COMMISSION DUE HOUSING</v>
      </c>
      <c r="C74" s="12"/>
      <c r="D74" s="7">
        <v>56038.67</v>
      </c>
      <c r="E74" s="3"/>
      <c r="F74" s="8">
        <f t="shared" si="12"/>
        <v>6.9316740032541291E-2</v>
      </c>
      <c r="G74" s="3"/>
      <c r="H74" s="7">
        <v>3760.68</v>
      </c>
      <c r="I74" s="3"/>
      <c r="J74" s="8">
        <f t="shared" si="13"/>
        <v>3.3492736462942665E-2</v>
      </c>
      <c r="K74" s="3"/>
      <c r="L74" s="7">
        <f t="shared" si="14"/>
        <v>52277.99</v>
      </c>
      <c r="M74" s="3"/>
      <c r="N74" s="8">
        <f t="shared" si="15"/>
        <v>13.901206696661243</v>
      </c>
      <c r="O74" s="12"/>
      <c r="P74" s="7">
        <v>912239.08</v>
      </c>
      <c r="Q74" s="3"/>
      <c r="R74" s="8">
        <f t="shared" si="16"/>
        <v>6.9503805830539375E-2</v>
      </c>
      <c r="S74" s="3"/>
      <c r="T74" s="7">
        <v>69400.47</v>
      </c>
      <c r="U74" s="3"/>
      <c r="V74" s="8">
        <f t="shared" si="17"/>
        <v>4.5952674124924986E-2</v>
      </c>
      <c r="W74" s="3"/>
      <c r="X74" s="7">
        <f t="shared" si="18"/>
        <v>842838.61</v>
      </c>
      <c r="Y74" s="3"/>
      <c r="Z74" s="8">
        <f t="shared" si="19"/>
        <v>12.14456631201489</v>
      </c>
    </row>
    <row r="75" spans="1:26" s="68" customFormat="1" ht="15" customHeight="1" outlineLevel="1" collapsed="1" x14ac:dyDescent="0.25">
      <c r="A75" s="26"/>
      <c r="B75" s="14" t="str">
        <f>CONCATENATE("     ","Rent                                              ")</f>
        <v xml:space="preserve">     Rent                                              </v>
      </c>
      <c r="C75" s="14"/>
      <c r="D75" s="2">
        <f>SUM(OSRRefD22_15x_0)</f>
        <v>1850</v>
      </c>
      <c r="E75" s="2"/>
      <c r="F75" s="6">
        <f t="shared" si="12"/>
        <v>2.2883478330267544E-3</v>
      </c>
      <c r="G75" s="2"/>
      <c r="H75" s="2">
        <f>SUM(OSRRefH22_15x_0)</f>
        <v>1850</v>
      </c>
      <c r="I75" s="2"/>
      <c r="J75" s="6">
        <f t="shared" si="13"/>
        <v>1.6476159220259086E-2</v>
      </c>
      <c r="K75" s="2"/>
      <c r="L75" s="2">
        <f t="shared" si="14"/>
        <v>0</v>
      </c>
      <c r="M75" s="2"/>
      <c r="N75" s="6">
        <f t="shared" si="15"/>
        <v>0</v>
      </c>
      <c r="O75" s="14"/>
      <c r="P75" s="2">
        <f>SUM(OSRRefP22_15x_0)</f>
        <v>20350</v>
      </c>
      <c r="Q75" s="2"/>
      <c r="R75" s="6">
        <f t="shared" si="16"/>
        <v>1.5504734226596346E-3</v>
      </c>
      <c r="S75" s="2"/>
      <c r="T75" s="2">
        <f>SUM(OSRRefT22_15x_0)</f>
        <v>14800</v>
      </c>
      <c r="U75" s="2"/>
      <c r="V75" s="6">
        <f t="shared" si="17"/>
        <v>9.7996393547318886E-3</v>
      </c>
      <c r="W75" s="2"/>
      <c r="X75" s="2">
        <f t="shared" si="18"/>
        <v>5550</v>
      </c>
      <c r="Y75" s="2"/>
      <c r="Z75" s="6">
        <f t="shared" si="19"/>
        <v>0.375</v>
      </c>
    </row>
    <row r="76" spans="1:26" s="69" customFormat="1" ht="15" hidden="1" customHeight="1" outlineLevel="2" x14ac:dyDescent="0.25">
      <c r="A76" s="25"/>
      <c r="B76" s="12" t="str">
        <f>CONCATENATE("          ","6273"," - ","RENT")</f>
        <v xml:space="preserve">          6273 - RENT</v>
      </c>
      <c r="C76" s="12"/>
      <c r="D76" s="7">
        <v>1850</v>
      </c>
      <c r="E76" s="3"/>
      <c r="F76" s="8">
        <f t="shared" si="12"/>
        <v>2.2883478330267544E-3</v>
      </c>
      <c r="G76" s="3"/>
      <c r="H76" s="7">
        <v>1850</v>
      </c>
      <c r="I76" s="3"/>
      <c r="J76" s="8">
        <f t="shared" si="13"/>
        <v>1.6476159220259086E-2</v>
      </c>
      <c r="K76" s="3"/>
      <c r="L76" s="7">
        <f t="shared" si="14"/>
        <v>0</v>
      </c>
      <c r="M76" s="3"/>
      <c r="N76" s="8">
        <f t="shared" si="15"/>
        <v>0</v>
      </c>
      <c r="O76" s="12"/>
      <c r="P76" s="7">
        <v>20350</v>
      </c>
      <c r="Q76" s="3"/>
      <c r="R76" s="8">
        <f t="shared" si="16"/>
        <v>1.5504734226596346E-3</v>
      </c>
      <c r="S76" s="3"/>
      <c r="T76" s="7">
        <v>14800</v>
      </c>
      <c r="U76" s="3"/>
      <c r="V76" s="8">
        <f t="shared" si="17"/>
        <v>9.7996393547318886E-3</v>
      </c>
      <c r="W76" s="3"/>
      <c r="X76" s="7">
        <f t="shared" si="18"/>
        <v>5550</v>
      </c>
      <c r="Y76" s="3"/>
      <c r="Z76" s="8">
        <f t="shared" si="19"/>
        <v>0.375</v>
      </c>
    </row>
    <row r="77" spans="1:26" s="68" customFormat="1" ht="15" customHeight="1" outlineLevel="1" collapsed="1" x14ac:dyDescent="0.25">
      <c r="A77" s="26"/>
      <c r="B77" s="14" t="str">
        <f>CONCATENATE("     ","Repair and Maintenance                            ")</f>
        <v xml:space="preserve">     Repair and Maintenance                            </v>
      </c>
      <c r="C77" s="14"/>
      <c r="D77" s="2">
        <f>SUM(OSRRefD22_16x_0)</f>
        <v>12149.23</v>
      </c>
      <c r="E77" s="2"/>
      <c r="F77" s="6">
        <f t="shared" si="12"/>
        <v>1.5027926564023587E-2</v>
      </c>
      <c r="G77" s="2"/>
      <c r="H77" s="2">
        <f>SUM(OSRRefH22_16x_0)</f>
        <v>11926.34</v>
      </c>
      <c r="I77" s="2"/>
      <c r="J77" s="6">
        <f t="shared" si="13"/>
        <v>0.10621636581348365</v>
      </c>
      <c r="K77" s="2"/>
      <c r="L77" s="2">
        <f t="shared" si="14"/>
        <v>222.88999999999942</v>
      </c>
      <c r="M77" s="2"/>
      <c r="N77" s="6">
        <f t="shared" si="15"/>
        <v>1.8688885274107513E-2</v>
      </c>
      <c r="O77" s="14"/>
      <c r="P77" s="2">
        <f>SUM(OSRRefP22_16x_0)</f>
        <v>142796.59</v>
      </c>
      <c r="Q77" s="2"/>
      <c r="R77" s="6">
        <f t="shared" si="16"/>
        <v>1.0879720768620371E-2</v>
      </c>
      <c r="S77" s="2"/>
      <c r="T77" s="2">
        <f>SUM(OSRRefT22_16x_0)</f>
        <v>78394.98</v>
      </c>
      <c r="U77" s="2"/>
      <c r="V77" s="6">
        <f t="shared" si="17"/>
        <v>5.1908279136582379E-2</v>
      </c>
      <c r="W77" s="2"/>
      <c r="X77" s="2">
        <f t="shared" si="18"/>
        <v>64401.61</v>
      </c>
      <c r="Y77" s="2"/>
      <c r="Z77" s="6">
        <f t="shared" si="19"/>
        <v>0.82150170840020631</v>
      </c>
    </row>
    <row r="78" spans="1:26" s="69" customFormat="1" ht="15" hidden="1" customHeight="1" outlineLevel="2" x14ac:dyDescent="0.25">
      <c r="A78" s="25"/>
      <c r="B78" s="12" t="str">
        <f>CONCATENATE("          ","6371"," - ","COMPUTER SOFTWARE MAINTENANCE")</f>
        <v xml:space="preserve">          6371 - COMPUTER SOFTWARE MAINTENANCE</v>
      </c>
      <c r="C78" s="12"/>
      <c r="D78" s="7">
        <v>3500</v>
      </c>
      <c r="E78" s="3"/>
      <c r="F78" s="8">
        <f t="shared" si="12"/>
        <v>4.3293067111316976E-3</v>
      </c>
      <c r="G78" s="3"/>
      <c r="H78" s="7">
        <v>11757.2</v>
      </c>
      <c r="I78" s="3"/>
      <c r="J78" s="8">
        <f t="shared" si="13"/>
        <v>0.10470999955915143</v>
      </c>
      <c r="K78" s="3"/>
      <c r="L78" s="7">
        <f t="shared" si="14"/>
        <v>-8257.2000000000007</v>
      </c>
      <c r="M78" s="3"/>
      <c r="N78" s="8">
        <f t="shared" si="15"/>
        <v>-0.70231007382710176</v>
      </c>
      <c r="O78" s="12"/>
      <c r="P78" s="7">
        <v>55067.06</v>
      </c>
      <c r="Q78" s="3"/>
      <c r="R78" s="8">
        <f t="shared" si="16"/>
        <v>4.1955780341033644E-3</v>
      </c>
      <c r="S78" s="3"/>
      <c r="T78" s="7">
        <v>29959.47</v>
      </c>
      <c r="U78" s="3"/>
      <c r="V78" s="8">
        <f t="shared" si="17"/>
        <v>1.9837297382358742E-2</v>
      </c>
      <c r="W78" s="3"/>
      <c r="X78" s="7">
        <f t="shared" si="18"/>
        <v>25107.589999999997</v>
      </c>
      <c r="Y78" s="3"/>
      <c r="Z78" s="8">
        <f t="shared" si="19"/>
        <v>0.83805187474945297</v>
      </c>
    </row>
    <row r="79" spans="1:26" s="69" customFormat="1" ht="15" hidden="1" customHeight="1" outlineLevel="2" x14ac:dyDescent="0.25">
      <c r="A79" s="25"/>
      <c r="B79" s="12" t="str">
        <f>CONCATENATE("          ","6372"," - ","COMPUTER HARDWARE MAINTENANCE")</f>
        <v xml:space="preserve">          6372 - COMPUTER HARDWARE MAINTENANCE</v>
      </c>
      <c r="C79" s="12"/>
      <c r="D79" s="7"/>
      <c r="E79" s="3"/>
      <c r="F79" s="8">
        <f t="shared" si="12"/>
        <v>0</v>
      </c>
      <c r="G79" s="3"/>
      <c r="H79" s="7"/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/>
      <c r="Q79" s="3"/>
      <c r="R79" s="8">
        <f t="shared" si="16"/>
        <v>0</v>
      </c>
      <c r="S79" s="3"/>
      <c r="T79" s="7">
        <v>100</v>
      </c>
      <c r="U79" s="3"/>
      <c r="V79" s="8">
        <f t="shared" si="17"/>
        <v>6.6213779423864112E-5</v>
      </c>
      <c r="W79" s="3"/>
      <c r="X79" s="7">
        <f t="shared" si="18"/>
        <v>-100</v>
      </c>
      <c r="Y79" s="3"/>
      <c r="Z79" s="8">
        <f t="shared" si="19"/>
        <v>-1</v>
      </c>
    </row>
    <row r="80" spans="1:26" s="69" customFormat="1" ht="15" hidden="1" customHeight="1" outlineLevel="2" x14ac:dyDescent="0.25">
      <c r="A80" s="25"/>
      <c r="B80" s="12" t="str">
        <f>CONCATENATE("          ","6373"," - ","MAINTENANCE CONTRACTS")</f>
        <v xml:space="preserve">          6373 - MAINTENANCE CONTRACTS</v>
      </c>
      <c r="C80" s="12"/>
      <c r="D80" s="7">
        <v>4582.04</v>
      </c>
      <c r="E80" s="3"/>
      <c r="F80" s="8">
        <f t="shared" si="12"/>
        <v>5.6677304350496813E-3</v>
      </c>
      <c r="G80" s="3"/>
      <c r="H80" s="7">
        <v>10.89</v>
      </c>
      <c r="I80" s="3"/>
      <c r="J80" s="8">
        <f t="shared" si="13"/>
        <v>9.6986688599254843E-5</v>
      </c>
      <c r="K80" s="3"/>
      <c r="L80" s="7">
        <f t="shared" si="14"/>
        <v>4571.1499999999996</v>
      </c>
      <c r="M80" s="3"/>
      <c r="N80" s="8">
        <f t="shared" si="15"/>
        <v>419.75665748393016</v>
      </c>
      <c r="O80" s="12"/>
      <c r="P80" s="7">
        <v>25597.71</v>
      </c>
      <c r="Q80" s="3"/>
      <c r="R80" s="8">
        <f t="shared" si="16"/>
        <v>1.9502982327247544E-3</v>
      </c>
      <c r="S80" s="3"/>
      <c r="T80" s="7">
        <v>21474.1</v>
      </c>
      <c r="U80" s="3"/>
      <c r="V80" s="8">
        <f t="shared" si="17"/>
        <v>1.4218813207260001E-2</v>
      </c>
      <c r="W80" s="3"/>
      <c r="X80" s="7">
        <f t="shared" si="18"/>
        <v>4123.6100000000006</v>
      </c>
      <c r="Y80" s="3"/>
      <c r="Z80" s="8">
        <f t="shared" si="19"/>
        <v>0.19202713967057994</v>
      </c>
    </row>
    <row r="81" spans="1:26" s="69" customFormat="1" ht="15" hidden="1" customHeight="1" outlineLevel="2" x14ac:dyDescent="0.25">
      <c r="A81" s="25"/>
      <c r="B81" s="12" t="str">
        <f>CONCATENATE("          ","6375"," - ","OUTSIDE REPAIRS &amp; MAINTENANCE")</f>
        <v xml:space="preserve">          6375 - OUTSIDE REPAIRS &amp; MAINTENANCE</v>
      </c>
      <c r="C81" s="12"/>
      <c r="D81" s="7">
        <v>4067.19</v>
      </c>
      <c r="E81" s="3"/>
      <c r="F81" s="8">
        <f t="shared" si="12"/>
        <v>5.0308894178422081E-3</v>
      </c>
      <c r="G81" s="3"/>
      <c r="H81" s="7">
        <v>158.25</v>
      </c>
      <c r="I81" s="3"/>
      <c r="J81" s="8">
        <f t="shared" si="13"/>
        <v>1.4093795657329732E-3</v>
      </c>
      <c r="K81" s="3"/>
      <c r="L81" s="7">
        <f t="shared" si="14"/>
        <v>3908.94</v>
      </c>
      <c r="M81" s="3"/>
      <c r="N81" s="8">
        <f t="shared" si="15"/>
        <v>24.701042654028438</v>
      </c>
      <c r="O81" s="12"/>
      <c r="P81" s="7">
        <v>62131.82</v>
      </c>
      <c r="Q81" s="3"/>
      <c r="R81" s="8">
        <f t="shared" si="16"/>
        <v>4.7338445017922528E-3</v>
      </c>
      <c r="S81" s="3"/>
      <c r="T81" s="7">
        <v>26861.41</v>
      </c>
      <c r="U81" s="3"/>
      <c r="V81" s="8">
        <f t="shared" si="17"/>
        <v>1.7785954767539774E-2</v>
      </c>
      <c r="W81" s="3"/>
      <c r="X81" s="7">
        <f t="shared" si="18"/>
        <v>35270.410000000003</v>
      </c>
      <c r="Y81" s="3"/>
      <c r="Z81" s="8">
        <f t="shared" si="19"/>
        <v>1.3130513253027301</v>
      </c>
    </row>
    <row r="82" spans="1:26" s="68" customFormat="1" ht="15" customHeight="1" outlineLevel="1" collapsed="1" x14ac:dyDescent="0.25">
      <c r="A82" s="26"/>
      <c r="B82" s="14" t="str">
        <f>CONCATENATE("     ","Royalty &amp; Commissions                             ")</f>
        <v xml:space="preserve">     Royalty &amp; Commissions                             </v>
      </c>
      <c r="C82" s="14"/>
      <c r="D82" s="2">
        <f>SUM(OSRRefD22_17x_0)</f>
        <v>123.36</v>
      </c>
      <c r="E82" s="2"/>
      <c r="F82" s="6">
        <f t="shared" si="12"/>
        <v>1.525895073957732E-4</v>
      </c>
      <c r="G82" s="2"/>
      <c r="H82" s="2">
        <f>SUM(OSRRefH22_17x_0)</f>
        <v>0</v>
      </c>
      <c r="I82" s="2"/>
      <c r="J82" s="6">
        <f t="shared" si="13"/>
        <v>0</v>
      </c>
      <c r="K82" s="2"/>
      <c r="L82" s="2">
        <f t="shared" si="14"/>
        <v>123.36</v>
      </c>
      <c r="M82" s="2"/>
      <c r="N82" s="6">
        <f t="shared" si="15"/>
        <v>0</v>
      </c>
      <c r="O82" s="14"/>
      <c r="P82" s="2">
        <f>SUM(OSRRefP22_17x_0)</f>
        <v>6186.42</v>
      </c>
      <c r="Q82" s="2"/>
      <c r="R82" s="6">
        <f t="shared" si="16"/>
        <v>4.7134544429533253E-4</v>
      </c>
      <c r="S82" s="2"/>
      <c r="T82" s="2">
        <f>SUM(OSRRefT22_17x_0)</f>
        <v>0</v>
      </c>
      <c r="U82" s="2"/>
      <c r="V82" s="6">
        <f t="shared" si="17"/>
        <v>0</v>
      </c>
      <c r="W82" s="2"/>
      <c r="X82" s="2">
        <f t="shared" si="18"/>
        <v>6186.42</v>
      </c>
      <c r="Y82" s="2"/>
      <c r="Z82" s="6">
        <f t="shared" si="19"/>
        <v>0</v>
      </c>
    </row>
    <row r="83" spans="1:26" s="69" customFormat="1" ht="15" hidden="1" customHeight="1" outlineLevel="2" x14ac:dyDescent="0.25">
      <c r="A83" s="25"/>
      <c r="B83" s="12" t="str">
        <f>CONCATENATE("          ","6254"," - ","ROYALTY &amp; COMMISSIONS")</f>
        <v xml:space="preserve">          6254 - ROYALTY &amp; COMMISSIONS</v>
      </c>
      <c r="C83" s="12"/>
      <c r="D83" s="7">
        <v>123.36</v>
      </c>
      <c r="E83" s="3"/>
      <c r="F83" s="8">
        <f t="shared" si="12"/>
        <v>1.525895073957732E-4</v>
      </c>
      <c r="G83" s="3"/>
      <c r="H83" s="7"/>
      <c r="I83" s="3"/>
      <c r="J83" s="8">
        <f t="shared" si="13"/>
        <v>0</v>
      </c>
      <c r="K83" s="3"/>
      <c r="L83" s="7">
        <f t="shared" si="14"/>
        <v>123.36</v>
      </c>
      <c r="M83" s="3"/>
      <c r="N83" s="8">
        <f t="shared" si="15"/>
        <v>0</v>
      </c>
      <c r="O83" s="12"/>
      <c r="P83" s="7">
        <v>6186.42</v>
      </c>
      <c r="Q83" s="3"/>
      <c r="R83" s="8">
        <f t="shared" si="16"/>
        <v>4.7134544429533253E-4</v>
      </c>
      <c r="S83" s="3"/>
      <c r="T83" s="7"/>
      <c r="U83" s="3"/>
      <c r="V83" s="8">
        <f t="shared" si="17"/>
        <v>0</v>
      </c>
      <c r="W83" s="3"/>
      <c r="X83" s="7">
        <f t="shared" si="18"/>
        <v>6186.42</v>
      </c>
      <c r="Y83" s="3"/>
      <c r="Z83" s="8">
        <f t="shared" si="19"/>
        <v>0</v>
      </c>
    </row>
    <row r="84" spans="1:26" s="68" customFormat="1" ht="15" customHeight="1" outlineLevel="1" collapsed="1" x14ac:dyDescent="0.25">
      <c r="A84" s="26"/>
      <c r="B84" s="14" t="str">
        <f>CONCATENATE("     ","Services                                          ")</f>
        <v xml:space="preserve">     Services                                          </v>
      </c>
      <c r="C84" s="14"/>
      <c r="D84" s="2">
        <f>SUM(OSRRefD22_18x_0)</f>
        <v>21186.899999999998</v>
      </c>
      <c r="E84" s="2"/>
      <c r="F84" s="6">
        <f t="shared" si="12"/>
        <v>2.6207025245164616E-2</v>
      </c>
      <c r="G84" s="2"/>
      <c r="H84" s="2">
        <f>SUM(OSRRefH22_18x_0)</f>
        <v>20786.100000000002</v>
      </c>
      <c r="I84" s="2"/>
      <c r="J84" s="6">
        <f t="shared" si="13"/>
        <v>0.18512167198282564</v>
      </c>
      <c r="K84" s="2"/>
      <c r="L84" s="2">
        <f t="shared" si="14"/>
        <v>400.79999999999563</v>
      </c>
      <c r="M84" s="2"/>
      <c r="N84" s="6">
        <f t="shared" si="15"/>
        <v>1.9282116414334367E-2</v>
      </c>
      <c r="O84" s="14"/>
      <c r="P84" s="2">
        <f>SUM(OSRRefP22_18x_0)</f>
        <v>264956.87</v>
      </c>
      <c r="Q84" s="2"/>
      <c r="R84" s="6">
        <f t="shared" si="16"/>
        <v>2.018715405828422E-2</v>
      </c>
      <c r="S84" s="2"/>
      <c r="T84" s="2">
        <f>SUM(OSRRefT22_18x_0)</f>
        <v>193052.65</v>
      </c>
      <c r="U84" s="2"/>
      <c r="V84" s="6">
        <f t="shared" si="17"/>
        <v>0.1278274558429244</v>
      </c>
      <c r="W84" s="2"/>
      <c r="X84" s="2">
        <f t="shared" si="18"/>
        <v>71904.22</v>
      </c>
      <c r="Y84" s="2"/>
      <c r="Z84" s="6">
        <f t="shared" si="19"/>
        <v>0.37245911931278852</v>
      </c>
    </row>
    <row r="85" spans="1:26" s="69" customFormat="1" ht="15" hidden="1" customHeight="1" outlineLevel="2" x14ac:dyDescent="0.25">
      <c r="A85" s="25"/>
      <c r="B85" s="12" t="str">
        <f>CONCATENATE("          ","6282"," - ","JANITORIAL/EXTERMINATOR EXPENS")</f>
        <v xml:space="preserve">          6282 - JANITORIAL/EXTERMINATOR EXPENS</v>
      </c>
      <c r="C85" s="12"/>
      <c r="D85" s="7">
        <v>2381.3000000000002</v>
      </c>
      <c r="E85" s="3"/>
      <c r="F85" s="8">
        <f t="shared" si="12"/>
        <v>2.9455365917765465E-3</v>
      </c>
      <c r="G85" s="3"/>
      <c r="H85" s="7">
        <v>2158.4</v>
      </c>
      <c r="I85" s="3"/>
      <c r="J85" s="8">
        <f t="shared" si="13"/>
        <v>1.922277949243633E-2</v>
      </c>
      <c r="K85" s="3"/>
      <c r="L85" s="7">
        <f t="shared" si="14"/>
        <v>222.90000000000009</v>
      </c>
      <c r="M85" s="3"/>
      <c r="N85" s="8">
        <f t="shared" si="15"/>
        <v>0.10327094143810234</v>
      </c>
      <c r="O85" s="12"/>
      <c r="P85" s="7">
        <v>30383.23</v>
      </c>
      <c r="Q85" s="3"/>
      <c r="R85" s="8">
        <f t="shared" si="16"/>
        <v>2.3149086294621569E-3</v>
      </c>
      <c r="S85" s="3"/>
      <c r="T85" s="7">
        <v>26715.38</v>
      </c>
      <c r="U85" s="3"/>
      <c r="V85" s="8">
        <f t="shared" si="17"/>
        <v>1.7689262785447107E-2</v>
      </c>
      <c r="W85" s="3"/>
      <c r="X85" s="7">
        <f t="shared" si="18"/>
        <v>3667.8499999999985</v>
      </c>
      <c r="Y85" s="3"/>
      <c r="Z85" s="8">
        <f t="shared" si="19"/>
        <v>0.13729357396376163</v>
      </c>
    </row>
    <row r="86" spans="1:26" s="69" customFormat="1" ht="15" hidden="1" customHeight="1" outlineLevel="2" x14ac:dyDescent="0.25">
      <c r="A86" s="25"/>
      <c r="B86" s="12" t="str">
        <f>CONCATENATE("          ","6284"," - ","TRASH REMOVAL EXPENSE")</f>
        <v xml:space="preserve">          6284 - TRASH REMOVAL EXPENSE</v>
      </c>
      <c r="C86" s="12"/>
      <c r="D86" s="7"/>
      <c r="E86" s="3"/>
      <c r="F86" s="8">
        <f t="shared" si="12"/>
        <v>0</v>
      </c>
      <c r="G86" s="3"/>
      <c r="H86" s="7">
        <v>5130</v>
      </c>
      <c r="I86" s="3"/>
      <c r="J86" s="8">
        <f t="shared" si="13"/>
        <v>4.5687944216177896E-2</v>
      </c>
      <c r="K86" s="3"/>
      <c r="L86" s="7">
        <f t="shared" si="14"/>
        <v>-5130</v>
      </c>
      <c r="M86" s="3"/>
      <c r="N86" s="8">
        <f t="shared" si="15"/>
        <v>-1</v>
      </c>
      <c r="O86" s="12"/>
      <c r="P86" s="7"/>
      <c r="Q86" s="3"/>
      <c r="R86" s="8">
        <f t="shared" si="16"/>
        <v>0</v>
      </c>
      <c r="S86" s="3"/>
      <c r="T86" s="7">
        <v>31424.75</v>
      </c>
      <c r="U86" s="3"/>
      <c r="V86" s="8">
        <f t="shared" si="17"/>
        <v>2.0807514649500737E-2</v>
      </c>
      <c r="W86" s="3"/>
      <c r="X86" s="7">
        <f t="shared" si="18"/>
        <v>-31424.75</v>
      </c>
      <c r="Y86" s="3"/>
      <c r="Z86" s="8">
        <f t="shared" si="19"/>
        <v>-1</v>
      </c>
    </row>
    <row r="87" spans="1:26" s="69" customFormat="1" ht="15" hidden="1" customHeight="1" outlineLevel="2" x14ac:dyDescent="0.25">
      <c r="A87" s="25"/>
      <c r="B87" s="12" t="str">
        <f>CONCATENATE("          ","6285"," - ","JANITORIAL SERVICES")</f>
        <v xml:space="preserve">          6285 - JANITORIAL SERVICES</v>
      </c>
      <c r="C87" s="12"/>
      <c r="D87" s="7">
        <v>14117.66</v>
      </c>
      <c r="E87" s="3"/>
      <c r="F87" s="8">
        <f t="shared" si="12"/>
        <v>1.7462765766707293E-2</v>
      </c>
      <c r="G87" s="3"/>
      <c r="H87" s="7">
        <v>12282.71</v>
      </c>
      <c r="I87" s="3"/>
      <c r="J87" s="8">
        <f t="shared" si="13"/>
        <v>0.1093902084412262</v>
      </c>
      <c r="K87" s="3"/>
      <c r="L87" s="7">
        <f t="shared" si="14"/>
        <v>1834.9500000000007</v>
      </c>
      <c r="M87" s="3"/>
      <c r="N87" s="8">
        <f t="shared" si="15"/>
        <v>0.14939292713090196</v>
      </c>
      <c r="O87" s="12"/>
      <c r="P87" s="7">
        <v>195512.75</v>
      </c>
      <c r="Q87" s="3"/>
      <c r="R87" s="8">
        <f t="shared" si="16"/>
        <v>1.4896182931994963E-2</v>
      </c>
      <c r="S87" s="3"/>
      <c r="T87" s="7">
        <v>118205.15</v>
      </c>
      <c r="U87" s="3"/>
      <c r="V87" s="8">
        <f t="shared" si="17"/>
        <v>7.8268097288647698E-2</v>
      </c>
      <c r="W87" s="3"/>
      <c r="X87" s="7">
        <f t="shared" si="18"/>
        <v>77307.600000000006</v>
      </c>
      <c r="Y87" s="3"/>
      <c r="Z87" s="8">
        <f t="shared" si="19"/>
        <v>0.65401211368540213</v>
      </c>
    </row>
    <row r="88" spans="1:26" s="69" customFormat="1" ht="15" hidden="1" customHeight="1" outlineLevel="2" x14ac:dyDescent="0.25">
      <c r="A88" s="25"/>
      <c r="B88" s="12" t="str">
        <f>CONCATENATE("          ","6286"," - ","LAUNDRY EXPENSE")</f>
        <v xml:space="preserve">          6286 - LAUNDRY EXPENSE</v>
      </c>
      <c r="C88" s="12"/>
      <c r="D88" s="7">
        <v>4687.9399999999996</v>
      </c>
      <c r="E88" s="3"/>
      <c r="F88" s="8">
        <f t="shared" si="12"/>
        <v>5.7987228866807792E-3</v>
      </c>
      <c r="G88" s="3"/>
      <c r="H88" s="7">
        <v>1214.99</v>
      </c>
      <c r="I88" s="3"/>
      <c r="J88" s="8">
        <f t="shared" si="13"/>
        <v>1.0820739832985182E-2</v>
      </c>
      <c r="K88" s="3"/>
      <c r="L88" s="7">
        <f t="shared" si="14"/>
        <v>3472.95</v>
      </c>
      <c r="M88" s="3"/>
      <c r="N88" s="8">
        <f t="shared" si="15"/>
        <v>2.8584185878073067</v>
      </c>
      <c r="O88" s="12"/>
      <c r="P88" s="7">
        <v>39060.89</v>
      </c>
      <c r="Q88" s="3"/>
      <c r="R88" s="8">
        <f t="shared" si="16"/>
        <v>2.9760624968271005E-3</v>
      </c>
      <c r="S88" s="3"/>
      <c r="T88" s="7">
        <v>16707.37</v>
      </c>
      <c r="U88" s="3"/>
      <c r="V88" s="8">
        <f t="shared" si="17"/>
        <v>1.1062581119328844E-2</v>
      </c>
      <c r="W88" s="3"/>
      <c r="X88" s="7">
        <f t="shared" si="18"/>
        <v>22353.52</v>
      </c>
      <c r="Y88" s="3"/>
      <c r="Z88" s="8">
        <f t="shared" si="19"/>
        <v>1.3379436739594563</v>
      </c>
    </row>
    <row r="89" spans="1:26" s="68" customFormat="1" ht="15" customHeight="1" outlineLevel="1" collapsed="1" x14ac:dyDescent="0.25">
      <c r="A89" s="26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2">
        <f>SUM(OSRRefD22_19x_0)</f>
        <v>560.5</v>
      </c>
      <c r="E89" s="2"/>
      <c r="F89" s="6">
        <f t="shared" si="12"/>
        <v>6.9330754616837614E-4</v>
      </c>
      <c r="G89" s="2"/>
      <c r="H89" s="2">
        <f>SUM(OSRRefH22_19x_0)</f>
        <v>132.16999999999999</v>
      </c>
      <c r="I89" s="2"/>
      <c r="J89" s="6">
        <f t="shared" si="13"/>
        <v>1.1771102508873748E-3</v>
      </c>
      <c r="K89" s="2"/>
      <c r="L89" s="2">
        <f t="shared" si="14"/>
        <v>428.33000000000004</v>
      </c>
      <c r="M89" s="2"/>
      <c r="N89" s="6">
        <f t="shared" si="15"/>
        <v>3.2407505485359769</v>
      </c>
      <c r="O89" s="14"/>
      <c r="P89" s="2">
        <f>SUM(OSRRefP22_19x_0)</f>
        <v>6967.9</v>
      </c>
      <c r="Q89" s="2"/>
      <c r="R89" s="6">
        <f t="shared" si="16"/>
        <v>5.3088667133906968E-4</v>
      </c>
      <c r="S89" s="2"/>
      <c r="T89" s="2">
        <f>SUM(OSRRefT22_19x_0)</f>
        <v>1843.25</v>
      </c>
      <c r="U89" s="2"/>
      <c r="V89" s="6">
        <f t="shared" si="17"/>
        <v>1.2204854892303753E-3</v>
      </c>
      <c r="W89" s="2"/>
      <c r="X89" s="2">
        <f t="shared" si="18"/>
        <v>5124.6499999999996</v>
      </c>
      <c r="Y89" s="2"/>
      <c r="Z89" s="6">
        <f t="shared" si="19"/>
        <v>2.7802251458022513</v>
      </c>
    </row>
    <row r="90" spans="1:26" s="69" customFormat="1" ht="15" hidden="1" customHeight="1" outlineLevel="2" x14ac:dyDescent="0.25">
      <c r="A90" s="25"/>
      <c r="B90" s="12" t="str">
        <f>CONCATENATE("          ","6258"," - ","MEMBERSHIP DUES")</f>
        <v xml:space="preserve">          6258 - MEMBERSHIP DUES</v>
      </c>
      <c r="C90" s="12"/>
      <c r="D90" s="7"/>
      <c r="E90" s="3"/>
      <c r="F90" s="8">
        <f t="shared" si="12"/>
        <v>0</v>
      </c>
      <c r="G90" s="3"/>
      <c r="H90" s="7"/>
      <c r="I90" s="3"/>
      <c r="J90" s="8">
        <f t="shared" si="13"/>
        <v>0</v>
      </c>
      <c r="K90" s="3"/>
      <c r="L90" s="7">
        <f t="shared" si="14"/>
        <v>0</v>
      </c>
      <c r="M90" s="3"/>
      <c r="N90" s="8">
        <f t="shared" si="15"/>
        <v>0</v>
      </c>
      <c r="O90" s="12"/>
      <c r="P90" s="7"/>
      <c r="Q90" s="3"/>
      <c r="R90" s="8">
        <f t="shared" si="16"/>
        <v>0</v>
      </c>
      <c r="S90" s="3"/>
      <c r="T90" s="7">
        <v>795</v>
      </c>
      <c r="U90" s="3"/>
      <c r="V90" s="8">
        <f t="shared" si="17"/>
        <v>5.2639954641971968E-4</v>
      </c>
      <c r="W90" s="3"/>
      <c r="X90" s="7">
        <f t="shared" si="18"/>
        <v>-795</v>
      </c>
      <c r="Y90" s="3"/>
      <c r="Z90" s="8">
        <f t="shared" si="19"/>
        <v>-1</v>
      </c>
    </row>
    <row r="91" spans="1:26" s="69" customFormat="1" ht="15" hidden="1" customHeight="1" outlineLevel="2" x14ac:dyDescent="0.25">
      <c r="A91" s="25"/>
      <c r="B91" s="12" t="str">
        <f>CONCATENATE("          ","6275"," - ","SUBSCRIPTIONS")</f>
        <v xml:space="preserve">          6275 - SUBSCRIPTIONS</v>
      </c>
      <c r="C91" s="12"/>
      <c r="D91" s="7">
        <v>560.5</v>
      </c>
      <c r="E91" s="3"/>
      <c r="F91" s="8">
        <f t="shared" si="12"/>
        <v>6.9330754616837614E-4</v>
      </c>
      <c r="G91" s="3"/>
      <c r="H91" s="7">
        <v>132.16999999999999</v>
      </c>
      <c r="I91" s="3"/>
      <c r="J91" s="8">
        <f t="shared" si="13"/>
        <v>1.1771102508873748E-3</v>
      </c>
      <c r="K91" s="3"/>
      <c r="L91" s="7">
        <f t="shared" si="14"/>
        <v>428.33000000000004</v>
      </c>
      <c r="M91" s="3"/>
      <c r="N91" s="8">
        <f t="shared" si="15"/>
        <v>3.2407505485359769</v>
      </c>
      <c r="O91" s="12"/>
      <c r="P91" s="7">
        <v>6967.9</v>
      </c>
      <c r="Q91" s="3"/>
      <c r="R91" s="8">
        <f t="shared" si="16"/>
        <v>5.3088667133906968E-4</v>
      </c>
      <c r="S91" s="3"/>
      <c r="T91" s="7">
        <v>1048.25</v>
      </c>
      <c r="U91" s="3"/>
      <c r="V91" s="8">
        <f t="shared" si="17"/>
        <v>6.9408594281065549E-4</v>
      </c>
      <c r="W91" s="3"/>
      <c r="X91" s="7">
        <f t="shared" si="18"/>
        <v>5919.65</v>
      </c>
      <c r="Y91" s="3"/>
      <c r="Z91" s="8">
        <f t="shared" si="19"/>
        <v>5.6471738611972331</v>
      </c>
    </row>
    <row r="92" spans="1:26" s="68" customFormat="1" ht="15" customHeight="1" outlineLevel="1" collapsed="1" x14ac:dyDescent="0.25">
      <c r="A92" s="26"/>
      <c r="B92" s="14" t="str">
        <f>CONCATENATE("     ","Supplies                                          ")</f>
        <v xml:space="preserve">     Supplies                                          </v>
      </c>
      <c r="C92" s="14"/>
      <c r="D92" s="2">
        <f>SUM(OSRRefD22_20x_0)</f>
        <v>18473.61</v>
      </c>
      <c r="E92" s="2"/>
      <c r="F92" s="6">
        <f t="shared" si="12"/>
        <v>2.2850835357665612E-2</v>
      </c>
      <c r="G92" s="2"/>
      <c r="H92" s="2">
        <f>SUM(OSRRefH22_20x_0)</f>
        <v>9784.5600000000013</v>
      </c>
      <c r="I92" s="2"/>
      <c r="J92" s="6">
        <f t="shared" si="13"/>
        <v>8.7141604573069326E-2</v>
      </c>
      <c r="K92" s="2"/>
      <c r="L92" s="2">
        <f t="shared" si="14"/>
        <v>8689.0499999999993</v>
      </c>
      <c r="M92" s="2"/>
      <c r="N92" s="6">
        <f t="shared" si="15"/>
        <v>0.88803686624641254</v>
      </c>
      <c r="O92" s="14"/>
      <c r="P92" s="2">
        <f>SUM(OSRRefP22_20x_0)</f>
        <v>361268.01000000007</v>
      </c>
      <c r="Q92" s="2"/>
      <c r="R92" s="6">
        <f t="shared" si="16"/>
        <v>2.7525132577991902E-2</v>
      </c>
      <c r="S92" s="2"/>
      <c r="T92" s="2">
        <f>SUM(OSRRefT22_20x_0)</f>
        <v>122497.12</v>
      </c>
      <c r="U92" s="2"/>
      <c r="V92" s="6">
        <f t="shared" si="17"/>
        <v>8.1109972837386121E-2</v>
      </c>
      <c r="W92" s="2"/>
      <c r="X92" s="2">
        <f t="shared" si="18"/>
        <v>238770.89000000007</v>
      </c>
      <c r="Y92" s="2"/>
      <c r="Z92" s="6">
        <f t="shared" si="19"/>
        <v>1.9491959484435233</v>
      </c>
    </row>
    <row r="93" spans="1:26" s="69" customFormat="1" ht="15" hidden="1" customHeight="1" outlineLevel="2" x14ac:dyDescent="0.25">
      <c r="A93" s="25"/>
      <c r="B93" s="12" t="str">
        <f>CONCATENATE("          ","6234"," - ","EXPENDABLE SUPPLIES &amp; EQUIPMEN")</f>
        <v xml:space="preserve">          6234 - EXPENDABLE SUPPLIES &amp; EQUIPMEN</v>
      </c>
      <c r="C93" s="12"/>
      <c r="D93" s="7"/>
      <c r="E93" s="3"/>
      <c r="F93" s="8">
        <f t="shared" ref="F93:F111" si="20">IF(D$12=0,0,D93/D$12)</f>
        <v>0</v>
      </c>
      <c r="G93" s="3"/>
      <c r="H93" s="7"/>
      <c r="I93" s="3"/>
      <c r="J93" s="8">
        <f t="shared" ref="J93:J111" si="21">IF(H$12=0,0,H93/H$12)</f>
        <v>0</v>
      </c>
      <c r="K93" s="3"/>
      <c r="L93" s="7">
        <f t="shared" ref="L93:L111" si="22">+D93-H93</f>
        <v>0</v>
      </c>
      <c r="M93" s="3"/>
      <c r="N93" s="8">
        <f t="shared" ref="N93:N111" si="23">IF(H93=0,0,L93/H93)</f>
        <v>0</v>
      </c>
      <c r="O93" s="12"/>
      <c r="P93" s="7">
        <v>678.82</v>
      </c>
      <c r="Q93" s="3"/>
      <c r="R93" s="8">
        <f t="shared" ref="R93:R111" si="24">IF(P$12=0,0,P93/P$12)</f>
        <v>5.1719526720875348E-5</v>
      </c>
      <c r="S93" s="3"/>
      <c r="T93" s="7">
        <v>337.16</v>
      </c>
      <c r="U93" s="3"/>
      <c r="V93" s="8">
        <f t="shared" ref="V93:V111" si="25">IF(T$12=0,0,T93/T$12)</f>
        <v>2.2324637870550025E-4</v>
      </c>
      <c r="W93" s="3"/>
      <c r="X93" s="7">
        <f t="shared" ref="X93:X111" si="26">+P93-T93</f>
        <v>341.66</v>
      </c>
      <c r="Y93" s="3"/>
      <c r="Z93" s="8">
        <f t="shared" ref="Z93:Z111" si="27">IF(T93=0,0,X93/T93)</f>
        <v>1.01334677897734</v>
      </c>
    </row>
    <row r="94" spans="1:26" s="69" customFormat="1" ht="15" hidden="1" customHeight="1" outlineLevel="2" x14ac:dyDescent="0.25">
      <c r="A94" s="25"/>
      <c r="B94" s="12" t="str">
        <f>CONCATENATE("          ","6235"," - ","COVID-19 EXPENSES")</f>
        <v xml:space="preserve">          6235 - COVID-19 EXPENSES</v>
      </c>
      <c r="C94" s="12"/>
      <c r="D94" s="7"/>
      <c r="E94" s="3"/>
      <c r="F94" s="8">
        <f t="shared" si="20"/>
        <v>0</v>
      </c>
      <c r="G94" s="3"/>
      <c r="H94" s="7">
        <v>2921.2</v>
      </c>
      <c r="I94" s="3"/>
      <c r="J94" s="8">
        <f t="shared" si="21"/>
        <v>2.6016300710389642E-2</v>
      </c>
      <c r="K94" s="3"/>
      <c r="L94" s="7">
        <f t="shared" si="22"/>
        <v>-2921.2</v>
      </c>
      <c r="M94" s="3"/>
      <c r="N94" s="8">
        <f t="shared" si="23"/>
        <v>-1</v>
      </c>
      <c r="O94" s="12"/>
      <c r="P94" s="7">
        <v>777.84</v>
      </c>
      <c r="Q94" s="3"/>
      <c r="R94" s="8">
        <f t="shared" si="24"/>
        <v>5.9263894205482567E-5</v>
      </c>
      <c r="S94" s="3"/>
      <c r="T94" s="7">
        <v>66359.259999999995</v>
      </c>
      <c r="U94" s="3"/>
      <c r="V94" s="8">
        <f t="shared" si="25"/>
        <v>4.393897404370848E-2</v>
      </c>
      <c r="W94" s="3"/>
      <c r="X94" s="7">
        <f t="shared" si="26"/>
        <v>-65581.42</v>
      </c>
      <c r="Y94" s="3"/>
      <c r="Z94" s="8">
        <f t="shared" si="27"/>
        <v>-0.98827835030107336</v>
      </c>
    </row>
    <row r="95" spans="1:26" s="69" customFormat="1" ht="15" hidden="1" customHeight="1" outlineLevel="2" x14ac:dyDescent="0.25">
      <c r="A95" s="25"/>
      <c r="B95" s="12" t="str">
        <f>CONCATENATE("          ","6237"," - ","JANITORIAL SUPPLIES")</f>
        <v xml:space="preserve">          6237 - JANITORIAL SUPPLIES</v>
      </c>
      <c r="C95" s="12"/>
      <c r="D95" s="7">
        <v>8941.36</v>
      </c>
      <c r="E95" s="3"/>
      <c r="F95" s="8">
        <f t="shared" si="20"/>
        <v>1.1059968529898434E-2</v>
      </c>
      <c r="G95" s="3"/>
      <c r="H95" s="7">
        <v>1395.01</v>
      </c>
      <c r="I95" s="3"/>
      <c r="J95" s="8">
        <f t="shared" si="21"/>
        <v>1.2424003715596555E-2</v>
      </c>
      <c r="K95" s="3"/>
      <c r="L95" s="7">
        <f t="shared" si="22"/>
        <v>7546.35</v>
      </c>
      <c r="M95" s="3"/>
      <c r="N95" s="8">
        <f t="shared" si="23"/>
        <v>5.4095311144722977</v>
      </c>
      <c r="O95" s="12"/>
      <c r="P95" s="7">
        <v>88669.440000000002</v>
      </c>
      <c r="Q95" s="3"/>
      <c r="R95" s="8">
        <f t="shared" si="24"/>
        <v>6.7557547971554355E-3</v>
      </c>
      <c r="S95" s="3"/>
      <c r="T95" s="7">
        <v>23495.64</v>
      </c>
      <c r="U95" s="3"/>
      <c r="V95" s="8">
        <f t="shared" si="25"/>
        <v>1.5557351243825185E-2</v>
      </c>
      <c r="W95" s="3"/>
      <c r="X95" s="7">
        <f t="shared" si="26"/>
        <v>65173.8</v>
      </c>
      <c r="Y95" s="3"/>
      <c r="Z95" s="8">
        <f t="shared" si="27"/>
        <v>2.7738678324999873</v>
      </c>
    </row>
    <row r="96" spans="1:26" s="69" customFormat="1" ht="15" hidden="1" customHeight="1" outlineLevel="2" x14ac:dyDescent="0.25">
      <c r="A96" s="25"/>
      <c r="B96" s="12" t="str">
        <f>CONCATENATE("          ","6239"," - ","KITCHEN SUPPLIES")</f>
        <v xml:space="preserve">          6239 - KITCHEN SUPPLIES</v>
      </c>
      <c r="C96" s="12"/>
      <c r="D96" s="7">
        <v>1200.6500000000001</v>
      </c>
      <c r="E96" s="3"/>
      <c r="F96" s="8">
        <f t="shared" si="20"/>
        <v>1.4851377436343638E-3</v>
      </c>
      <c r="G96" s="3"/>
      <c r="H96" s="7">
        <v>618.89</v>
      </c>
      <c r="I96" s="3"/>
      <c r="J96" s="8">
        <f t="shared" si="21"/>
        <v>5.5118541512573756E-3</v>
      </c>
      <c r="K96" s="3"/>
      <c r="L96" s="7">
        <f t="shared" si="22"/>
        <v>581.7600000000001</v>
      </c>
      <c r="M96" s="3"/>
      <c r="N96" s="8">
        <f t="shared" si="23"/>
        <v>0.94000549370647468</v>
      </c>
      <c r="O96" s="12"/>
      <c r="P96" s="7">
        <v>45826.65</v>
      </c>
      <c r="Q96" s="3"/>
      <c r="R96" s="8">
        <f t="shared" si="24"/>
        <v>3.4915480528022185E-3</v>
      </c>
      <c r="S96" s="3"/>
      <c r="T96" s="7">
        <v>7886.1</v>
      </c>
      <c r="U96" s="3"/>
      <c r="V96" s="8">
        <f t="shared" si="25"/>
        <v>5.2216848591453476E-3</v>
      </c>
      <c r="W96" s="3"/>
      <c r="X96" s="7">
        <f t="shared" si="26"/>
        <v>37940.550000000003</v>
      </c>
      <c r="Y96" s="3"/>
      <c r="Z96" s="8">
        <f t="shared" si="27"/>
        <v>4.8110663065393542</v>
      </c>
    </row>
    <row r="97" spans="1:26" s="69" customFormat="1" ht="15" hidden="1" customHeight="1" outlineLevel="2" x14ac:dyDescent="0.25">
      <c r="A97" s="25"/>
      <c r="B97" s="12" t="str">
        <f>CONCATENATE("          ","6241"," - ","OFFICE EXPENSE")</f>
        <v xml:space="preserve">          6241 - OFFICE EXPENSE</v>
      </c>
      <c r="C97" s="12"/>
      <c r="D97" s="7">
        <v>2066.2199999999998</v>
      </c>
      <c r="E97" s="3"/>
      <c r="F97" s="8">
        <f t="shared" si="20"/>
        <v>2.5558000321927242E-3</v>
      </c>
      <c r="G97" s="3"/>
      <c r="H97" s="7">
        <v>1506.51</v>
      </c>
      <c r="I97" s="3"/>
      <c r="J97" s="8">
        <f t="shared" si="21"/>
        <v>1.3417026284817576E-2</v>
      </c>
      <c r="K97" s="3"/>
      <c r="L97" s="7">
        <f t="shared" si="22"/>
        <v>559.70999999999981</v>
      </c>
      <c r="M97" s="3"/>
      <c r="N97" s="8">
        <f t="shared" si="23"/>
        <v>0.37152757034470385</v>
      </c>
      <c r="O97" s="12"/>
      <c r="P97" s="7">
        <v>26640.959999999999</v>
      </c>
      <c r="Q97" s="3"/>
      <c r="R97" s="8">
        <f t="shared" si="24"/>
        <v>2.0297838051173672E-3</v>
      </c>
      <c r="S97" s="3"/>
      <c r="T97" s="7">
        <v>-19055.830000000002</v>
      </c>
      <c r="U97" s="3"/>
      <c r="V97" s="8">
        <f t="shared" si="25"/>
        <v>-1.2617585243586525E-2</v>
      </c>
      <c r="W97" s="3"/>
      <c r="X97" s="7">
        <f t="shared" si="26"/>
        <v>45696.79</v>
      </c>
      <c r="Y97" s="3"/>
      <c r="Z97" s="8">
        <f t="shared" si="27"/>
        <v>-2.3980477365719572</v>
      </c>
    </row>
    <row r="98" spans="1:26" s="69" customFormat="1" ht="15" hidden="1" customHeight="1" outlineLevel="2" x14ac:dyDescent="0.25">
      <c r="A98" s="25"/>
      <c r="B98" s="12" t="str">
        <f>CONCATENATE("          ","6243"," - ","PAPER SUPPLIES")</f>
        <v xml:space="preserve">          6243 - PAPER SUPPLIES</v>
      </c>
      <c r="C98" s="12"/>
      <c r="D98" s="7">
        <v>5381.38</v>
      </c>
      <c r="E98" s="3"/>
      <c r="F98" s="8">
        <f t="shared" si="20"/>
        <v>6.6564698711856843E-3</v>
      </c>
      <c r="G98" s="3"/>
      <c r="H98" s="7">
        <v>3342.95</v>
      </c>
      <c r="I98" s="3"/>
      <c r="J98" s="8">
        <f t="shared" si="21"/>
        <v>2.9772419711008167E-2</v>
      </c>
      <c r="K98" s="3"/>
      <c r="L98" s="7">
        <f t="shared" si="22"/>
        <v>2038.4300000000003</v>
      </c>
      <c r="M98" s="3"/>
      <c r="N98" s="8">
        <f t="shared" si="23"/>
        <v>0.609769814086361</v>
      </c>
      <c r="O98" s="12"/>
      <c r="P98" s="7">
        <v>184536.32000000001</v>
      </c>
      <c r="Q98" s="3"/>
      <c r="R98" s="8">
        <f t="shared" si="24"/>
        <v>1.405988499633482E-2</v>
      </c>
      <c r="S98" s="3"/>
      <c r="T98" s="7">
        <v>38974.199999999997</v>
      </c>
      <c r="U98" s="3"/>
      <c r="V98" s="8">
        <f t="shared" si="25"/>
        <v>2.5806290820215644E-2</v>
      </c>
      <c r="W98" s="3"/>
      <c r="X98" s="7">
        <f t="shared" si="26"/>
        <v>145562.12</v>
      </c>
      <c r="Y98" s="3"/>
      <c r="Z98" s="8">
        <f t="shared" si="27"/>
        <v>3.7348327868179463</v>
      </c>
    </row>
    <row r="99" spans="1:26" s="69" customFormat="1" ht="15" hidden="1" customHeight="1" outlineLevel="2" x14ac:dyDescent="0.25">
      <c r="A99" s="25"/>
      <c r="B99" s="12" t="str">
        <f>CONCATENATE("          ","6245"," - ","PRINTING")</f>
        <v xml:space="preserve">          6245 - PRINTING</v>
      </c>
      <c r="C99" s="12"/>
      <c r="D99" s="7"/>
      <c r="E99" s="3"/>
      <c r="F99" s="8">
        <f t="shared" si="20"/>
        <v>0</v>
      </c>
      <c r="G99" s="3"/>
      <c r="H99" s="7"/>
      <c r="I99" s="3"/>
      <c r="J99" s="8">
        <f t="shared" si="21"/>
        <v>0</v>
      </c>
      <c r="K99" s="3"/>
      <c r="L99" s="7">
        <f t="shared" si="22"/>
        <v>0</v>
      </c>
      <c r="M99" s="3"/>
      <c r="N99" s="8">
        <f t="shared" si="23"/>
        <v>0</v>
      </c>
      <c r="O99" s="12"/>
      <c r="P99" s="7">
        <v>1071</v>
      </c>
      <c r="Q99" s="3"/>
      <c r="R99" s="8">
        <f t="shared" si="24"/>
        <v>8.1599854332602888E-5</v>
      </c>
      <c r="S99" s="3"/>
      <c r="T99" s="7"/>
      <c r="U99" s="3"/>
      <c r="V99" s="8">
        <f t="shared" si="25"/>
        <v>0</v>
      </c>
      <c r="W99" s="3"/>
      <c r="X99" s="7">
        <f t="shared" si="26"/>
        <v>1071</v>
      </c>
      <c r="Y99" s="3"/>
      <c r="Z99" s="8">
        <f t="shared" si="27"/>
        <v>0</v>
      </c>
    </row>
    <row r="100" spans="1:26" s="69" customFormat="1" ht="15" hidden="1" customHeight="1" outlineLevel="2" x14ac:dyDescent="0.25">
      <c r="A100" s="25"/>
      <c r="B100" s="12" t="str">
        <f>CONCATENATE("          ","6247"," - ","STORE SUPPLIES")</f>
        <v xml:space="preserve">          6247 - STORE SUPPLIES</v>
      </c>
      <c r="C100" s="12"/>
      <c r="D100" s="7">
        <v>884</v>
      </c>
      <c r="E100" s="3"/>
      <c r="F100" s="8">
        <f t="shared" si="20"/>
        <v>1.093459180754406E-3</v>
      </c>
      <c r="G100" s="3"/>
      <c r="H100" s="7"/>
      <c r="I100" s="3"/>
      <c r="J100" s="8">
        <f t="shared" si="21"/>
        <v>0</v>
      </c>
      <c r="K100" s="3"/>
      <c r="L100" s="7">
        <f t="shared" si="22"/>
        <v>884</v>
      </c>
      <c r="M100" s="3"/>
      <c r="N100" s="8">
        <f t="shared" si="23"/>
        <v>0</v>
      </c>
      <c r="O100" s="12"/>
      <c r="P100" s="7">
        <v>3535.14</v>
      </c>
      <c r="Q100" s="3"/>
      <c r="R100" s="8">
        <f t="shared" si="24"/>
        <v>2.6934351918334059E-4</v>
      </c>
      <c r="S100" s="3"/>
      <c r="T100" s="7"/>
      <c r="U100" s="3"/>
      <c r="V100" s="8">
        <f t="shared" si="25"/>
        <v>0</v>
      </c>
      <c r="W100" s="3"/>
      <c r="X100" s="7">
        <f t="shared" si="26"/>
        <v>3535.14</v>
      </c>
      <c r="Y100" s="3"/>
      <c r="Z100" s="8">
        <f t="shared" si="27"/>
        <v>0</v>
      </c>
    </row>
    <row r="101" spans="1:26" s="69" customFormat="1" ht="15" hidden="1" customHeight="1" outlineLevel="2" x14ac:dyDescent="0.25">
      <c r="A101" s="25"/>
      <c r="B101" s="12" t="str">
        <f>CONCATENATE("          ","6248"," - ","UNIFORMS")</f>
        <v xml:space="preserve">          6248 - UNIFORMS</v>
      </c>
      <c r="C101" s="12"/>
      <c r="D101" s="7"/>
      <c r="E101" s="3"/>
      <c r="F101" s="8">
        <f t="shared" si="20"/>
        <v>0</v>
      </c>
      <c r="G101" s="3"/>
      <c r="H101" s="7"/>
      <c r="I101" s="3"/>
      <c r="J101" s="8">
        <f t="shared" si="21"/>
        <v>0</v>
      </c>
      <c r="K101" s="3"/>
      <c r="L101" s="7">
        <f t="shared" si="22"/>
        <v>0</v>
      </c>
      <c r="M101" s="3"/>
      <c r="N101" s="8">
        <f t="shared" si="23"/>
        <v>0</v>
      </c>
      <c r="O101" s="12"/>
      <c r="P101" s="7">
        <v>9531.84</v>
      </c>
      <c r="Q101" s="3"/>
      <c r="R101" s="8">
        <f t="shared" si="24"/>
        <v>7.2623413213975484E-4</v>
      </c>
      <c r="S101" s="3"/>
      <c r="T101" s="7">
        <v>4500.59</v>
      </c>
      <c r="U101" s="3"/>
      <c r="V101" s="8">
        <f t="shared" si="25"/>
        <v>2.9800107353724859E-3</v>
      </c>
      <c r="W101" s="3"/>
      <c r="X101" s="7">
        <f t="shared" si="26"/>
        <v>5031.25</v>
      </c>
      <c r="Y101" s="3"/>
      <c r="Z101" s="8">
        <f t="shared" si="27"/>
        <v>1.1179089852663762</v>
      </c>
    </row>
    <row r="102" spans="1:26" s="68" customFormat="1" ht="15" customHeight="1" outlineLevel="1" collapsed="1" x14ac:dyDescent="0.25">
      <c r="A102" s="26"/>
      <c r="B102" s="14" t="str">
        <f>CONCATENATE("     ","Telephone/Data Lines                              ")</f>
        <v xml:space="preserve">     Telephone/Data Lines                              </v>
      </c>
      <c r="C102" s="14"/>
      <c r="D102" s="2">
        <f>SUM(OSRRefD22_21x_0)</f>
        <v>1395.85</v>
      </c>
      <c r="E102" s="2"/>
      <c r="F102" s="6">
        <f t="shared" si="20"/>
        <v>1.7265893636380513E-3</v>
      </c>
      <c r="G102" s="2"/>
      <c r="H102" s="2">
        <f>SUM(OSRRefH22_21x_0)</f>
        <v>1022.1</v>
      </c>
      <c r="I102" s="2"/>
      <c r="J102" s="6">
        <f t="shared" si="21"/>
        <v>9.1028553183928711E-3</v>
      </c>
      <c r="K102" s="2"/>
      <c r="L102" s="2">
        <f t="shared" si="22"/>
        <v>373.74999999999989</v>
      </c>
      <c r="M102" s="2"/>
      <c r="N102" s="6">
        <f t="shared" si="23"/>
        <v>0.36566872126015054</v>
      </c>
      <c r="O102" s="14"/>
      <c r="P102" s="2">
        <f>SUM(OSRRefP22_21x_0)</f>
        <v>15994.24</v>
      </c>
      <c r="Q102" s="2"/>
      <c r="R102" s="6">
        <f t="shared" si="24"/>
        <v>1.2186065865179181E-3</v>
      </c>
      <c r="S102" s="2"/>
      <c r="T102" s="2">
        <f>SUM(OSRRefT22_21x_0)</f>
        <v>11643.43</v>
      </c>
      <c r="U102" s="2"/>
      <c r="V102" s="6">
        <f t="shared" si="25"/>
        <v>7.7095550575720208E-3</v>
      </c>
      <c r="W102" s="2"/>
      <c r="X102" s="2">
        <f t="shared" si="26"/>
        <v>4350.8099999999995</v>
      </c>
      <c r="Y102" s="2"/>
      <c r="Z102" s="6">
        <f t="shared" si="27"/>
        <v>0.37367081693281096</v>
      </c>
    </row>
    <row r="103" spans="1:26" s="69" customFormat="1" ht="15" hidden="1" customHeight="1" outlineLevel="2" x14ac:dyDescent="0.25">
      <c r="A103" s="25"/>
      <c r="B103" s="12" t="str">
        <f>CONCATENATE("          ","6309"," - ","TELEPHONE")</f>
        <v xml:space="preserve">          6309 - TELEPHONE</v>
      </c>
      <c r="C103" s="12"/>
      <c r="D103" s="7">
        <v>1395.85</v>
      </c>
      <c r="E103" s="3"/>
      <c r="F103" s="8">
        <f t="shared" si="20"/>
        <v>1.7265893636380513E-3</v>
      </c>
      <c r="G103" s="3"/>
      <c r="H103" s="7">
        <v>1022.1</v>
      </c>
      <c r="I103" s="3"/>
      <c r="J103" s="8">
        <f t="shared" si="21"/>
        <v>9.1028553183928711E-3</v>
      </c>
      <c r="K103" s="3"/>
      <c r="L103" s="7">
        <f t="shared" si="22"/>
        <v>373.74999999999989</v>
      </c>
      <c r="M103" s="3"/>
      <c r="N103" s="8">
        <f t="shared" si="23"/>
        <v>0.36566872126015054</v>
      </c>
      <c r="O103" s="12"/>
      <c r="P103" s="7">
        <v>15994.24</v>
      </c>
      <c r="Q103" s="3"/>
      <c r="R103" s="8">
        <f t="shared" si="24"/>
        <v>1.2186065865179181E-3</v>
      </c>
      <c r="S103" s="3"/>
      <c r="T103" s="7">
        <v>11643.43</v>
      </c>
      <c r="U103" s="3"/>
      <c r="V103" s="8">
        <f t="shared" si="25"/>
        <v>7.7095550575720208E-3</v>
      </c>
      <c r="W103" s="3"/>
      <c r="X103" s="7">
        <f t="shared" si="26"/>
        <v>4350.8099999999995</v>
      </c>
      <c r="Y103" s="3"/>
      <c r="Z103" s="8">
        <f t="shared" si="27"/>
        <v>0.37367081693281096</v>
      </c>
    </row>
    <row r="104" spans="1:26" s="68" customFormat="1" ht="15" customHeight="1" outlineLevel="1" collapsed="1" x14ac:dyDescent="0.25">
      <c r="A104" s="26"/>
      <c r="B104" s="14" t="str">
        <f>CONCATENATE("     ","Training                                          ")</f>
        <v xml:space="preserve">     Training                                          </v>
      </c>
      <c r="C104" s="14"/>
      <c r="D104" s="2">
        <f>SUM(OSRRefD22_22x_0)</f>
        <v>8040.38</v>
      </c>
      <c r="E104" s="2"/>
      <c r="F104" s="6">
        <f t="shared" si="20"/>
        <v>9.9455060268711648E-3</v>
      </c>
      <c r="G104" s="2"/>
      <c r="H104" s="2">
        <f>SUM(OSRRefH22_22x_0)</f>
        <v>0</v>
      </c>
      <c r="I104" s="2"/>
      <c r="J104" s="6">
        <f t="shared" si="21"/>
        <v>0</v>
      </c>
      <c r="K104" s="2"/>
      <c r="L104" s="2">
        <f t="shared" si="22"/>
        <v>8040.38</v>
      </c>
      <c r="M104" s="2"/>
      <c r="N104" s="6">
        <f t="shared" si="23"/>
        <v>0</v>
      </c>
      <c r="O104" s="14"/>
      <c r="P104" s="2">
        <f>SUM(OSRRefP22_22x_0)</f>
        <v>17331.3</v>
      </c>
      <c r="Q104" s="2"/>
      <c r="R104" s="6">
        <f t="shared" si="24"/>
        <v>1.3204776427587679E-3</v>
      </c>
      <c r="S104" s="2"/>
      <c r="T104" s="2">
        <f>SUM(OSRRefT22_22x_0)</f>
        <v>1186.23</v>
      </c>
      <c r="U104" s="2"/>
      <c r="V104" s="6">
        <f t="shared" si="25"/>
        <v>7.8544771565970325E-4</v>
      </c>
      <c r="W104" s="2"/>
      <c r="X104" s="2">
        <f t="shared" si="26"/>
        <v>16145.07</v>
      </c>
      <c r="Y104" s="2"/>
      <c r="Z104" s="6">
        <f t="shared" si="27"/>
        <v>13.610404390379605</v>
      </c>
    </row>
    <row r="105" spans="1:26" s="69" customFormat="1" ht="15" hidden="1" customHeight="1" outlineLevel="2" x14ac:dyDescent="0.25">
      <c r="A105" s="25"/>
      <c r="B105" s="12" t="str">
        <f>CONCATENATE("          ","6376"," - ","TRAINING")</f>
        <v xml:space="preserve">          6376 - TRAINING</v>
      </c>
      <c r="C105" s="12"/>
      <c r="D105" s="7">
        <v>8040.38</v>
      </c>
      <c r="E105" s="3"/>
      <c r="F105" s="8">
        <f t="shared" si="20"/>
        <v>9.9455060268711648E-3</v>
      </c>
      <c r="G105" s="3"/>
      <c r="H105" s="7"/>
      <c r="I105" s="3"/>
      <c r="J105" s="8">
        <f t="shared" si="21"/>
        <v>0</v>
      </c>
      <c r="K105" s="3"/>
      <c r="L105" s="7">
        <f t="shared" si="22"/>
        <v>8040.38</v>
      </c>
      <c r="M105" s="3"/>
      <c r="N105" s="8">
        <f t="shared" si="23"/>
        <v>0</v>
      </c>
      <c r="O105" s="12"/>
      <c r="P105" s="7">
        <v>17331.3</v>
      </c>
      <c r="Q105" s="3"/>
      <c r="R105" s="8">
        <f t="shared" si="24"/>
        <v>1.3204776427587679E-3</v>
      </c>
      <c r="S105" s="3"/>
      <c r="T105" s="7">
        <v>1186.23</v>
      </c>
      <c r="U105" s="3"/>
      <c r="V105" s="8">
        <f t="shared" si="25"/>
        <v>7.8544771565970325E-4</v>
      </c>
      <c r="W105" s="3"/>
      <c r="X105" s="7">
        <f t="shared" si="26"/>
        <v>16145.07</v>
      </c>
      <c r="Y105" s="3"/>
      <c r="Z105" s="8">
        <f t="shared" si="27"/>
        <v>13.610404390379605</v>
      </c>
    </row>
    <row r="106" spans="1:26" s="68" customFormat="1" ht="15" customHeight="1" outlineLevel="1" collapsed="1" x14ac:dyDescent="0.25">
      <c r="A106" s="26"/>
      <c r="B106" s="14" t="str">
        <f>CONCATENATE("     ","Travel                                            ")</f>
        <v xml:space="preserve">     Travel                                            </v>
      </c>
      <c r="C106" s="14"/>
      <c r="D106" s="2">
        <f>SUM(OSRRefD22_23x_0)</f>
        <v>136.37</v>
      </c>
      <c r="E106" s="2"/>
      <c r="F106" s="6">
        <f t="shared" si="20"/>
        <v>1.6868215891343704E-4</v>
      </c>
      <c r="G106" s="2"/>
      <c r="H106" s="2">
        <f>SUM(OSRRefH22_23x_0)</f>
        <v>0</v>
      </c>
      <c r="I106" s="2"/>
      <c r="J106" s="6">
        <f t="shared" si="21"/>
        <v>0</v>
      </c>
      <c r="K106" s="2"/>
      <c r="L106" s="2">
        <f t="shared" si="22"/>
        <v>136.37</v>
      </c>
      <c r="M106" s="2"/>
      <c r="N106" s="6">
        <f t="shared" si="23"/>
        <v>0</v>
      </c>
      <c r="O106" s="14"/>
      <c r="P106" s="2">
        <f>SUM(OSRRefP22_23x_0)</f>
        <v>1111.6500000000001</v>
      </c>
      <c r="Q106" s="2"/>
      <c r="R106" s="6">
        <f t="shared" si="24"/>
        <v>8.4696991660913166E-5</v>
      </c>
      <c r="S106" s="2"/>
      <c r="T106" s="2">
        <f>SUM(OSRRefT22_23x_0)</f>
        <v>492.51</v>
      </c>
      <c r="U106" s="2"/>
      <c r="V106" s="6">
        <f t="shared" si="25"/>
        <v>3.2610948504047311E-4</v>
      </c>
      <c r="W106" s="2"/>
      <c r="X106" s="2">
        <f t="shared" si="26"/>
        <v>619.1400000000001</v>
      </c>
      <c r="Y106" s="2"/>
      <c r="Z106" s="6">
        <f t="shared" si="27"/>
        <v>1.2571115307303407</v>
      </c>
    </row>
    <row r="107" spans="1:26" s="69" customFormat="1" ht="15" hidden="1" customHeight="1" outlineLevel="2" x14ac:dyDescent="0.25">
      <c r="A107" s="25"/>
      <c r="B107" s="12" t="str">
        <f>CONCATENATE("          ","6292"," - ","TRAVEL/CONFERENCE")</f>
        <v xml:space="preserve">          6292 - TRAVEL/CONFERENCE</v>
      </c>
      <c r="C107" s="12"/>
      <c r="D107" s="7">
        <v>15</v>
      </c>
      <c r="E107" s="3"/>
      <c r="F107" s="8">
        <f t="shared" si="20"/>
        <v>1.8554171619135846E-5</v>
      </c>
      <c r="G107" s="3"/>
      <c r="H107" s="7"/>
      <c r="I107" s="3"/>
      <c r="J107" s="8">
        <f t="shared" si="21"/>
        <v>0</v>
      </c>
      <c r="K107" s="3"/>
      <c r="L107" s="7">
        <f t="shared" si="22"/>
        <v>15</v>
      </c>
      <c r="M107" s="3"/>
      <c r="N107" s="8">
        <f t="shared" si="23"/>
        <v>0</v>
      </c>
      <c r="O107" s="12"/>
      <c r="P107" s="7">
        <v>628.59</v>
      </c>
      <c r="Q107" s="3"/>
      <c r="R107" s="8">
        <f t="shared" si="24"/>
        <v>4.7892485933642251E-5</v>
      </c>
      <c r="S107" s="3"/>
      <c r="T107" s="7"/>
      <c r="U107" s="3"/>
      <c r="V107" s="8">
        <f t="shared" si="25"/>
        <v>0</v>
      </c>
      <c r="W107" s="3"/>
      <c r="X107" s="7">
        <f t="shared" si="26"/>
        <v>628.59</v>
      </c>
      <c r="Y107" s="3"/>
      <c r="Z107" s="8">
        <f t="shared" si="27"/>
        <v>0</v>
      </c>
    </row>
    <row r="108" spans="1:26" s="69" customFormat="1" ht="15" hidden="1" customHeight="1" outlineLevel="2" x14ac:dyDescent="0.25">
      <c r="A108" s="25"/>
      <c r="B108" s="12" t="str">
        <f>CONCATENATE("          ","6294"," - ","TRAVEL OPERATIONAL")</f>
        <v xml:space="preserve">          6294 - TRAVEL OPERATIONAL</v>
      </c>
      <c r="C108" s="12"/>
      <c r="D108" s="7"/>
      <c r="E108" s="3"/>
      <c r="F108" s="8">
        <f t="shared" si="20"/>
        <v>0</v>
      </c>
      <c r="G108" s="3"/>
      <c r="H108" s="7"/>
      <c r="I108" s="3"/>
      <c r="J108" s="8">
        <f t="shared" si="21"/>
        <v>0</v>
      </c>
      <c r="K108" s="3"/>
      <c r="L108" s="7">
        <f t="shared" si="22"/>
        <v>0</v>
      </c>
      <c r="M108" s="3"/>
      <c r="N108" s="8">
        <f t="shared" si="23"/>
        <v>0</v>
      </c>
      <c r="O108" s="12"/>
      <c r="P108" s="7"/>
      <c r="Q108" s="3"/>
      <c r="R108" s="8">
        <f t="shared" si="24"/>
        <v>0</v>
      </c>
      <c r="S108" s="3"/>
      <c r="T108" s="7">
        <v>160.30000000000001</v>
      </c>
      <c r="U108" s="3"/>
      <c r="V108" s="8">
        <f t="shared" si="25"/>
        <v>1.0614068841645417E-4</v>
      </c>
      <c r="W108" s="3"/>
      <c r="X108" s="7">
        <f t="shared" si="26"/>
        <v>-160.30000000000001</v>
      </c>
      <c r="Y108" s="3"/>
      <c r="Z108" s="8">
        <f t="shared" si="27"/>
        <v>-1</v>
      </c>
    </row>
    <row r="109" spans="1:26" s="69" customFormat="1" ht="15" hidden="1" customHeight="1" outlineLevel="2" x14ac:dyDescent="0.25">
      <c r="A109" s="25"/>
      <c r="B109" s="12" t="str">
        <f>CONCATENATE("          ","6298"," - ","VEHICLE MILEAGE")</f>
        <v xml:space="preserve">          6298 - VEHICLE MILEAGE</v>
      </c>
      <c r="C109" s="12"/>
      <c r="D109" s="7">
        <v>121.37</v>
      </c>
      <c r="E109" s="3"/>
      <c r="F109" s="8">
        <f t="shared" si="20"/>
        <v>1.501279872943012E-4</v>
      </c>
      <c r="G109" s="3"/>
      <c r="H109" s="7"/>
      <c r="I109" s="3"/>
      <c r="J109" s="8">
        <f t="shared" si="21"/>
        <v>0</v>
      </c>
      <c r="K109" s="3"/>
      <c r="L109" s="7">
        <f t="shared" si="22"/>
        <v>121.37</v>
      </c>
      <c r="M109" s="3"/>
      <c r="N109" s="8">
        <f t="shared" si="23"/>
        <v>0</v>
      </c>
      <c r="O109" s="12"/>
      <c r="P109" s="7">
        <v>483.06</v>
      </c>
      <c r="Q109" s="3"/>
      <c r="R109" s="8">
        <f t="shared" si="24"/>
        <v>3.6804505727270915E-5</v>
      </c>
      <c r="S109" s="3"/>
      <c r="T109" s="7">
        <v>332.21</v>
      </c>
      <c r="U109" s="3"/>
      <c r="V109" s="8">
        <f t="shared" si="25"/>
        <v>2.1996879662401894E-4</v>
      </c>
      <c r="W109" s="3"/>
      <c r="X109" s="7">
        <f t="shared" si="26"/>
        <v>150.85000000000002</v>
      </c>
      <c r="Y109" s="3"/>
      <c r="Z109" s="8">
        <f t="shared" si="27"/>
        <v>0.45408025044399636</v>
      </c>
    </row>
    <row r="110" spans="1:26" s="68" customFormat="1" ht="15" customHeight="1" outlineLevel="1" collapsed="1" x14ac:dyDescent="0.25">
      <c r="A110" s="26"/>
      <c r="B110" s="14" t="str">
        <f>CONCATENATE("     ","Utilities                                         ")</f>
        <v xml:space="preserve">     Utilities                                         </v>
      </c>
      <c r="C110" s="14"/>
      <c r="D110" s="2">
        <f>SUM(OSRRefD22_24x_0)</f>
        <v>29161.68</v>
      </c>
      <c r="E110" s="2"/>
      <c r="F110" s="6">
        <f t="shared" si="20"/>
        <v>3.6071387694821433E-2</v>
      </c>
      <c r="G110" s="2"/>
      <c r="H110" s="2">
        <f>SUM(OSRRefH22_24x_0)</f>
        <v>3648</v>
      </c>
      <c r="I110" s="2"/>
      <c r="J110" s="6">
        <f t="shared" si="21"/>
        <v>3.248920477594873E-2</v>
      </c>
      <c r="K110" s="2"/>
      <c r="L110" s="2">
        <f t="shared" si="22"/>
        <v>25513.68</v>
      </c>
      <c r="M110" s="2"/>
      <c r="N110" s="6">
        <f t="shared" si="23"/>
        <v>6.9938815789473683</v>
      </c>
      <c r="O110" s="14"/>
      <c r="P110" s="2">
        <f>SUM(OSRRefP22_24x_0)</f>
        <v>108261.68</v>
      </c>
      <c r="Q110" s="2"/>
      <c r="R110" s="6">
        <f t="shared" si="24"/>
        <v>8.2484942276403982E-3</v>
      </c>
      <c r="S110" s="2"/>
      <c r="T110" s="2">
        <f>SUM(OSRRefT22_24x_0)</f>
        <v>5836</v>
      </c>
      <c r="U110" s="2"/>
      <c r="V110" s="6">
        <f t="shared" si="25"/>
        <v>3.8642361671767096E-3</v>
      </c>
      <c r="W110" s="2"/>
      <c r="X110" s="2">
        <f t="shared" si="26"/>
        <v>102425.68</v>
      </c>
      <c r="Y110" s="2"/>
      <c r="Z110" s="6">
        <f t="shared" si="27"/>
        <v>17.550664838930775</v>
      </c>
    </row>
    <row r="111" spans="1:26" s="69" customFormat="1" ht="15" hidden="1" customHeight="1" outlineLevel="2" x14ac:dyDescent="0.25">
      <c r="A111" s="25"/>
      <c r="B111" s="12" t="str">
        <f>CONCATENATE("          ","6274"," - ","UTILITIES")</f>
        <v xml:space="preserve">          6274 - UTILITIES</v>
      </c>
      <c r="C111" s="12"/>
      <c r="D111" s="7">
        <v>29161.68</v>
      </c>
      <c r="E111" s="3"/>
      <c r="F111" s="8">
        <f t="shared" si="20"/>
        <v>3.6071387694821433E-2</v>
      </c>
      <c r="G111" s="3"/>
      <c r="H111" s="7">
        <v>3648</v>
      </c>
      <c r="I111" s="3"/>
      <c r="J111" s="8">
        <f t="shared" si="21"/>
        <v>3.248920477594873E-2</v>
      </c>
      <c r="K111" s="3"/>
      <c r="L111" s="7">
        <f t="shared" si="22"/>
        <v>25513.68</v>
      </c>
      <c r="M111" s="3"/>
      <c r="N111" s="8">
        <f t="shared" si="23"/>
        <v>6.9938815789473683</v>
      </c>
      <c r="O111" s="12"/>
      <c r="P111" s="7">
        <v>108261.68</v>
      </c>
      <c r="Q111" s="3"/>
      <c r="R111" s="8">
        <f t="shared" si="24"/>
        <v>8.2484942276403982E-3</v>
      </c>
      <c r="S111" s="3"/>
      <c r="T111" s="7">
        <v>5836</v>
      </c>
      <c r="U111" s="3"/>
      <c r="V111" s="8">
        <f t="shared" si="25"/>
        <v>3.8642361671767096E-3</v>
      </c>
      <c r="W111" s="3"/>
      <c r="X111" s="7">
        <f t="shared" si="26"/>
        <v>102425.68</v>
      </c>
      <c r="Y111" s="3"/>
      <c r="Z111" s="8">
        <f t="shared" si="27"/>
        <v>17.550664838930775</v>
      </c>
    </row>
    <row r="112" spans="1:26" s="64" customFormat="1" ht="15" customHeight="1" x14ac:dyDescent="0.25">
      <c r="A112" s="36"/>
      <c r="B112" s="36"/>
      <c r="C112" s="36"/>
      <c r="D112" s="2"/>
      <c r="E112" s="2"/>
      <c r="F112" s="6"/>
      <c r="G112" s="2"/>
      <c r="H112" s="2"/>
      <c r="I112" s="2"/>
      <c r="J112" s="6"/>
      <c r="K112" s="2"/>
      <c r="L112" s="2"/>
      <c r="M112" s="2"/>
      <c r="N112" s="6"/>
      <c r="O112" s="36"/>
      <c r="P112" s="2"/>
      <c r="Q112" s="2"/>
      <c r="R112" s="6"/>
      <c r="S112" s="2"/>
      <c r="T112" s="2"/>
      <c r="U112" s="2"/>
      <c r="V112" s="6"/>
      <c r="W112" s="2"/>
      <c r="X112" s="2"/>
      <c r="Y112" s="2"/>
      <c r="Z112" s="6"/>
    </row>
    <row r="113" spans="1:26" s="62" customFormat="1" ht="15" customHeight="1" collapsed="1" x14ac:dyDescent="0.25">
      <c r="A113" s="11"/>
      <c r="B113" s="28" t="s">
        <v>290</v>
      </c>
      <c r="C113" s="11"/>
      <c r="D113" s="5">
        <f>SUM(OSRRefD25x_0)</f>
        <v>32749.34</v>
      </c>
      <c r="E113" s="5"/>
      <c r="F113" s="13">
        <f>IF(D$12=0,0,D113/D$12)</f>
        <v>4.050912498489536E-2</v>
      </c>
      <c r="G113" s="5"/>
      <c r="H113" s="5">
        <f>SUM(OSRRefH25x_0)</f>
        <v>41.26</v>
      </c>
      <c r="I113" s="5"/>
      <c r="J113" s="13">
        <f>IF(H$12=0,0,H113/H$12)</f>
        <v>3.6746288077183235E-4</v>
      </c>
      <c r="K113" s="5"/>
      <c r="L113" s="5">
        <f>+D113-H113</f>
        <v>32708.080000000002</v>
      </c>
      <c r="M113" s="5"/>
      <c r="N113" s="13">
        <f>IF(H113=0,0,L113/H113)</f>
        <v>792.73097430925839</v>
      </c>
      <c r="O113" s="11"/>
      <c r="P113" s="5">
        <f>SUM(OSRRefP25x_0)</f>
        <v>207885.38</v>
      </c>
      <c r="Q113" s="5"/>
      <c r="R113" s="13">
        <f>IF(P$12=0,0,P113/P$12)</f>
        <v>1.5838857820614189E-2</v>
      </c>
      <c r="S113" s="5"/>
      <c r="T113" s="5">
        <f>SUM(OSRRefT25x_0)</f>
        <v>22486.66</v>
      </c>
      <c r="U113" s="5"/>
      <c r="V113" s="13">
        <f>IF(T$12=0,0,T113/T$12)</f>
        <v>1.4889267452194281E-2</v>
      </c>
      <c r="W113" s="5"/>
      <c r="X113" s="5">
        <f>+P113-T113</f>
        <v>185398.72</v>
      </c>
      <c r="Y113" s="5"/>
      <c r="Z113" s="13">
        <f>IF(T113=0,0,X113/T113)</f>
        <v>8.244831380027092</v>
      </c>
    </row>
    <row r="114" spans="1:26" s="69" customFormat="1" ht="15" hidden="1" customHeight="1" outlineLevel="1" x14ac:dyDescent="0.25">
      <c r="A114" s="42"/>
      <c r="B114" s="12" t="str">
        <f>CONCATENATE("          ","9150"," - ","MISC. INCOME")</f>
        <v xml:space="preserve">          9150 - MISC. INCOME</v>
      </c>
      <c r="C114" s="12"/>
      <c r="D114" s="3">
        <f>--32749.34</f>
        <v>32749.34</v>
      </c>
      <c r="E114" s="3"/>
      <c r="F114" s="20">
        <f>IF(D$12=0,0,D114/D$12)</f>
        <v>4.050912498489536E-2</v>
      </c>
      <c r="G114" s="3"/>
      <c r="H114" s="3">
        <f>--8.44</f>
        <v>8.44</v>
      </c>
      <c r="I114" s="3"/>
      <c r="J114" s="20">
        <f>IF(H$12=0,0,H114/H$12)</f>
        <v>7.5166910172425226E-5</v>
      </c>
      <c r="K114" s="3"/>
      <c r="L114" s="3">
        <f>+D114-H114</f>
        <v>32740.9</v>
      </c>
      <c r="M114" s="3"/>
      <c r="N114" s="20">
        <f>IF(H114=0,0,L114/H114)</f>
        <v>3879.2535545023702</v>
      </c>
      <c r="O114" s="12"/>
      <c r="P114" s="3">
        <f>--207885.38</f>
        <v>207885.38</v>
      </c>
      <c r="Q114" s="3"/>
      <c r="R114" s="20">
        <f>IF(P$12=0,0,P114/P$12)</f>
        <v>1.5838857820614189E-2</v>
      </c>
      <c r="S114" s="3"/>
      <c r="T114" s="3">
        <f>--5349.92</f>
        <v>5349.92</v>
      </c>
      <c r="U114" s="3"/>
      <c r="V114" s="20">
        <f>IF(T$12=0,0,T114/T$12)</f>
        <v>3.5423842281531908E-3</v>
      </c>
      <c r="W114" s="3"/>
      <c r="X114" s="3">
        <f>+P114-T114</f>
        <v>202535.46</v>
      </c>
      <c r="Y114" s="3"/>
      <c r="Z114" s="20">
        <f>IF(T114=0,0,X114/T114)</f>
        <v>37.857661422974545</v>
      </c>
    </row>
    <row r="115" spans="1:26" s="69" customFormat="1" ht="15" hidden="1" customHeight="1" outlineLevel="1" x14ac:dyDescent="0.25">
      <c r="A115" s="42"/>
      <c r="B115" s="12" t="str">
        <f>CONCATENATE("          ","9160"," - ","MISC. INCOME")</f>
        <v xml:space="preserve">          9160 - MISC. INCOME</v>
      </c>
      <c r="C115" s="12"/>
      <c r="D115" s="3">
        <f>0</f>
        <v>0</v>
      </c>
      <c r="E115" s="3"/>
      <c r="F115" s="20">
        <f>IF(D$12=0,0,D115/D$12)</f>
        <v>0</v>
      </c>
      <c r="G115" s="3"/>
      <c r="H115" s="3">
        <f>0</f>
        <v>0</v>
      </c>
      <c r="I115" s="3"/>
      <c r="J115" s="20">
        <f>IF(H$12=0,0,H115/H$12)</f>
        <v>0</v>
      </c>
      <c r="K115" s="3"/>
      <c r="L115" s="3">
        <f>+D115-H115</f>
        <v>0</v>
      </c>
      <c r="M115" s="3"/>
      <c r="N115" s="20">
        <f>IF(H115=0,0,L115/H115)</f>
        <v>0</v>
      </c>
      <c r="O115" s="12"/>
      <c r="P115" s="3">
        <f>0</f>
        <v>0</v>
      </c>
      <c r="Q115" s="3"/>
      <c r="R115" s="20">
        <f>IF(P$12=0,0,P115/P$12)</f>
        <v>0</v>
      </c>
      <c r="S115" s="3"/>
      <c r="T115" s="3">
        <f>--13615.06</f>
        <v>13615.06</v>
      </c>
      <c r="U115" s="3"/>
      <c r="V115" s="20">
        <f>IF(T$12=0,0,T115/T$12)</f>
        <v>9.0150457968267532E-3</v>
      </c>
      <c r="W115" s="3"/>
      <c r="X115" s="3">
        <f>+P115-T115</f>
        <v>-13615.06</v>
      </c>
      <c r="Y115" s="3"/>
      <c r="Z115" s="20">
        <f>IF(T115=0,0,X115/T115)</f>
        <v>-1</v>
      </c>
    </row>
    <row r="116" spans="1:26" s="69" customFormat="1" ht="15" hidden="1" customHeight="1" outlineLevel="1" x14ac:dyDescent="0.25">
      <c r="A116" s="42"/>
      <c r="B116" s="12" t="str">
        <f>CONCATENATE("          ","9165"," - ","OTHER INCOME")</f>
        <v xml:space="preserve">          9165 - OTHER INCOME</v>
      </c>
      <c r="C116" s="12"/>
      <c r="D116" s="3">
        <f>0</f>
        <v>0</v>
      </c>
      <c r="E116" s="3"/>
      <c r="F116" s="20">
        <f>IF(D$12=0,0,D116/D$12)</f>
        <v>0</v>
      </c>
      <c r="G116" s="3"/>
      <c r="H116" s="3">
        <f>--32.82</f>
        <v>32.82</v>
      </c>
      <c r="I116" s="3"/>
      <c r="J116" s="20">
        <f>IF(H$12=0,0,H116/H$12)</f>
        <v>2.9229597059940714E-4</v>
      </c>
      <c r="K116" s="3"/>
      <c r="L116" s="3">
        <f>+D116-H116</f>
        <v>-32.82</v>
      </c>
      <c r="M116" s="3"/>
      <c r="N116" s="20">
        <f>IF(H116=0,0,L116/H116)</f>
        <v>-1</v>
      </c>
      <c r="O116" s="12"/>
      <c r="P116" s="3">
        <f>0</f>
        <v>0</v>
      </c>
      <c r="Q116" s="3"/>
      <c r="R116" s="20">
        <f>IF(P$12=0,0,P116/P$12)</f>
        <v>0</v>
      </c>
      <c r="S116" s="3"/>
      <c r="T116" s="3">
        <f>--3521.68</f>
        <v>3521.68</v>
      </c>
      <c r="U116" s="3"/>
      <c r="V116" s="20">
        <f>IF(T$12=0,0,T116/T$12)</f>
        <v>2.3318374272143375E-3</v>
      </c>
      <c r="W116" s="3"/>
      <c r="X116" s="3">
        <f>+P116-T116</f>
        <v>-3521.68</v>
      </c>
      <c r="Y116" s="3"/>
      <c r="Z116" s="20">
        <f>IF(T116=0,0,X116/T116)</f>
        <v>-1</v>
      </c>
    </row>
    <row r="117" spans="1:26" ht="15" customHeight="1" x14ac:dyDescent="0.25">
      <c r="A117" s="10"/>
      <c r="B117" s="11"/>
      <c r="C117" s="11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O117" s="11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2" customFormat="1" ht="15" customHeight="1" x14ac:dyDescent="0.25">
      <c r="A118" s="11"/>
      <c r="B118" s="27" t="s">
        <v>291</v>
      </c>
      <c r="C118" s="27"/>
      <c r="D118" s="22">
        <f>+D27-D29+D113</f>
        <v>-9428.3000000001302</v>
      </c>
      <c r="E118" s="15"/>
      <c r="F118" s="23">
        <f>IF(D$12=0,0,D118/D$12)</f>
        <v>-1.1662286418446728E-2</v>
      </c>
      <c r="G118" s="15"/>
      <c r="H118" s="22">
        <f>+H27-H29+H113</f>
        <v>-237242.53</v>
      </c>
      <c r="I118" s="15"/>
      <c r="J118" s="23">
        <f>IF(H$12=0,0,H118/H$12)</f>
        <v>-2.1128895665389691</v>
      </c>
      <c r="K118" s="16"/>
      <c r="L118" s="22">
        <f>+D118-H118</f>
        <v>227814.22999999986</v>
      </c>
      <c r="M118" s="16"/>
      <c r="N118" s="23">
        <f>IF(H118=0,0,L118/H118)</f>
        <v>-0.96025881194236073</v>
      </c>
      <c r="O118" s="28"/>
      <c r="P118" s="22">
        <f>+P27-P29+P113</f>
        <v>2724436.8000000007</v>
      </c>
      <c r="Q118" s="15"/>
      <c r="R118" s="23">
        <f>IF(P$12=0,0,P118/P$12)</f>
        <v>0.20757576659046012</v>
      </c>
      <c r="S118" s="15"/>
      <c r="T118" s="22">
        <f>+T27-T29+T113</f>
        <v>-2627620.0000000009</v>
      </c>
      <c r="U118" s="15"/>
      <c r="V118" s="23">
        <f>IF(T$12=0,0,T118/T$12)</f>
        <v>-1.7398465108973387</v>
      </c>
      <c r="W118" s="16"/>
      <c r="X118" s="22">
        <f>+P118-T118</f>
        <v>5352056.8000000017</v>
      </c>
      <c r="Y118" s="16"/>
      <c r="Z118" s="23">
        <f>IF(T118=0,0,X118/T118)</f>
        <v>-2.0368458148438511</v>
      </c>
    </row>
    <row r="119" spans="1:26" ht="15" customHeight="1" x14ac:dyDescent="0.25">
      <c r="A119" s="10"/>
      <c r="B119" s="11"/>
      <c r="C119" s="10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2" customFormat="1" ht="15" customHeight="1" x14ac:dyDescent="0.25">
      <c r="A120" s="48"/>
      <c r="B120" s="11" t="s">
        <v>292</v>
      </c>
      <c r="C120" s="11"/>
      <c r="D120" s="5">
        <v>80315.45</v>
      </c>
      <c r="E120" s="5"/>
      <c r="F120" s="13">
        <f>IF(D$12=0,0,D120/D$12)</f>
        <v>9.9345776197874935E-2</v>
      </c>
      <c r="G120" s="5"/>
      <c r="H120" s="5">
        <v>30265.88</v>
      </c>
      <c r="I120" s="5"/>
      <c r="J120" s="13">
        <f>IF(H$12=0,0,H120/H$12)</f>
        <v>0.26954889611959731</v>
      </c>
      <c r="K120" s="5"/>
      <c r="L120" s="5">
        <f>+D120-H120</f>
        <v>50049.569999999992</v>
      </c>
      <c r="M120" s="5"/>
      <c r="N120" s="13">
        <f>IF(H120=0,0,L120/H120)</f>
        <v>1.6536631348568087</v>
      </c>
      <c r="O120" s="11"/>
      <c r="P120" s="5">
        <v>1475585.41</v>
      </c>
      <c r="Q120" s="5"/>
      <c r="R120" s="13">
        <f>IF(P$12=0,0,P120/P$12)</f>
        <v>0.11242535435230075</v>
      </c>
      <c r="S120" s="5"/>
      <c r="T120" s="5">
        <v>322728.17</v>
      </c>
      <c r="U120" s="5"/>
      <c r="V120" s="13">
        <f>IF(T$12=0,0,T120/T$12)</f>
        <v>0.21369051862247318</v>
      </c>
      <c r="W120" s="5"/>
      <c r="X120" s="5">
        <f>+P120-T120</f>
        <v>1152857.24</v>
      </c>
      <c r="Y120" s="5"/>
      <c r="Z120" s="13">
        <f>IF(T120=0,0,X120/T120)</f>
        <v>3.5722237696201109</v>
      </c>
    </row>
    <row r="121" spans="1:26" ht="15" customHeight="1" x14ac:dyDescent="0.25">
      <c r="A121" s="10"/>
      <c r="B121" s="11"/>
      <c r="C121" s="11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O121" s="11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s="62" customFormat="1" ht="15" customHeight="1" x14ac:dyDescent="0.25">
      <c r="A122" s="11"/>
      <c r="B122" s="27" t="s">
        <v>293</v>
      </c>
      <c r="C122" s="27"/>
      <c r="D122" s="35">
        <f>+D118-D120</f>
        <v>-89743.750000000131</v>
      </c>
      <c r="E122" s="15"/>
      <c r="F122" s="30">
        <f>IF(D$12=0,0,D122/D$12)</f>
        <v>-0.11100806261632166</v>
      </c>
      <c r="G122" s="15"/>
      <c r="H122" s="35">
        <f>+H118-H120</f>
        <v>-267508.40999999997</v>
      </c>
      <c r="I122" s="15"/>
      <c r="J122" s="30">
        <f>IF(H$12=0,0,H122/H$12)</f>
        <v>-2.3824384626585662</v>
      </c>
      <c r="K122" s="16"/>
      <c r="L122" s="35">
        <f>D122-H122</f>
        <v>177764.65999999986</v>
      </c>
      <c r="M122" s="16"/>
      <c r="N122" s="30">
        <f>IF(H122=0,0,L122/H122)</f>
        <v>-0.66451989303812864</v>
      </c>
      <c r="O122" s="28"/>
      <c r="P122" s="35">
        <f>+P118-P120</f>
        <v>1248851.3900000008</v>
      </c>
      <c r="Q122" s="15"/>
      <c r="R122" s="30">
        <f>IF(P$12=0,0,P122/P$12)</f>
        <v>9.5150412238159385E-2</v>
      </c>
      <c r="S122" s="15"/>
      <c r="T122" s="35">
        <f>+T118-T120</f>
        <v>-2950348.1700000009</v>
      </c>
      <c r="U122" s="15"/>
      <c r="V122" s="30">
        <f>IF(T$12=0,0,T122/T$12)</f>
        <v>-1.9535370295198118</v>
      </c>
      <c r="W122" s="16"/>
      <c r="X122" s="35">
        <f>P122-T122</f>
        <v>4199199.5600000015</v>
      </c>
      <c r="Y122" s="16"/>
      <c r="Z122" s="30">
        <f>IF(T122=0,0,X122/T122)</f>
        <v>-1.4232894960325988</v>
      </c>
    </row>
    <row r="123" spans="1:26" ht="15" customHeight="1" x14ac:dyDescent="0.25">
      <c r="A123" s="10"/>
      <c r="B123" s="10"/>
      <c r="C123" s="10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ht="15" customHeight="1" x14ac:dyDescent="0.25">
      <c r="A124" s="10"/>
      <c r="B124" s="10"/>
      <c r="C124" s="10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s="62" customFormat="1" ht="15" customHeight="1" x14ac:dyDescent="0.25">
      <c r="A125" s="11"/>
      <c r="B125" s="27" t="s">
        <v>296</v>
      </c>
      <c r="C125" s="27"/>
      <c r="D125" s="32">
        <f>SUM(D122:D124)</f>
        <v>-89743.750000000131</v>
      </c>
      <c r="E125" s="15"/>
      <c r="F125" s="34">
        <f>IF(D$12=0,0,D125/D$12)</f>
        <v>-0.11100806261632166</v>
      </c>
      <c r="G125" s="15"/>
      <c r="H125" s="32">
        <f>SUM(H122:H124)</f>
        <v>-267508.40999999997</v>
      </c>
      <c r="I125" s="15"/>
      <c r="J125" s="34">
        <f>IF(H$12=0,0,H125/H$12)</f>
        <v>-2.3824384626585662</v>
      </c>
      <c r="K125" s="16"/>
      <c r="L125" s="32">
        <f>+D125-H125</f>
        <v>177764.65999999986</v>
      </c>
      <c r="M125" s="16"/>
      <c r="N125" s="34">
        <f>IF(H125=0,0,L125/H125)</f>
        <v>-0.66451989303812864</v>
      </c>
      <c r="O125" s="28"/>
      <c r="P125" s="32">
        <f>SUM(P122:P124)</f>
        <v>1248851.3900000008</v>
      </c>
      <c r="Q125" s="15"/>
      <c r="R125" s="34">
        <f>IF(P$12=0,0,P125/P$12)</f>
        <v>9.5150412238159385E-2</v>
      </c>
      <c r="S125" s="15"/>
      <c r="T125" s="32">
        <f>SUM(T122:T124)</f>
        <v>-2950348.1700000009</v>
      </c>
      <c r="U125" s="15"/>
      <c r="V125" s="34">
        <f>IF(T$12=0,0,T125/T$12)</f>
        <v>-1.9535370295198118</v>
      </c>
      <c r="W125" s="16"/>
      <c r="X125" s="32">
        <f>+P125-T125</f>
        <v>4199199.5600000015</v>
      </c>
      <c r="Y125" s="16"/>
      <c r="Z125" s="34">
        <f>IF(T125=0,0,X125/T125)</f>
        <v>-1.4232894960325988</v>
      </c>
    </row>
    <row r="126" spans="1:26" ht="15" customHeight="1" x14ac:dyDescent="0.25">
      <c r="A126" s="10"/>
      <c r="C126" s="10"/>
      <c r="D126" s="18"/>
      <c r="E126" s="18"/>
      <c r="G126" s="18"/>
      <c r="H126" s="18"/>
      <c r="I126" s="18"/>
      <c r="J126" s="41"/>
      <c r="K126" s="18"/>
      <c r="L126" s="18"/>
      <c r="M126" s="18"/>
      <c r="P126" s="18"/>
      <c r="Q126" s="18"/>
      <c r="R126" s="41"/>
      <c r="S126" s="18"/>
      <c r="T126" s="18"/>
      <c r="U126" s="18"/>
      <c r="V126" s="41"/>
      <c r="W126" s="18"/>
      <c r="X126" s="18"/>
    </row>
    <row r="127" spans="1:26" ht="15" customHeight="1" x14ac:dyDescent="0.25">
      <c r="A127" s="10"/>
      <c r="B127" s="50">
        <v>44727.879644791668</v>
      </c>
      <c r="D127" s="18"/>
      <c r="E127" s="18"/>
      <c r="G127" s="18"/>
      <c r="H127" s="18"/>
      <c r="I127" s="18"/>
      <c r="J127" s="41"/>
      <c r="K127" s="18"/>
      <c r="L127" s="18"/>
      <c r="M127" s="18"/>
      <c r="P127" s="18"/>
      <c r="Q127" s="18"/>
      <c r="R127" s="41"/>
      <c r="S127" s="18"/>
      <c r="T127" s="18"/>
      <c r="U127" s="18"/>
      <c r="V127" s="41"/>
      <c r="W127" s="18"/>
      <c r="X127" s="18"/>
    </row>
    <row r="128" spans="1:26" ht="15" customHeight="1" x14ac:dyDescent="0.25">
      <c r="A128" s="10"/>
      <c r="B128" s="53" t="s">
        <v>297</v>
      </c>
      <c r="D128" s="18"/>
      <c r="E128" s="18"/>
      <c r="G128" s="18"/>
      <c r="H128" s="18"/>
      <c r="I128" s="18"/>
      <c r="J128" s="41"/>
      <c r="K128" s="18"/>
      <c r="L128" s="18"/>
      <c r="M128" s="18"/>
      <c r="P128" s="18"/>
      <c r="Q128" s="18"/>
      <c r="R128" s="41"/>
      <c r="S128" s="18"/>
      <c r="T128" s="18"/>
      <c r="U128" s="18"/>
      <c r="V128" s="41"/>
      <c r="W128" s="18"/>
      <c r="X128" s="18"/>
    </row>
    <row r="129" spans="1:24" ht="15" customHeight="1" x14ac:dyDescent="0.25">
      <c r="A129" s="10"/>
      <c r="B129" s="55"/>
      <c r="D129" s="18"/>
      <c r="E129" s="18"/>
      <c r="G129" s="18"/>
      <c r="H129" s="18"/>
      <c r="I129" s="18"/>
      <c r="J129" s="41"/>
      <c r="K129" s="18"/>
      <c r="L129" s="18"/>
      <c r="M129" s="18"/>
      <c r="P129" s="18"/>
      <c r="Q129" s="18"/>
      <c r="R129" s="41"/>
      <c r="S129" s="18"/>
      <c r="T129" s="18"/>
      <c r="U129" s="18"/>
      <c r="V129" s="41"/>
      <c r="W129" s="18"/>
      <c r="X129" s="18"/>
    </row>
    <row r="130" spans="1:24" ht="15" customHeight="1" x14ac:dyDescent="0.25">
      <c r="D130" s="18"/>
      <c r="E130" s="18"/>
      <c r="G130" s="18"/>
      <c r="H130" s="18"/>
      <c r="I130" s="18"/>
      <c r="J130" s="41"/>
      <c r="K130" s="18"/>
      <c r="L130" s="18"/>
      <c r="M130" s="18"/>
      <c r="P130" s="18"/>
      <c r="Q130" s="18"/>
      <c r="R130" s="41"/>
      <c r="S130" s="18"/>
      <c r="T130" s="18"/>
      <c r="U130" s="18"/>
      <c r="V130" s="41"/>
      <c r="W130" s="18"/>
      <c r="X13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02332-A262-8A01-CC1B-90D6FA686C16}">
  <sheetPr>
    <tabColor theme="5" tint="0.39997558519241921"/>
    <outlinePr summaryBelow="0" summaryRight="0"/>
  </sheetPr>
  <dimension ref="A2:Z13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310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205367.38999999998</v>
      </c>
      <c r="E12" s="5"/>
      <c r="F12" s="13"/>
      <c r="G12" s="5"/>
      <c r="H12" s="5">
        <f>SUM(OSRRefH13x_0)</f>
        <v>61758.750000000007</v>
      </c>
      <c r="I12" s="5"/>
      <c r="J12" s="13"/>
      <c r="K12" s="5"/>
      <c r="L12" s="5">
        <f t="shared" ref="L12:L26" si="0">+D12-H12</f>
        <v>143608.63999999998</v>
      </c>
      <c r="M12" s="5"/>
      <c r="N12" s="13">
        <f t="shared" ref="N12:N26" si="1">IF(H12=0,0,L12/H12)</f>
        <v>2.3253164936142645</v>
      </c>
      <c r="O12" s="11"/>
      <c r="P12" s="5">
        <f>SUM(OSRRefP13x_0)</f>
        <v>2007444.5299999998</v>
      </c>
      <c r="Q12" s="5"/>
      <c r="R12" s="13"/>
      <c r="S12" s="5"/>
      <c r="T12" s="5">
        <f>SUM(OSRRefT13x_0)</f>
        <v>521251.98000000004</v>
      </c>
      <c r="U12" s="5"/>
      <c r="V12" s="13"/>
      <c r="W12" s="5"/>
      <c r="X12" s="5">
        <f t="shared" ref="X12:X26" si="2">+P12-T12</f>
        <v>1486192.5499999998</v>
      </c>
      <c r="Y12" s="5"/>
      <c r="Z12" s="13">
        <f t="shared" ref="Z12:Z26" si="3">IF(T12=0,0,X12/T12)</f>
        <v>2.8511978985672144</v>
      </c>
    </row>
    <row r="13" spans="1:26" s="69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--13320.29</f>
        <v>13320.29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13320.29</v>
      </c>
      <c r="M13" s="3"/>
      <c r="N13" s="20">
        <f t="shared" si="1"/>
        <v>0</v>
      </c>
      <c r="O13" s="12"/>
      <c r="P13" s="3">
        <f>--75732.04</f>
        <v>75732.039999999994</v>
      </c>
      <c r="Q13" s="3"/>
      <c r="R13" s="20"/>
      <c r="S13" s="3"/>
      <c r="T13" s="3">
        <f>0</f>
        <v>0</v>
      </c>
      <c r="U13" s="3"/>
      <c r="V13" s="20"/>
      <c r="W13" s="3"/>
      <c r="X13" s="3">
        <f t="shared" si="2"/>
        <v>75732.039999999994</v>
      </c>
      <c r="Y13" s="3"/>
      <c r="Z13" s="20">
        <f t="shared" si="3"/>
        <v>0</v>
      </c>
    </row>
    <row r="14" spans="1:26" s="69" customFormat="1" ht="15" hidden="1" customHeight="1" outlineLevel="1" x14ac:dyDescent="0.25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 t="shared" si="2"/>
        <v>-444.59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","4034"," - ","TAXABLE SALES-SODA")</f>
        <v xml:space="preserve">          4034 - 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69" customFormat="1" ht="15" hidden="1" customHeight="1" outlineLevel="1" x14ac:dyDescent="0.25">
      <c r="A16" s="42"/>
      <c r="B16" s="12" t="str">
        <f>CONCATENATE("          ","4051"," - ","TAXABLE SALES-FOOD")</f>
        <v xml:space="preserve">          4051 - TAXABLE SALES-FOOD</v>
      </c>
      <c r="C16" s="12"/>
      <c r="D16" s="3">
        <f>--27103.03</f>
        <v>27103.03</v>
      </c>
      <c r="E16" s="3"/>
      <c r="F16" s="20"/>
      <c r="G16" s="3"/>
      <c r="H16" s="3">
        <f>--7161.66</f>
        <v>7161.66</v>
      </c>
      <c r="I16" s="3"/>
      <c r="J16" s="20"/>
      <c r="K16" s="3"/>
      <c r="L16" s="3">
        <f t="shared" si="0"/>
        <v>19941.37</v>
      </c>
      <c r="M16" s="3"/>
      <c r="N16" s="20">
        <f t="shared" si="1"/>
        <v>2.7844619822778518</v>
      </c>
      <c r="O16" s="12"/>
      <c r="P16" s="3">
        <f>--346036.45</f>
        <v>346036.45</v>
      </c>
      <c r="Q16" s="3"/>
      <c r="R16" s="20"/>
      <c r="S16" s="3"/>
      <c r="T16" s="3">
        <f>--39282.92</f>
        <v>39282.92</v>
      </c>
      <c r="U16" s="3"/>
      <c r="V16" s="20"/>
      <c r="W16" s="3"/>
      <c r="X16" s="3">
        <f t="shared" si="2"/>
        <v>306753.53000000003</v>
      </c>
      <c r="Y16" s="3"/>
      <c r="Z16" s="20">
        <f t="shared" si="3"/>
        <v>7.8088270933016188</v>
      </c>
    </row>
    <row r="17" spans="1:26" s="69" customFormat="1" ht="15" hidden="1" customHeight="1" outlineLevel="1" x14ac:dyDescent="0.25">
      <c r="A17" s="42"/>
      <c r="B17" s="12" t="str">
        <f>CONCATENATE("          ","4052"," - ","TAXABLE SALES-FOOD")</f>
        <v xml:space="preserve">          4052 - TAXABLE SALES-FOOD</v>
      </c>
      <c r="C17" s="12"/>
      <c r="D17" s="3">
        <f>0</f>
        <v>0</v>
      </c>
      <c r="E17" s="3"/>
      <c r="F17" s="20"/>
      <c r="G17" s="3"/>
      <c r="H17" s="3">
        <f>--47978.22</f>
        <v>47978.22</v>
      </c>
      <c r="I17" s="3"/>
      <c r="J17" s="20"/>
      <c r="K17" s="3"/>
      <c r="L17" s="3">
        <f t="shared" si="0"/>
        <v>-47978.22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--428653.01</f>
        <v>428653.01</v>
      </c>
      <c r="U17" s="3"/>
      <c r="V17" s="20"/>
      <c r="W17" s="3"/>
      <c r="X17" s="3">
        <f t="shared" si="2"/>
        <v>-428653.01</v>
      </c>
      <c r="Y17" s="3"/>
      <c r="Z17" s="20">
        <f t="shared" si="3"/>
        <v>-1</v>
      </c>
    </row>
    <row r="18" spans="1:26" s="69" customFormat="1" ht="15" hidden="1" customHeight="1" outlineLevel="1" x14ac:dyDescent="0.25">
      <c r="A18" s="42"/>
      <c r="B18" s="12" t="str">
        <f>CONCATENATE("          ","4053"," - ","TAXABLE SALES-FOOD")</f>
        <v xml:space="preserve">          4053 - TAXABLE SALES-FOOD</v>
      </c>
      <c r="C18" s="12"/>
      <c r="D18" s="3">
        <f>--769.16</f>
        <v>769.16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769.16</v>
      </c>
      <c r="M18" s="3"/>
      <c r="N18" s="20">
        <f t="shared" si="1"/>
        <v>0</v>
      </c>
      <c r="O18" s="12"/>
      <c r="P18" s="3">
        <f>--26572.31</f>
        <v>26572.31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26572.31</v>
      </c>
      <c r="Y18" s="3"/>
      <c r="Z18" s="20">
        <f t="shared" si="3"/>
        <v>0</v>
      </c>
    </row>
    <row r="19" spans="1:26" s="69" customFormat="1" ht="15" hidden="1" customHeight="1" outlineLevel="1" x14ac:dyDescent="0.25">
      <c r="A19" s="42"/>
      <c r="B19" s="12" t="str">
        <f>CONCATENATE("          ","4058"," - ","TAXABLE SALES-FOOD")</f>
        <v xml:space="preserve">          4058 - TAXABLE SALES-FOOD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--974.91</f>
        <v>974.91</v>
      </c>
      <c r="U19" s="3"/>
      <c r="V19" s="20"/>
      <c r="W19" s="3"/>
      <c r="X19" s="3">
        <f t="shared" si="2"/>
        <v>-974.91</v>
      </c>
      <c r="Y19" s="3"/>
      <c r="Z19" s="20">
        <f t="shared" si="3"/>
        <v>-1</v>
      </c>
    </row>
    <row r="20" spans="1:26" s="69" customFormat="1" ht="15" hidden="1" customHeight="1" outlineLevel="1" x14ac:dyDescent="0.25">
      <c r="A20" s="42"/>
      <c r="B20" s="12" t="str">
        <f>CONCATENATE("          ","4100"," - ","NON-TAXABLE SALES")</f>
        <v xml:space="preserve">          4100 - NON-TAXABLE SALES</v>
      </c>
      <c r="C20" s="12"/>
      <c r="D20" s="3">
        <f>--72823.23</f>
        <v>72823.23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72823.23</v>
      </c>
      <c r="M20" s="3"/>
      <c r="N20" s="20">
        <f t="shared" si="1"/>
        <v>0</v>
      </c>
      <c r="O20" s="12"/>
      <c r="P20" s="3">
        <f>--420173.32</f>
        <v>420173.32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420173.32</v>
      </c>
      <c r="Y20" s="3"/>
      <c r="Z20" s="20">
        <f t="shared" si="3"/>
        <v>0</v>
      </c>
    </row>
    <row r="21" spans="1:26" s="69" customFormat="1" ht="15" hidden="1" customHeight="1" outlineLevel="1" x14ac:dyDescent="0.25">
      <c r="A21" s="42"/>
      <c r="B21" s="12" t="str">
        <f>CONCATENATE("          ","4132"," - ","NON-TAXABLE SALES-JUICE")</f>
        <v xml:space="preserve">          4132 - NON-TAXABLE SALES-JUICE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--2031.88</f>
        <v>2031.88</v>
      </c>
      <c r="U21" s="3"/>
      <c r="V21" s="20"/>
      <c r="W21" s="3"/>
      <c r="X21" s="3">
        <f t="shared" si="2"/>
        <v>-2031.88</v>
      </c>
      <c r="Y21" s="3"/>
      <c r="Z21" s="20">
        <f t="shared" si="3"/>
        <v>-1</v>
      </c>
    </row>
    <row r="22" spans="1:26" s="69" customFormat="1" ht="15" hidden="1" customHeight="1" outlineLevel="1" x14ac:dyDescent="0.25">
      <c r="A22" s="42"/>
      <c r="B22" s="12" t="str">
        <f>CONCATENATE("          ","4134"," - ","NON-TAXABLE SALES-SODA")</f>
        <v xml:space="preserve">          4134 - NON-TAXABLE SALES-SODA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0</f>
        <v>0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0</v>
      </c>
      <c r="Y22" s="3"/>
      <c r="Z22" s="20">
        <f t="shared" si="3"/>
        <v>0</v>
      </c>
    </row>
    <row r="23" spans="1:26" s="69" customFormat="1" ht="15" hidden="1" customHeight="1" outlineLevel="1" x14ac:dyDescent="0.25">
      <c r="A23" s="42"/>
      <c r="B23" s="12" t="str">
        <f>CONCATENATE("          ","4137"," - ","NON-TAXABLE SALES-WATER")</f>
        <v xml:space="preserve">          4137 - NON-TAXABLE SALES-WATER</v>
      </c>
      <c r="C23" s="12"/>
      <c r="D23" s="3">
        <f>0</f>
        <v>0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0</v>
      </c>
      <c r="M23" s="3"/>
      <c r="N23" s="20">
        <f t="shared" si="1"/>
        <v>0</v>
      </c>
      <c r="O23" s="12"/>
      <c r="P23" s="3">
        <f>0</f>
        <v>0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0</v>
      </c>
      <c r="Y23" s="3"/>
      <c r="Z23" s="20">
        <f t="shared" si="3"/>
        <v>0</v>
      </c>
    </row>
    <row r="24" spans="1:26" s="69" customFormat="1" ht="15" hidden="1" customHeight="1" outlineLevel="1" x14ac:dyDescent="0.25">
      <c r="A24" s="42"/>
      <c r="B24" s="12" t="str">
        <f>CONCATENATE("          ","4151"," - ","NON-TAXABLE SALES-FOOD")</f>
        <v xml:space="preserve">          4151 - NON-TAXABLE SALES-FOOD</v>
      </c>
      <c r="C24" s="12"/>
      <c r="D24" s="3">
        <f>--91351.68</f>
        <v>91351.679999999993</v>
      </c>
      <c r="E24" s="3"/>
      <c r="F24" s="20"/>
      <c r="G24" s="3"/>
      <c r="H24" s="3">
        <f>--6614.87</f>
        <v>6614.87</v>
      </c>
      <c r="I24" s="3"/>
      <c r="J24" s="20"/>
      <c r="K24" s="3"/>
      <c r="L24" s="3">
        <f t="shared" si="0"/>
        <v>84736.81</v>
      </c>
      <c r="M24" s="3"/>
      <c r="N24" s="20">
        <f t="shared" si="1"/>
        <v>12.810049177081334</v>
      </c>
      <c r="O24" s="12"/>
      <c r="P24" s="3">
        <f>--1138930.41</f>
        <v>1138930.4099999999</v>
      </c>
      <c r="Q24" s="3"/>
      <c r="R24" s="20"/>
      <c r="S24" s="3"/>
      <c r="T24" s="3">
        <f>--37883.27</f>
        <v>37883.269999999997</v>
      </c>
      <c r="U24" s="3"/>
      <c r="V24" s="20"/>
      <c r="W24" s="3"/>
      <c r="X24" s="3">
        <f t="shared" si="2"/>
        <v>1101047.1399999999</v>
      </c>
      <c r="Y24" s="3"/>
      <c r="Z24" s="20">
        <f t="shared" si="3"/>
        <v>29.064205386705002</v>
      </c>
    </row>
    <row r="25" spans="1:26" s="69" customFormat="1" ht="15" hidden="1" customHeight="1" outlineLevel="1" x14ac:dyDescent="0.25">
      <c r="A25" s="42"/>
      <c r="B25" s="12" t="str">
        <f>CONCATENATE("          ","4152"," - ","NON-TAXABLE SALES-FOOD")</f>
        <v xml:space="preserve">          4152 - NON-TAXABLE SALES-FOOD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--11580.95</f>
        <v>11580.95</v>
      </c>
      <c r="U25" s="3"/>
      <c r="V25" s="20"/>
      <c r="W25" s="3"/>
      <c r="X25" s="3">
        <f t="shared" si="2"/>
        <v>-11580.95</v>
      </c>
      <c r="Y25" s="3"/>
      <c r="Z25" s="20">
        <f t="shared" si="3"/>
        <v>-1</v>
      </c>
    </row>
    <row r="26" spans="1:26" s="69" customFormat="1" ht="15" hidden="1" customHeight="1" outlineLevel="1" x14ac:dyDescent="0.25">
      <c r="A26" s="42"/>
      <c r="B26" s="12" t="str">
        <f>CONCATENATE("          ","4153"," - ","NON-TAXABLE SALES-FOOD")</f>
        <v xml:space="preserve">          4153 - NON-TAXABLE SALES-FOOD</v>
      </c>
      <c r="C26" s="12"/>
      <c r="D26" s="3">
        <f>0</f>
        <v>0</v>
      </c>
      <c r="E26" s="3"/>
      <c r="F26" s="20"/>
      <c r="G26" s="3"/>
      <c r="H26" s="3">
        <f>--4</f>
        <v>4</v>
      </c>
      <c r="I26" s="3"/>
      <c r="J26" s="20"/>
      <c r="K26" s="3"/>
      <c r="L26" s="3">
        <f t="shared" si="0"/>
        <v>-4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--400.45</f>
        <v>400.45</v>
      </c>
      <c r="U26" s="3"/>
      <c r="V26" s="20"/>
      <c r="W26" s="3"/>
      <c r="X26" s="3">
        <f t="shared" si="2"/>
        <v>-400.45</v>
      </c>
      <c r="Y26" s="3"/>
      <c r="Z26" s="20">
        <f t="shared" si="3"/>
        <v>-1</v>
      </c>
    </row>
    <row r="27" spans="1:26" ht="15" customHeight="1" x14ac:dyDescent="0.25">
      <c r="A27" s="10"/>
      <c r="B27" s="11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collapsed="1" x14ac:dyDescent="0.25">
      <c r="A28" s="11"/>
      <c r="B28" s="28" t="s">
        <v>287</v>
      </c>
      <c r="C28" s="11"/>
      <c r="D28" s="5">
        <f>SUM(OSRRefD16x_0)</f>
        <v>110557.45</v>
      </c>
      <c r="E28" s="5"/>
      <c r="F28" s="13">
        <f>IF(D$12=0,0,D28/D$12)</f>
        <v>0.53833985035306731</v>
      </c>
      <c r="G28" s="5"/>
      <c r="H28" s="5">
        <f>SUM(OSRRefH16x_0)</f>
        <v>4214.1399999999994</v>
      </c>
      <c r="I28" s="5"/>
      <c r="J28" s="13">
        <f>IF(H$12=0,0,H28/H$12)</f>
        <v>6.8235513186390581E-2</v>
      </c>
      <c r="K28" s="5"/>
      <c r="L28" s="5">
        <f>+D28-H28</f>
        <v>106343.31</v>
      </c>
      <c r="M28" s="5"/>
      <c r="N28" s="13">
        <f>IF(H28=0,0,L28/H28)</f>
        <v>25.234878290707005</v>
      </c>
      <c r="O28" s="11"/>
      <c r="P28" s="5">
        <f>SUM(OSRRefP16x_0)</f>
        <v>815800.03</v>
      </c>
      <c r="Q28" s="5"/>
      <c r="R28" s="13">
        <f>IF(P$12=0,0,P28/P$12)</f>
        <v>0.40638733365150576</v>
      </c>
      <c r="S28" s="5"/>
      <c r="T28" s="5">
        <f>SUM(OSRRefT16x_0)</f>
        <v>46154.28</v>
      </c>
      <c r="U28" s="5"/>
      <c r="V28" s="13">
        <f>IF(T$12=0,0,T28/T$12)</f>
        <v>8.8545044951196153E-2</v>
      </c>
      <c r="W28" s="5"/>
      <c r="X28" s="5">
        <f>+P28-T28</f>
        <v>769645.75</v>
      </c>
      <c r="Y28" s="5"/>
      <c r="Z28" s="13">
        <f>IF(T28=0,0,X28/T28)</f>
        <v>16.675501166955698</v>
      </c>
    </row>
    <row r="29" spans="1:26" s="69" customFormat="1" ht="15" hidden="1" customHeight="1" outlineLevel="1" x14ac:dyDescent="0.25">
      <c r="A29" s="42"/>
      <c r="B29" s="12" t="str">
        <f>CONCATENATE("          ","5000"," - ","PURCHASES @ COST")</f>
        <v xml:space="preserve">          5000 - PURCHASES @ COST</v>
      </c>
      <c r="C29" s="12"/>
      <c r="D29" s="3">
        <v>0</v>
      </c>
      <c r="E29" s="3"/>
      <c r="F29" s="20">
        <f>IF(D$12=0,0,D29/D$12)</f>
        <v>0</v>
      </c>
      <c r="G29" s="3"/>
      <c r="H29" s="3"/>
      <c r="I29" s="3"/>
      <c r="J29" s="20">
        <f>IF(H$12=0,0,H29/H$12)</f>
        <v>0</v>
      </c>
      <c r="K29" s="3"/>
      <c r="L29" s="3">
        <f>+D29-H29</f>
        <v>0</v>
      </c>
      <c r="M29" s="3"/>
      <c r="N29" s="20">
        <f>IF(H29=0,0,L29/H29)</f>
        <v>0</v>
      </c>
      <c r="O29" s="12"/>
      <c r="P29" s="3">
        <v>-8062</v>
      </c>
      <c r="Q29" s="3"/>
      <c r="R29" s="20">
        <f>IF(P$12=0,0,P29/P$12)</f>
        <v>-4.0160511932053238E-3</v>
      </c>
      <c r="S29" s="3"/>
      <c r="T29" s="3"/>
      <c r="U29" s="3"/>
      <c r="V29" s="20">
        <f>IF(T$12=0,0,T29/T$12)</f>
        <v>0</v>
      </c>
      <c r="W29" s="3"/>
      <c r="X29" s="3">
        <f>+P29-T29</f>
        <v>-8062</v>
      </c>
      <c r="Y29" s="3"/>
      <c r="Z29" s="20">
        <f>IF(T29=0,0,X29/T29)</f>
        <v>0</v>
      </c>
    </row>
    <row r="30" spans="1:26" s="69" customFormat="1" ht="15" hidden="1" customHeight="1" outlineLevel="1" x14ac:dyDescent="0.25">
      <c r="A30" s="42"/>
      <c r="B30" s="12" t="str">
        <f>CONCATENATE("          ","5053"," - ","PURCHASES @ COST-FOOD")</f>
        <v xml:space="preserve">          5053 - PURCHASES @ COST-FOOD</v>
      </c>
      <c r="C30" s="12"/>
      <c r="D30" s="3">
        <v>71173.48</v>
      </c>
      <c r="E30" s="3"/>
      <c r="F30" s="20">
        <f>IF(D$12=0,0,D30/D$12)</f>
        <v>0.34656660923625704</v>
      </c>
      <c r="G30" s="3"/>
      <c r="H30" s="3">
        <v>3962.14</v>
      </c>
      <c r="I30" s="3"/>
      <c r="J30" s="20">
        <f>IF(H$12=0,0,H30/H$12)</f>
        <v>6.4155119719877737E-2</v>
      </c>
      <c r="K30" s="3"/>
      <c r="L30" s="3">
        <f>+D30-H30</f>
        <v>67211.34</v>
      </c>
      <c r="M30" s="3"/>
      <c r="N30" s="20">
        <f>IF(H30=0,0,L30/H30)</f>
        <v>16.963393519663615</v>
      </c>
      <c r="O30" s="12"/>
      <c r="P30" s="3">
        <v>550792.88</v>
      </c>
      <c r="Q30" s="3"/>
      <c r="R30" s="20">
        <f>IF(P$12=0,0,P30/P$12)</f>
        <v>0.27437514300831023</v>
      </c>
      <c r="S30" s="3"/>
      <c r="T30" s="3">
        <v>9628.2800000000007</v>
      </c>
      <c r="U30" s="3"/>
      <c r="V30" s="20">
        <f>IF(T$12=0,0,T30/T$12)</f>
        <v>1.847145021875984E-2</v>
      </c>
      <c r="W30" s="3"/>
      <c r="X30" s="3">
        <f>+P30-T30</f>
        <v>541164.6</v>
      </c>
      <c r="Y30" s="3"/>
      <c r="Z30" s="20">
        <f>IF(T30=0,0,X30/T30)</f>
        <v>56.205739758295351</v>
      </c>
    </row>
    <row r="31" spans="1:26" s="69" customFormat="1" ht="15" hidden="1" customHeight="1" outlineLevel="1" x14ac:dyDescent="0.25">
      <c r="A31" s="42"/>
      <c r="B31" s="12" t="str">
        <f>CONCATENATE("          ","5059"," - ","PURCHASES @ COST-FOOD")</f>
        <v xml:space="preserve">          5059 - PURCHASES @ COST-FOOD</v>
      </c>
      <c r="C31" s="12"/>
      <c r="D31" s="3">
        <v>39383.97</v>
      </c>
      <c r="E31" s="3"/>
      <c r="F31" s="20">
        <f>IF(D$12=0,0,D31/D$12)</f>
        <v>0.19177324111681024</v>
      </c>
      <c r="G31" s="3"/>
      <c r="H31" s="3">
        <v>252</v>
      </c>
      <c r="I31" s="3"/>
      <c r="J31" s="20">
        <f>IF(H$12=0,0,H31/H$12)</f>
        <v>4.0803934665128421E-3</v>
      </c>
      <c r="K31" s="3"/>
      <c r="L31" s="3">
        <f>+D31-H31</f>
        <v>39131.97</v>
      </c>
      <c r="M31" s="3"/>
      <c r="N31" s="20">
        <f>IF(H31=0,0,L31/H31)</f>
        <v>155.28559523809525</v>
      </c>
      <c r="O31" s="12"/>
      <c r="P31" s="3">
        <v>273069.15000000002</v>
      </c>
      <c r="Q31" s="3"/>
      <c r="R31" s="20">
        <f>IF(P$12=0,0,P31/P$12)</f>
        <v>0.13602824183640086</v>
      </c>
      <c r="S31" s="3"/>
      <c r="T31" s="3">
        <v>36526</v>
      </c>
      <c r="U31" s="3"/>
      <c r="V31" s="20">
        <f>IF(T$12=0,0,T31/T$12)</f>
        <v>7.0073594732436309E-2</v>
      </c>
      <c r="W31" s="3"/>
      <c r="X31" s="3">
        <f>+P31-T31</f>
        <v>236543.15000000002</v>
      </c>
      <c r="Y31" s="3"/>
      <c r="Z31" s="20">
        <f>IF(T31=0,0,X31/T31)</f>
        <v>6.4760211903849321</v>
      </c>
    </row>
    <row r="32" spans="1:26" ht="15" customHeight="1" x14ac:dyDescent="0.25">
      <c r="A32" s="10"/>
      <c r="B32" s="11"/>
      <c r="C32" s="11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O32" s="11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11"/>
      <c r="B33" s="27" t="s">
        <v>288</v>
      </c>
      <c r="C33" s="27"/>
      <c r="D33" s="22">
        <f>D12-D28</f>
        <v>94809.939999999988</v>
      </c>
      <c r="E33" s="15"/>
      <c r="F33" s="23">
        <f>IF(D$12=0,0,D33/D$12)</f>
        <v>0.46166014964693275</v>
      </c>
      <c r="G33" s="15"/>
      <c r="H33" s="22">
        <f>H12-H28</f>
        <v>57544.610000000008</v>
      </c>
      <c r="I33" s="15"/>
      <c r="J33" s="23">
        <f>IF(H$12=0,0,H33/H$12)</f>
        <v>0.93176448681360946</v>
      </c>
      <c r="K33" s="16"/>
      <c r="L33" s="22">
        <f>+D33-H33</f>
        <v>37265.32999999998</v>
      </c>
      <c r="M33" s="16"/>
      <c r="N33" s="23">
        <f>IF(H33=0,0,L33/H33)</f>
        <v>0.6475902782206705</v>
      </c>
      <c r="O33" s="28"/>
      <c r="P33" s="22">
        <f>P12-P28</f>
        <v>1191644.4999999998</v>
      </c>
      <c r="Q33" s="15"/>
      <c r="R33" s="23">
        <f>IF(P$12=0,0,P33/P$12)</f>
        <v>0.5936126663484943</v>
      </c>
      <c r="S33" s="15"/>
      <c r="T33" s="22">
        <f>T12-T28</f>
        <v>475097.70000000007</v>
      </c>
      <c r="U33" s="15"/>
      <c r="V33" s="23">
        <f>IF(T$12=0,0,T33/T$12)</f>
        <v>0.91145495504880392</v>
      </c>
      <c r="W33" s="16"/>
      <c r="X33" s="22">
        <f>+P33-T33</f>
        <v>716546.7999999997</v>
      </c>
      <c r="Y33" s="16"/>
      <c r="Z33" s="23">
        <f>IF(T33=0,0,X33/T33)</f>
        <v>1.5082093640950054</v>
      </c>
    </row>
    <row r="34" spans="1:26" ht="15" customHeight="1" x14ac:dyDescent="0.25">
      <c r="A34" s="10"/>
      <c r="B34" s="11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3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62" customFormat="1" ht="15" customHeight="1" x14ac:dyDescent="0.25">
      <c r="A35" s="11"/>
      <c r="B35" s="28" t="s">
        <v>289</v>
      </c>
      <c r="C35" s="11"/>
      <c r="D35" s="21" cm="1">
        <f t="array" ref="D35">SUM(OSRRefD22x_0)</f>
        <v>268782.52999999997</v>
      </c>
      <c r="E35" s="21"/>
      <c r="F35" s="31">
        <f t="shared" ref="F35:F66" si="4">IF(D$12=0,0,D35/D$12)</f>
        <v>1.3087887517098016</v>
      </c>
      <c r="G35" s="21"/>
      <c r="H35" s="21" cm="1">
        <f t="array" ref="H35">SUM(OSRRefH22x_0)</f>
        <v>134612.78000000003</v>
      </c>
      <c r="I35" s="21"/>
      <c r="J35" s="31">
        <f t="shared" ref="J35:J66" si="5">IF(H$12=0,0,H35/H$12)</f>
        <v>2.1796551905600423</v>
      </c>
      <c r="K35" s="5"/>
      <c r="L35" s="21">
        <f t="shared" ref="L35:L66" si="6">+D35-H35</f>
        <v>134169.74999999994</v>
      </c>
      <c r="M35" s="5"/>
      <c r="N35" s="31">
        <f t="shared" ref="N35:N66" si="7">IF(H35=0,0,L35/H35)</f>
        <v>0.99670885632107076</v>
      </c>
      <c r="O35" s="11"/>
      <c r="P35" s="21" cm="1">
        <f t="array" ref="P35">SUM(OSRRefP22x_0)</f>
        <v>2490254.4800000009</v>
      </c>
      <c r="Q35" s="21"/>
      <c r="R35" s="31">
        <f t="shared" ref="R35:R66" si="8">IF(P$12=0,0,P35/P$12)</f>
        <v>1.2405097340348434</v>
      </c>
      <c r="S35" s="21"/>
      <c r="T35" s="21" cm="1">
        <f t="array" ref="T35">SUM(OSRRefT22x_0)</f>
        <v>1481759.5700000005</v>
      </c>
      <c r="U35" s="21"/>
      <c r="V35" s="31">
        <f t="shared" ref="V35:V66" si="9">IF(T$12=0,0,T35/T$12)</f>
        <v>2.8426934128864132</v>
      </c>
      <c r="W35" s="5"/>
      <c r="X35" s="21">
        <f t="shared" ref="X35:X66" si="10">+P35-T35</f>
        <v>1008494.9100000004</v>
      </c>
      <c r="Y35" s="5"/>
      <c r="Z35" s="31">
        <f t="shared" ref="Z35:Z66" si="11">IF(T35=0,0,X35/T35)</f>
        <v>0.68060630781011255</v>
      </c>
    </row>
    <row r="36" spans="1:26" s="68" customFormat="1" ht="15" customHeight="1" outlineLevel="1" collapsed="1" x14ac:dyDescent="0.25">
      <c r="A36" s="26"/>
      <c r="B36" s="14" t="str">
        <f>CONCATENATE("     ","*Benefits                                         ")</f>
        <v xml:space="preserve">     *Benefits                                         </v>
      </c>
      <c r="C36" s="14"/>
      <c r="D36" s="2">
        <f>SUM(OSRRefD22_0x_0)</f>
        <v>33388.299999999996</v>
      </c>
      <c r="E36" s="2"/>
      <c r="F36" s="6">
        <f t="shared" si="4"/>
        <v>0.16257839182744641</v>
      </c>
      <c r="G36" s="2"/>
      <c r="H36" s="2">
        <f>SUM(OSRRefH22_0x_0)</f>
        <v>19280.190000000002</v>
      </c>
      <c r="I36" s="2"/>
      <c r="J36" s="6">
        <f t="shared" si="5"/>
        <v>0.31218556075050097</v>
      </c>
      <c r="K36" s="2"/>
      <c r="L36" s="2">
        <f t="shared" si="6"/>
        <v>14108.109999999993</v>
      </c>
      <c r="M36" s="2"/>
      <c r="N36" s="6">
        <f t="shared" si="7"/>
        <v>0.73174123284054726</v>
      </c>
      <c r="O36" s="14"/>
      <c r="P36" s="2">
        <f>SUM(OSRRefP22_0x_0)</f>
        <v>373876.61</v>
      </c>
      <c r="Q36" s="2"/>
      <c r="R36" s="6">
        <f t="shared" si="8"/>
        <v>0.18624505156314333</v>
      </c>
      <c r="S36" s="2"/>
      <c r="T36" s="2">
        <f>SUM(OSRRefT22_0x_0)</f>
        <v>263146.38999999996</v>
      </c>
      <c r="U36" s="2"/>
      <c r="V36" s="6">
        <f t="shared" si="9"/>
        <v>0.50483528139307965</v>
      </c>
      <c r="W36" s="2"/>
      <c r="X36" s="2">
        <f t="shared" si="10"/>
        <v>110730.22000000003</v>
      </c>
      <c r="Y36" s="2"/>
      <c r="Z36" s="6">
        <f t="shared" si="11"/>
        <v>0.42079323223852722</v>
      </c>
    </row>
    <row r="37" spans="1:26" s="69" customFormat="1" ht="15" hidden="1" customHeight="1" outlineLevel="2" x14ac:dyDescent="0.25">
      <c r="A37" s="25"/>
      <c r="B37" s="12" t="str">
        <f>CONCATENATE("          ","6111"," - ","F.I.C.A.")</f>
        <v xml:space="preserve">          6111 - F.I.C.A.</v>
      </c>
      <c r="C37" s="12"/>
      <c r="D37" s="7">
        <v>5498.27</v>
      </c>
      <c r="E37" s="3"/>
      <c r="F37" s="8">
        <f t="shared" si="4"/>
        <v>2.677284840597137E-2</v>
      </c>
      <c r="G37" s="3"/>
      <c r="H37" s="7">
        <v>2396.2199999999998</v>
      </c>
      <c r="I37" s="3"/>
      <c r="J37" s="8">
        <f t="shared" si="5"/>
        <v>3.8799684255267468E-2</v>
      </c>
      <c r="K37" s="3"/>
      <c r="L37" s="7">
        <f t="shared" si="6"/>
        <v>3102.0500000000006</v>
      </c>
      <c r="M37" s="3"/>
      <c r="N37" s="8">
        <f t="shared" si="7"/>
        <v>1.2945597649631506</v>
      </c>
      <c r="O37" s="12"/>
      <c r="P37" s="7">
        <v>58697.72</v>
      </c>
      <c r="Q37" s="3"/>
      <c r="R37" s="8">
        <f t="shared" si="8"/>
        <v>2.9240020893628382E-2</v>
      </c>
      <c r="S37" s="3"/>
      <c r="T37" s="7">
        <v>31891.19</v>
      </c>
      <c r="U37" s="3"/>
      <c r="V37" s="8">
        <f t="shared" si="9"/>
        <v>6.1181906685515125E-2</v>
      </c>
      <c r="W37" s="3"/>
      <c r="X37" s="7">
        <f t="shared" si="10"/>
        <v>26806.530000000002</v>
      </c>
      <c r="Y37" s="3"/>
      <c r="Z37" s="8">
        <f t="shared" si="11"/>
        <v>0.8405622367807537</v>
      </c>
    </row>
    <row r="38" spans="1:26" s="69" customFormat="1" ht="15" hidden="1" customHeight="1" outlineLevel="2" x14ac:dyDescent="0.25">
      <c r="A38" s="25"/>
      <c r="B38" s="12" t="str">
        <f>CONCATENATE("          ","6112"," - ","COMPENSATION INSURANCE")</f>
        <v xml:space="preserve">          6112 - COMPENSATION INSURANCE</v>
      </c>
      <c r="C38" s="12"/>
      <c r="D38" s="7">
        <v>4498.29</v>
      </c>
      <c r="E38" s="3"/>
      <c r="F38" s="8">
        <f t="shared" si="4"/>
        <v>2.1903623549970618E-2</v>
      </c>
      <c r="G38" s="3"/>
      <c r="H38" s="7">
        <v>920.55</v>
      </c>
      <c r="I38" s="3"/>
      <c r="J38" s="8">
        <f t="shared" si="5"/>
        <v>1.4905580180946017E-2</v>
      </c>
      <c r="K38" s="3"/>
      <c r="L38" s="7">
        <f t="shared" si="6"/>
        <v>3577.74</v>
      </c>
      <c r="M38" s="3"/>
      <c r="N38" s="8">
        <f t="shared" si="7"/>
        <v>3.8865243604366952</v>
      </c>
      <c r="O38" s="12"/>
      <c r="P38" s="7">
        <v>28300.07</v>
      </c>
      <c r="Q38" s="3"/>
      <c r="R38" s="8">
        <f t="shared" si="8"/>
        <v>1.409756014528581E-2</v>
      </c>
      <c r="S38" s="3"/>
      <c r="T38" s="7">
        <v>8765.76</v>
      </c>
      <c r="U38" s="3"/>
      <c r="V38" s="8">
        <f t="shared" si="9"/>
        <v>1.6816741875973304E-2</v>
      </c>
      <c r="W38" s="3"/>
      <c r="X38" s="7">
        <f t="shared" si="10"/>
        <v>19534.309999999998</v>
      </c>
      <c r="Y38" s="3"/>
      <c r="Z38" s="8">
        <f t="shared" si="11"/>
        <v>2.2284787628226188</v>
      </c>
    </row>
    <row r="39" spans="1:26" s="69" customFormat="1" ht="15" hidden="1" customHeight="1" outlineLevel="2" x14ac:dyDescent="0.25">
      <c r="A39" s="25"/>
      <c r="B39" s="12" t="str">
        <f>CONCATENATE("          ","6113"," - ","GROUP INSURANCE")</f>
        <v xml:space="preserve">          6113 - GROUP INSURANCE</v>
      </c>
      <c r="C39" s="12"/>
      <c r="D39" s="7">
        <v>13094.96</v>
      </c>
      <c r="E39" s="3"/>
      <c r="F39" s="8">
        <f t="shared" si="4"/>
        <v>6.3763579991935423E-2</v>
      </c>
      <c r="G39" s="3"/>
      <c r="H39" s="7">
        <v>8554.93</v>
      </c>
      <c r="I39" s="3"/>
      <c r="J39" s="8">
        <f t="shared" si="5"/>
        <v>0.13852174793045519</v>
      </c>
      <c r="K39" s="3"/>
      <c r="L39" s="7">
        <f t="shared" si="6"/>
        <v>4540.0299999999988</v>
      </c>
      <c r="M39" s="3"/>
      <c r="N39" s="8">
        <f t="shared" si="7"/>
        <v>0.53069165966290766</v>
      </c>
      <c r="O39" s="12"/>
      <c r="P39" s="7">
        <v>145906.71</v>
      </c>
      <c r="Q39" s="3"/>
      <c r="R39" s="8">
        <f t="shared" si="8"/>
        <v>7.2682810319047775E-2</v>
      </c>
      <c r="S39" s="3"/>
      <c r="T39" s="7">
        <v>121774.22</v>
      </c>
      <c r="U39" s="3"/>
      <c r="V39" s="8">
        <f t="shared" si="9"/>
        <v>0.23361871929963698</v>
      </c>
      <c r="W39" s="3"/>
      <c r="X39" s="7">
        <f t="shared" si="10"/>
        <v>24132.489999999991</v>
      </c>
      <c r="Y39" s="3"/>
      <c r="Z39" s="8">
        <f t="shared" si="11"/>
        <v>0.19817404701914731</v>
      </c>
    </row>
    <row r="40" spans="1:26" s="69" customFormat="1" ht="15" hidden="1" customHeight="1" outlineLevel="2" x14ac:dyDescent="0.25">
      <c r="A40" s="25"/>
      <c r="B40" s="12" t="str">
        <f>CONCATENATE("          ","6114"," - ","STATE UNEMPLOYMENT INSURANCE")</f>
        <v xml:space="preserve">          6114 - STATE UNEMPLOYMENT INSURANCE</v>
      </c>
      <c r="C40" s="12"/>
      <c r="D40" s="7">
        <v>427.51</v>
      </c>
      <c r="E40" s="3"/>
      <c r="F40" s="8">
        <f t="shared" si="4"/>
        <v>2.0816839518679182E-3</v>
      </c>
      <c r="G40" s="3"/>
      <c r="H40" s="7">
        <v>118.49</v>
      </c>
      <c r="I40" s="3"/>
      <c r="J40" s="8">
        <f t="shared" si="5"/>
        <v>1.918594531139312E-3</v>
      </c>
      <c r="K40" s="3"/>
      <c r="L40" s="7">
        <f t="shared" si="6"/>
        <v>309.02</v>
      </c>
      <c r="M40" s="3"/>
      <c r="N40" s="8">
        <f t="shared" si="7"/>
        <v>2.6079837961009367</v>
      </c>
      <c r="O40" s="12"/>
      <c r="P40" s="7">
        <v>2634.44</v>
      </c>
      <c r="Q40" s="3"/>
      <c r="R40" s="8">
        <f t="shared" si="8"/>
        <v>1.3123351408369927E-3</v>
      </c>
      <c r="S40" s="3"/>
      <c r="T40" s="7">
        <v>1162.6099999999999</v>
      </c>
      <c r="U40" s="3"/>
      <c r="V40" s="8">
        <f t="shared" si="9"/>
        <v>2.230418386132557E-3</v>
      </c>
      <c r="W40" s="3"/>
      <c r="X40" s="7">
        <f t="shared" si="10"/>
        <v>1471.8300000000002</v>
      </c>
      <c r="Y40" s="3"/>
      <c r="Z40" s="8">
        <f t="shared" si="11"/>
        <v>1.2659705318206451</v>
      </c>
    </row>
    <row r="41" spans="1:26" s="69" customFormat="1" ht="15" hidden="1" customHeight="1" outlineLevel="2" x14ac:dyDescent="0.25">
      <c r="A41" s="25"/>
      <c r="B41" s="12" t="str">
        <f>CONCATENATE("          ","6115"," - ","P.E.R.S.")</f>
        <v xml:space="preserve">          6115 - P.E.R.S.</v>
      </c>
      <c r="C41" s="12"/>
      <c r="D41" s="7">
        <v>2880.14</v>
      </c>
      <c r="E41" s="3"/>
      <c r="F41" s="8">
        <f t="shared" si="4"/>
        <v>1.402432976335727E-2</v>
      </c>
      <c r="G41" s="3"/>
      <c r="H41" s="7">
        <v>2783.65</v>
      </c>
      <c r="I41" s="3"/>
      <c r="J41" s="8">
        <f t="shared" si="5"/>
        <v>4.5072965369279655E-2</v>
      </c>
      <c r="K41" s="3"/>
      <c r="L41" s="7">
        <f t="shared" si="6"/>
        <v>96.489999999999782</v>
      </c>
      <c r="M41" s="3"/>
      <c r="N41" s="8">
        <f t="shared" si="7"/>
        <v>3.4663122159754201E-2</v>
      </c>
      <c r="O41" s="12"/>
      <c r="P41" s="7">
        <v>40187.120000000003</v>
      </c>
      <c r="Q41" s="3"/>
      <c r="R41" s="8">
        <f t="shared" si="8"/>
        <v>2.0019043813878139E-2</v>
      </c>
      <c r="S41" s="3"/>
      <c r="T41" s="7">
        <v>40740.129999999997</v>
      </c>
      <c r="U41" s="3"/>
      <c r="V41" s="8">
        <f t="shared" si="9"/>
        <v>7.8158225892974054E-2</v>
      </c>
      <c r="W41" s="3"/>
      <c r="X41" s="7">
        <f t="shared" si="10"/>
        <v>-553.00999999999476</v>
      </c>
      <c r="Y41" s="3"/>
      <c r="Z41" s="8">
        <f t="shared" si="11"/>
        <v>-1.3574085306060506E-2</v>
      </c>
    </row>
    <row r="42" spans="1:26" s="69" customFormat="1" ht="15" hidden="1" customHeight="1" outlineLevel="2" x14ac:dyDescent="0.25">
      <c r="A42" s="25"/>
      <c r="B42" s="12" t="str">
        <f>CONCATENATE("          ","6117"," - ","RETIREMENT STAFF HOURLY")</f>
        <v xml:space="preserve">          6117 - RETIREMENT STAFF HOURLY</v>
      </c>
      <c r="C42" s="12"/>
      <c r="D42" s="7">
        <v>301.16000000000003</v>
      </c>
      <c r="E42" s="3"/>
      <c r="F42" s="8">
        <f t="shared" si="4"/>
        <v>1.4664450865349171E-3</v>
      </c>
      <c r="G42" s="3"/>
      <c r="H42" s="7"/>
      <c r="I42" s="3"/>
      <c r="J42" s="8">
        <f t="shared" si="5"/>
        <v>0</v>
      </c>
      <c r="K42" s="3"/>
      <c r="L42" s="7">
        <f t="shared" si="6"/>
        <v>301.16000000000003</v>
      </c>
      <c r="M42" s="3"/>
      <c r="N42" s="8">
        <f t="shared" si="7"/>
        <v>0</v>
      </c>
      <c r="O42" s="12"/>
      <c r="P42" s="7">
        <v>1462.74</v>
      </c>
      <c r="Q42" s="3"/>
      <c r="R42" s="8">
        <f t="shared" si="8"/>
        <v>7.2865774278704483E-4</v>
      </c>
      <c r="S42" s="3"/>
      <c r="T42" s="7"/>
      <c r="U42" s="3"/>
      <c r="V42" s="8">
        <f t="shared" si="9"/>
        <v>0</v>
      </c>
      <c r="W42" s="3"/>
      <c r="X42" s="7">
        <f t="shared" si="10"/>
        <v>1462.74</v>
      </c>
      <c r="Y42" s="3"/>
      <c r="Z42" s="8">
        <f t="shared" si="11"/>
        <v>0</v>
      </c>
    </row>
    <row r="43" spans="1:26" s="69" customFormat="1" ht="15" hidden="1" customHeight="1" outlineLevel="2" x14ac:dyDescent="0.25">
      <c r="A43" s="25"/>
      <c r="B43" s="12" t="str">
        <f>CONCATENATE("          ","6118"," - ","VACATION")</f>
        <v xml:space="preserve">          6118 - VACATION</v>
      </c>
      <c r="C43" s="12"/>
      <c r="D43" s="7">
        <v>2908.38</v>
      </c>
      <c r="E43" s="3"/>
      <c r="F43" s="8">
        <f t="shared" si="4"/>
        <v>1.4161839423483934E-2</v>
      </c>
      <c r="G43" s="3"/>
      <c r="H43" s="7">
        <v>2462.92</v>
      </c>
      <c r="I43" s="3"/>
      <c r="J43" s="8">
        <f t="shared" si="5"/>
        <v>3.987969316088813E-2</v>
      </c>
      <c r="K43" s="3"/>
      <c r="L43" s="7">
        <f t="shared" si="6"/>
        <v>445.46000000000004</v>
      </c>
      <c r="M43" s="3"/>
      <c r="N43" s="8">
        <f t="shared" si="7"/>
        <v>0.18086661361310966</v>
      </c>
      <c r="O43" s="12"/>
      <c r="P43" s="7">
        <v>41659.440000000002</v>
      </c>
      <c r="Q43" s="3"/>
      <c r="R43" s="8">
        <f t="shared" si="8"/>
        <v>2.0752473793136394E-2</v>
      </c>
      <c r="S43" s="3"/>
      <c r="T43" s="7">
        <v>32978.22</v>
      </c>
      <c r="U43" s="3"/>
      <c r="V43" s="8">
        <f t="shared" si="9"/>
        <v>6.3267328020509384E-2</v>
      </c>
      <c r="W43" s="3"/>
      <c r="X43" s="7">
        <f t="shared" si="10"/>
        <v>8681.2200000000012</v>
      </c>
      <c r="Y43" s="3"/>
      <c r="Z43" s="8">
        <f t="shared" si="11"/>
        <v>0.26324101179505749</v>
      </c>
    </row>
    <row r="44" spans="1:26" s="69" customFormat="1" ht="15" hidden="1" customHeight="1" outlineLevel="2" x14ac:dyDescent="0.25">
      <c r="A44" s="25"/>
      <c r="B44" s="12" t="str">
        <f>CONCATENATE("          ","6119"," - ","SICK LEAVE")</f>
        <v xml:space="preserve">          6119 - SICK LEAVE</v>
      </c>
      <c r="C44" s="12"/>
      <c r="D44" s="7">
        <v>2080.96</v>
      </c>
      <c r="E44" s="3"/>
      <c r="F44" s="8">
        <f t="shared" si="4"/>
        <v>1.0132864813639595E-2</v>
      </c>
      <c r="G44" s="3"/>
      <c r="H44" s="7">
        <v>1382.86</v>
      </c>
      <c r="I44" s="3"/>
      <c r="J44" s="8">
        <f t="shared" si="5"/>
        <v>2.2391321067864872E-2</v>
      </c>
      <c r="K44" s="3"/>
      <c r="L44" s="7">
        <f t="shared" si="6"/>
        <v>698.10000000000014</v>
      </c>
      <c r="M44" s="3"/>
      <c r="N44" s="8">
        <f t="shared" si="7"/>
        <v>0.50482333714186556</v>
      </c>
      <c r="O44" s="12"/>
      <c r="P44" s="7">
        <v>35346.94</v>
      </c>
      <c r="Q44" s="3"/>
      <c r="R44" s="8">
        <f t="shared" si="8"/>
        <v>1.760792862356202E-2</v>
      </c>
      <c r="S44" s="3"/>
      <c r="T44" s="7">
        <v>19412.47</v>
      </c>
      <c r="U44" s="3"/>
      <c r="V44" s="8">
        <f t="shared" si="9"/>
        <v>3.7242007215013362E-2</v>
      </c>
      <c r="W44" s="3"/>
      <c r="X44" s="7">
        <f t="shared" si="10"/>
        <v>15934.470000000001</v>
      </c>
      <c r="Y44" s="3"/>
      <c r="Z44" s="8">
        <f t="shared" si="11"/>
        <v>0.82083681262611097</v>
      </c>
    </row>
    <row r="45" spans="1:26" s="69" customFormat="1" ht="15" hidden="1" customHeight="1" outlineLevel="2" x14ac:dyDescent="0.25">
      <c r="A45" s="25"/>
      <c r="B45" s="12" t="str">
        <f>CONCATENATE("          ","6156"," - ","EMPLOYEE MEALS")</f>
        <v xml:space="preserve">          6156 - EMPLOYEE MEALS</v>
      </c>
      <c r="C45" s="12"/>
      <c r="D45" s="7">
        <v>1698.63</v>
      </c>
      <c r="E45" s="3"/>
      <c r="F45" s="8">
        <f t="shared" si="4"/>
        <v>8.2711768406853702E-3</v>
      </c>
      <c r="G45" s="3"/>
      <c r="H45" s="7">
        <v>660.57</v>
      </c>
      <c r="I45" s="3"/>
      <c r="J45" s="8">
        <f t="shared" si="5"/>
        <v>1.0695974254660271E-2</v>
      </c>
      <c r="K45" s="3"/>
      <c r="L45" s="7">
        <f t="shared" si="6"/>
        <v>1038.06</v>
      </c>
      <c r="M45" s="3"/>
      <c r="N45" s="8">
        <f t="shared" si="7"/>
        <v>1.5714610109450926</v>
      </c>
      <c r="O45" s="12"/>
      <c r="P45" s="7">
        <v>19681.43</v>
      </c>
      <c r="Q45" s="3"/>
      <c r="R45" s="8">
        <f t="shared" si="8"/>
        <v>9.8042210909807821E-3</v>
      </c>
      <c r="S45" s="3"/>
      <c r="T45" s="7">
        <v>6421.79</v>
      </c>
      <c r="U45" s="3"/>
      <c r="V45" s="8">
        <f t="shared" si="9"/>
        <v>1.2319934017324979E-2</v>
      </c>
      <c r="W45" s="3"/>
      <c r="X45" s="7">
        <f t="shared" si="10"/>
        <v>13259.64</v>
      </c>
      <c r="Y45" s="3"/>
      <c r="Z45" s="8">
        <f t="shared" si="11"/>
        <v>2.0647887894185266</v>
      </c>
    </row>
    <row r="46" spans="1:26" s="68" customFormat="1" ht="15" customHeight="1" outlineLevel="1" collapsed="1" x14ac:dyDescent="0.25">
      <c r="A46" s="26"/>
      <c r="B46" s="14" t="str">
        <f>CONCATENATE("     ","*Payroll                                          ")</f>
        <v xml:space="preserve">     *Payroll                                          </v>
      </c>
      <c r="C46" s="14"/>
      <c r="D46" s="2">
        <f>SUM(OSRRefD22_1x_0)</f>
        <v>85864.599999999991</v>
      </c>
      <c r="E46" s="2"/>
      <c r="F46" s="6">
        <f t="shared" si="4"/>
        <v>0.41810240661869441</v>
      </c>
      <c r="G46" s="2"/>
      <c r="H46" s="2">
        <f>SUM(OSRRefH22_1x_0)</f>
        <v>26587.039999999994</v>
      </c>
      <c r="I46" s="2"/>
      <c r="J46" s="6">
        <f t="shared" si="5"/>
        <v>0.43049835043617285</v>
      </c>
      <c r="K46" s="2"/>
      <c r="L46" s="2">
        <f t="shared" si="6"/>
        <v>59277.56</v>
      </c>
      <c r="M46" s="2"/>
      <c r="N46" s="6">
        <f t="shared" si="7"/>
        <v>2.2295659840283091</v>
      </c>
      <c r="O46" s="14"/>
      <c r="P46" s="2">
        <f>SUM(OSRRefP22_1x_0)</f>
        <v>957266.37</v>
      </c>
      <c r="Q46" s="2"/>
      <c r="R46" s="6">
        <f t="shared" si="8"/>
        <v>0.47685819244031619</v>
      </c>
      <c r="S46" s="2"/>
      <c r="T46" s="2">
        <f>SUM(OSRRefT22_1x_0)</f>
        <v>361474.98000000004</v>
      </c>
      <c r="U46" s="2"/>
      <c r="V46" s="6">
        <f t="shared" si="9"/>
        <v>0.69347454565064681</v>
      </c>
      <c r="W46" s="2"/>
      <c r="X46" s="2">
        <f t="shared" si="10"/>
        <v>595791.3899999999</v>
      </c>
      <c r="Y46" s="2"/>
      <c r="Z46" s="6">
        <f t="shared" si="11"/>
        <v>1.6482230388393682</v>
      </c>
    </row>
    <row r="47" spans="1:26" s="69" customFormat="1" ht="15" hidden="1" customHeight="1" outlineLevel="2" x14ac:dyDescent="0.25">
      <c r="A47" s="25"/>
      <c r="B47" s="12" t="str">
        <f>CONCATENATE("          ","6001"," - ","ADMINISTRATIVE SALARIES")</f>
        <v xml:space="preserve">          6001 - ADMINISTRATIVE SALARIES</v>
      </c>
      <c r="C47" s="12"/>
      <c r="D47" s="7">
        <v>10360.85</v>
      </c>
      <c r="E47" s="3"/>
      <c r="F47" s="8">
        <f t="shared" si="4"/>
        <v>5.0450317355642496E-2</v>
      </c>
      <c r="G47" s="3"/>
      <c r="H47" s="7">
        <v>8301.9599999999991</v>
      </c>
      <c r="I47" s="3"/>
      <c r="J47" s="8">
        <f t="shared" si="5"/>
        <v>0.13442564818750377</v>
      </c>
      <c r="K47" s="3"/>
      <c r="L47" s="7">
        <f t="shared" si="6"/>
        <v>2058.8900000000012</v>
      </c>
      <c r="M47" s="3"/>
      <c r="N47" s="8">
        <f t="shared" si="7"/>
        <v>0.24800047217765461</v>
      </c>
      <c r="O47" s="12"/>
      <c r="P47" s="7">
        <v>123156.88</v>
      </c>
      <c r="Q47" s="3"/>
      <c r="R47" s="8">
        <f t="shared" si="8"/>
        <v>6.1350078749124896E-2</v>
      </c>
      <c r="S47" s="3"/>
      <c r="T47" s="7">
        <v>119358.13</v>
      </c>
      <c r="U47" s="3"/>
      <c r="V47" s="8">
        <f t="shared" si="9"/>
        <v>0.22898355225432429</v>
      </c>
      <c r="W47" s="3"/>
      <c r="X47" s="7">
        <f t="shared" si="10"/>
        <v>3798.75</v>
      </c>
      <c r="Y47" s="3"/>
      <c r="Z47" s="8">
        <f t="shared" si="11"/>
        <v>3.1826487227975167E-2</v>
      </c>
    </row>
    <row r="48" spans="1:26" s="69" customFormat="1" ht="15" hidden="1" customHeight="1" outlineLevel="2" x14ac:dyDescent="0.25">
      <c r="A48" s="25"/>
      <c r="B48" s="12" t="str">
        <f>CONCATENATE("          ","6002"," - ","STAFF SALARIES")</f>
        <v xml:space="preserve">          6002 - STAFF SALARIES</v>
      </c>
      <c r="C48" s="12"/>
      <c r="D48" s="7">
        <v>17770.849999999999</v>
      </c>
      <c r="E48" s="3"/>
      <c r="F48" s="8">
        <f t="shared" si="4"/>
        <v>8.653199517216438E-2</v>
      </c>
      <c r="G48" s="3"/>
      <c r="H48" s="7">
        <v>14361.06</v>
      </c>
      <c r="I48" s="3"/>
      <c r="J48" s="8">
        <f t="shared" si="5"/>
        <v>0.23253482300078931</v>
      </c>
      <c r="K48" s="3"/>
      <c r="L48" s="7">
        <f t="shared" si="6"/>
        <v>3409.7899999999991</v>
      </c>
      <c r="M48" s="3"/>
      <c r="N48" s="8">
        <f t="shared" si="7"/>
        <v>0.23743303070943225</v>
      </c>
      <c r="O48" s="12"/>
      <c r="P48" s="7">
        <v>265815.36</v>
      </c>
      <c r="Q48" s="3"/>
      <c r="R48" s="8">
        <f t="shared" si="8"/>
        <v>0.13241479703551262</v>
      </c>
      <c r="S48" s="3"/>
      <c r="T48" s="7">
        <v>204042.77</v>
      </c>
      <c r="U48" s="3"/>
      <c r="V48" s="8">
        <f t="shared" si="9"/>
        <v>0.3914474722954529</v>
      </c>
      <c r="W48" s="3"/>
      <c r="X48" s="7">
        <f t="shared" si="10"/>
        <v>61772.59</v>
      </c>
      <c r="Y48" s="3"/>
      <c r="Z48" s="8">
        <f t="shared" si="11"/>
        <v>0.30274334150629301</v>
      </c>
    </row>
    <row r="49" spans="1:26" s="69" customFormat="1" ht="15" hidden="1" customHeight="1" outlineLevel="2" x14ac:dyDescent="0.25">
      <c r="A49" s="25"/>
      <c r="B49" s="12" t="str">
        <f>CONCATENATE("          ","6004"," - ","STAFF HOURLY")</f>
        <v xml:space="preserve">          6004 - STAFF HOURLY</v>
      </c>
      <c r="C49" s="12"/>
      <c r="D49" s="7">
        <v>10560.04</v>
      </c>
      <c r="E49" s="3"/>
      <c r="F49" s="8">
        <f t="shared" si="4"/>
        <v>5.1420237653115236E-2</v>
      </c>
      <c r="G49" s="3"/>
      <c r="H49" s="7">
        <v>2883.67</v>
      </c>
      <c r="I49" s="3"/>
      <c r="J49" s="8">
        <f t="shared" si="5"/>
        <v>4.6692492966583676E-2</v>
      </c>
      <c r="K49" s="3"/>
      <c r="L49" s="7">
        <f t="shared" si="6"/>
        <v>7676.3700000000008</v>
      </c>
      <c r="M49" s="3"/>
      <c r="N49" s="8">
        <f t="shared" si="7"/>
        <v>2.662014030731672</v>
      </c>
      <c r="O49" s="12"/>
      <c r="P49" s="7">
        <v>145680.95000000001</v>
      </c>
      <c r="Q49" s="3"/>
      <c r="R49" s="8">
        <f t="shared" si="8"/>
        <v>7.2570348930139569E-2</v>
      </c>
      <c r="S49" s="3"/>
      <c r="T49" s="7">
        <v>31463.03</v>
      </c>
      <c r="U49" s="3"/>
      <c r="V49" s="8">
        <f t="shared" si="9"/>
        <v>6.0360499733737215E-2</v>
      </c>
      <c r="W49" s="3"/>
      <c r="X49" s="7">
        <f t="shared" si="10"/>
        <v>114217.92000000001</v>
      </c>
      <c r="Y49" s="3"/>
      <c r="Z49" s="8">
        <f t="shared" si="11"/>
        <v>3.6302263323017527</v>
      </c>
    </row>
    <row r="50" spans="1:26" s="69" customFormat="1" ht="15" hidden="1" customHeight="1" outlineLevel="2" x14ac:dyDescent="0.25">
      <c r="A50" s="25"/>
      <c r="B50" s="12" t="str">
        <f>CONCATENATE("          ","6005"," - ","TEMPORARY WAGES-HOURLY")</f>
        <v xml:space="preserve">          6005 - TEMPORARY WAGES-HOURLY</v>
      </c>
      <c r="C50" s="12"/>
      <c r="D50" s="7">
        <v>15687.28</v>
      </c>
      <c r="E50" s="3"/>
      <c r="F50" s="8">
        <f t="shared" si="4"/>
        <v>7.6386421427472012E-2</v>
      </c>
      <c r="G50" s="3"/>
      <c r="H50" s="7">
        <v>1040.3499999999999</v>
      </c>
      <c r="I50" s="3"/>
      <c r="J50" s="8">
        <f t="shared" si="5"/>
        <v>1.6845386281296171E-2</v>
      </c>
      <c r="K50" s="3"/>
      <c r="L50" s="7">
        <f t="shared" si="6"/>
        <v>14646.93</v>
      </c>
      <c r="M50" s="3"/>
      <c r="N50" s="8">
        <f t="shared" si="7"/>
        <v>14.078848464459078</v>
      </c>
      <c r="O50" s="12"/>
      <c r="P50" s="7">
        <v>160673.78</v>
      </c>
      <c r="Q50" s="3"/>
      <c r="R50" s="8">
        <f t="shared" si="8"/>
        <v>8.0038963766535562E-2</v>
      </c>
      <c r="S50" s="3"/>
      <c r="T50" s="7">
        <v>6463.36</v>
      </c>
      <c r="U50" s="3"/>
      <c r="V50" s="8">
        <f t="shared" si="9"/>
        <v>1.2399684313908983E-2</v>
      </c>
      <c r="W50" s="3"/>
      <c r="X50" s="7">
        <f t="shared" si="10"/>
        <v>154210.42000000001</v>
      </c>
      <c r="Y50" s="3"/>
      <c r="Z50" s="8">
        <f t="shared" si="11"/>
        <v>23.859172319041491</v>
      </c>
    </row>
    <row r="51" spans="1:26" s="69" customFormat="1" ht="15" hidden="1" customHeight="1" outlineLevel="2" x14ac:dyDescent="0.25">
      <c r="A51" s="25"/>
      <c r="B51" s="12" t="str">
        <f>CONCATENATE("          ","6006"," - ","TEMPORARY PART TIME")</f>
        <v xml:space="preserve">          6006 - TEMPORARY PART TIME</v>
      </c>
      <c r="C51" s="12"/>
      <c r="D51" s="7">
        <v>1589.04</v>
      </c>
      <c r="E51" s="3"/>
      <c r="F51" s="8">
        <f t="shared" si="4"/>
        <v>7.7375478161357562E-3</v>
      </c>
      <c r="G51" s="3"/>
      <c r="H51" s="7"/>
      <c r="I51" s="3"/>
      <c r="J51" s="8">
        <f t="shared" si="5"/>
        <v>0</v>
      </c>
      <c r="K51" s="3"/>
      <c r="L51" s="7">
        <f t="shared" si="6"/>
        <v>1589.04</v>
      </c>
      <c r="M51" s="3"/>
      <c r="N51" s="8">
        <f t="shared" si="7"/>
        <v>0</v>
      </c>
      <c r="O51" s="12"/>
      <c r="P51" s="7">
        <v>6791.04</v>
      </c>
      <c r="Q51" s="3"/>
      <c r="R51" s="8">
        <f t="shared" si="8"/>
        <v>3.3829278460810078E-3</v>
      </c>
      <c r="S51" s="3"/>
      <c r="T51" s="7"/>
      <c r="U51" s="3"/>
      <c r="V51" s="8">
        <f t="shared" si="9"/>
        <v>0</v>
      </c>
      <c r="W51" s="3"/>
      <c r="X51" s="7">
        <f t="shared" si="10"/>
        <v>6791.04</v>
      </c>
      <c r="Y51" s="3"/>
      <c r="Z51" s="8">
        <f t="shared" si="11"/>
        <v>0</v>
      </c>
    </row>
    <row r="52" spans="1:26" s="69" customFormat="1" ht="15" hidden="1" customHeight="1" outlineLevel="2" x14ac:dyDescent="0.25">
      <c r="A52" s="25"/>
      <c r="B52" s="12" t="str">
        <f>CONCATENATE("          ","6007"," - ","STUDENT HOURLY")</f>
        <v xml:space="preserve">          6007 - STUDENT HOURLY</v>
      </c>
      <c r="C52" s="12"/>
      <c r="D52" s="7">
        <v>26250.400000000001</v>
      </c>
      <c r="E52" s="3"/>
      <c r="F52" s="8">
        <f t="shared" si="4"/>
        <v>0.127821656593094</v>
      </c>
      <c r="G52" s="3"/>
      <c r="H52" s="7"/>
      <c r="I52" s="3"/>
      <c r="J52" s="8">
        <f t="shared" si="5"/>
        <v>0</v>
      </c>
      <c r="K52" s="3"/>
      <c r="L52" s="7">
        <f t="shared" si="6"/>
        <v>26250.400000000001</v>
      </c>
      <c r="M52" s="3"/>
      <c r="N52" s="8">
        <f t="shared" si="7"/>
        <v>0</v>
      </c>
      <c r="O52" s="12"/>
      <c r="P52" s="7">
        <v>236830.43</v>
      </c>
      <c r="Q52" s="3"/>
      <c r="R52" s="8">
        <f t="shared" si="8"/>
        <v>0.11797607677856982</v>
      </c>
      <c r="S52" s="3"/>
      <c r="T52" s="7">
        <v>147.69</v>
      </c>
      <c r="U52" s="3"/>
      <c r="V52" s="8">
        <f t="shared" si="9"/>
        <v>2.8333705322327983E-4</v>
      </c>
      <c r="W52" s="3"/>
      <c r="X52" s="7">
        <f t="shared" si="10"/>
        <v>236682.74</v>
      </c>
      <c r="Y52" s="3"/>
      <c r="Z52" s="8">
        <f t="shared" si="11"/>
        <v>1602.5644254858148</v>
      </c>
    </row>
    <row r="53" spans="1:26" s="69" customFormat="1" ht="15" hidden="1" customHeight="1" outlineLevel="2" x14ac:dyDescent="0.25">
      <c r="A53" s="25"/>
      <c r="B53" s="12" t="str">
        <f>CONCATENATE("          ","6008"," - ","STUDENT HOURLY-FICA EXEMPT")</f>
        <v xml:space="preserve">          6008 - STUDENT HOURLY-FICA EXEMPT</v>
      </c>
      <c r="C53" s="12"/>
      <c r="D53" s="7">
        <v>3646.14</v>
      </c>
      <c r="E53" s="3"/>
      <c r="F53" s="8">
        <f t="shared" si="4"/>
        <v>1.7754230601070599E-2</v>
      </c>
      <c r="G53" s="3"/>
      <c r="H53" s="7"/>
      <c r="I53" s="3"/>
      <c r="J53" s="8">
        <f t="shared" si="5"/>
        <v>0</v>
      </c>
      <c r="K53" s="3"/>
      <c r="L53" s="7">
        <f t="shared" si="6"/>
        <v>3646.14</v>
      </c>
      <c r="M53" s="3"/>
      <c r="N53" s="8">
        <f t="shared" si="7"/>
        <v>0</v>
      </c>
      <c r="O53" s="12"/>
      <c r="P53" s="7">
        <v>18317.93</v>
      </c>
      <c r="Q53" s="3"/>
      <c r="R53" s="8">
        <f t="shared" si="8"/>
        <v>9.1249993343527173E-3</v>
      </c>
      <c r="S53" s="3"/>
      <c r="T53" s="7"/>
      <c r="U53" s="3"/>
      <c r="V53" s="8">
        <f t="shared" si="9"/>
        <v>0</v>
      </c>
      <c r="W53" s="3"/>
      <c r="X53" s="7">
        <f t="shared" si="10"/>
        <v>18317.93</v>
      </c>
      <c r="Y53" s="3"/>
      <c r="Z53" s="8">
        <f t="shared" si="11"/>
        <v>0</v>
      </c>
    </row>
    <row r="54" spans="1:26" s="68" customFormat="1" ht="15" customHeight="1" outlineLevel="1" collapsed="1" x14ac:dyDescent="0.25">
      <c r="A54" s="26"/>
      <c r="B54" s="14" t="str">
        <f>CONCATENATE("     ","Advertising/Promo                                 ")</f>
        <v xml:space="preserve">     Advertising/Promo                                 </v>
      </c>
      <c r="C54" s="14"/>
      <c r="D54" s="2">
        <f>SUM(OSRRefD22_2x_0)</f>
        <v>47.32</v>
      </c>
      <c r="E54" s="2"/>
      <c r="F54" s="6">
        <f t="shared" si="4"/>
        <v>2.304163285125258E-4</v>
      </c>
      <c r="G54" s="2"/>
      <c r="H54" s="2">
        <f>SUM(OSRRefH22_2x_0)</f>
        <v>6.3</v>
      </c>
      <c r="I54" s="2"/>
      <c r="J54" s="6">
        <f t="shared" si="5"/>
        <v>1.0200983666282105E-4</v>
      </c>
      <c r="K54" s="2"/>
      <c r="L54" s="2">
        <f t="shared" si="6"/>
        <v>41.02</v>
      </c>
      <c r="M54" s="2"/>
      <c r="N54" s="6">
        <f t="shared" si="7"/>
        <v>6.511111111111112</v>
      </c>
      <c r="O54" s="14"/>
      <c r="P54" s="2">
        <f>SUM(OSRRefP22_2x_0)</f>
        <v>2816.76</v>
      </c>
      <c r="Q54" s="2"/>
      <c r="R54" s="6">
        <f t="shared" si="8"/>
        <v>1.4031570775208421E-3</v>
      </c>
      <c r="S54" s="2"/>
      <c r="T54" s="2">
        <f>SUM(OSRRefT22_2x_0)</f>
        <v>447.45</v>
      </c>
      <c r="U54" s="2"/>
      <c r="V54" s="6">
        <f t="shared" si="9"/>
        <v>8.5841400544895763E-4</v>
      </c>
      <c r="W54" s="2"/>
      <c r="X54" s="2">
        <f t="shared" si="10"/>
        <v>2369.3100000000004</v>
      </c>
      <c r="Y54" s="2"/>
      <c r="Z54" s="6">
        <f t="shared" si="11"/>
        <v>5.2951391216895756</v>
      </c>
    </row>
    <row r="55" spans="1:26" s="69" customFormat="1" ht="15" hidden="1" customHeight="1" outlineLevel="2" x14ac:dyDescent="0.25">
      <c r="A55" s="25"/>
      <c r="B55" s="12" t="str">
        <f>CONCATENATE("          ","6362"," - ","ADVERTISING EXPENSE")</f>
        <v xml:space="preserve">          6362 - ADVERTISING EXPENSE</v>
      </c>
      <c r="C55" s="12"/>
      <c r="D55" s="7">
        <v>47.32</v>
      </c>
      <c r="E55" s="3"/>
      <c r="F55" s="8">
        <f t="shared" si="4"/>
        <v>2.304163285125258E-4</v>
      </c>
      <c r="G55" s="3"/>
      <c r="H55" s="7">
        <v>6.3</v>
      </c>
      <c r="I55" s="3"/>
      <c r="J55" s="8">
        <f t="shared" si="5"/>
        <v>1.0200983666282105E-4</v>
      </c>
      <c r="K55" s="3"/>
      <c r="L55" s="7">
        <f t="shared" si="6"/>
        <v>41.02</v>
      </c>
      <c r="M55" s="3"/>
      <c r="N55" s="8">
        <f t="shared" si="7"/>
        <v>6.511111111111112</v>
      </c>
      <c r="O55" s="12"/>
      <c r="P55" s="7">
        <v>2816.76</v>
      </c>
      <c r="Q55" s="3"/>
      <c r="R55" s="8">
        <f t="shared" si="8"/>
        <v>1.4031570775208421E-3</v>
      </c>
      <c r="S55" s="3"/>
      <c r="T55" s="7">
        <v>447.45</v>
      </c>
      <c r="U55" s="3"/>
      <c r="V55" s="8">
        <f t="shared" si="9"/>
        <v>8.5841400544895763E-4</v>
      </c>
      <c r="W55" s="3"/>
      <c r="X55" s="7">
        <f t="shared" si="10"/>
        <v>2369.3100000000004</v>
      </c>
      <c r="Y55" s="3"/>
      <c r="Z55" s="8">
        <f t="shared" si="11"/>
        <v>5.2951391216895756</v>
      </c>
    </row>
    <row r="56" spans="1:26" s="68" customFormat="1" ht="15" customHeight="1" outlineLevel="1" collapsed="1" x14ac:dyDescent="0.25">
      <c r="A56" s="26"/>
      <c r="B56" s="14" t="str">
        <f>CONCATENATE("     ","Bad Debts/Over/Short                              ")</f>
        <v xml:space="preserve">     Bad Debts/Over/Short                              </v>
      </c>
      <c r="C56" s="14"/>
      <c r="D56" s="2">
        <f>SUM(OSRRefD22_3x_0)</f>
        <v>-33.619999999999997</v>
      </c>
      <c r="E56" s="2"/>
      <c r="F56" s="6">
        <f t="shared" si="4"/>
        <v>-1.6370661379102106E-4</v>
      </c>
      <c r="G56" s="2"/>
      <c r="H56" s="2">
        <f>SUM(OSRRefH22_3x_0)</f>
        <v>7.22</v>
      </c>
      <c r="I56" s="2"/>
      <c r="J56" s="6">
        <f t="shared" si="5"/>
        <v>1.1690651122310602E-4</v>
      </c>
      <c r="K56" s="2"/>
      <c r="L56" s="2">
        <f t="shared" si="6"/>
        <v>-40.839999999999996</v>
      </c>
      <c r="M56" s="2"/>
      <c r="N56" s="6">
        <f t="shared" si="7"/>
        <v>-5.6565096952908585</v>
      </c>
      <c r="O56" s="14"/>
      <c r="P56" s="2">
        <f>SUM(OSRRefP22_3x_0)</f>
        <v>-43.57</v>
      </c>
      <c r="Q56" s="2"/>
      <c r="R56" s="6">
        <f t="shared" si="8"/>
        <v>-2.1704211174392952E-5</v>
      </c>
      <c r="S56" s="2"/>
      <c r="T56" s="2">
        <f>SUM(OSRRefT22_3x_0)</f>
        <v>19.510000000000002</v>
      </c>
      <c r="U56" s="2"/>
      <c r="V56" s="6">
        <f t="shared" si="9"/>
        <v>3.7429114417944273E-5</v>
      </c>
      <c r="W56" s="2"/>
      <c r="X56" s="2">
        <f t="shared" si="10"/>
        <v>-63.08</v>
      </c>
      <c r="Y56" s="2"/>
      <c r="Z56" s="6">
        <f t="shared" si="11"/>
        <v>-3.2332137365453608</v>
      </c>
    </row>
    <row r="57" spans="1:26" s="69" customFormat="1" ht="15" hidden="1" customHeight="1" outlineLevel="2" x14ac:dyDescent="0.25">
      <c r="A57" s="25"/>
      <c r="B57" s="12" t="str">
        <f>CONCATENATE("          ","6272"," - ","CASH (OVER/SHORT)")</f>
        <v xml:space="preserve">          6272 - CASH (OVER/SHORT)</v>
      </c>
      <c r="C57" s="12"/>
      <c r="D57" s="7">
        <v>-33.619999999999997</v>
      </c>
      <c r="E57" s="3"/>
      <c r="F57" s="8">
        <f t="shared" si="4"/>
        <v>-1.6370661379102106E-4</v>
      </c>
      <c r="G57" s="3"/>
      <c r="H57" s="7">
        <v>7.22</v>
      </c>
      <c r="I57" s="3"/>
      <c r="J57" s="8">
        <f t="shared" si="5"/>
        <v>1.1690651122310602E-4</v>
      </c>
      <c r="K57" s="3"/>
      <c r="L57" s="7">
        <f t="shared" si="6"/>
        <v>-40.839999999999996</v>
      </c>
      <c r="M57" s="3"/>
      <c r="N57" s="8">
        <f t="shared" si="7"/>
        <v>-5.6565096952908585</v>
      </c>
      <c r="O57" s="12"/>
      <c r="P57" s="7">
        <v>-43.57</v>
      </c>
      <c r="Q57" s="3"/>
      <c r="R57" s="8">
        <f t="shared" si="8"/>
        <v>-2.1704211174392952E-5</v>
      </c>
      <c r="S57" s="3"/>
      <c r="T57" s="7">
        <v>19.510000000000002</v>
      </c>
      <c r="U57" s="3"/>
      <c r="V57" s="8">
        <f t="shared" si="9"/>
        <v>3.7429114417944273E-5</v>
      </c>
      <c r="W57" s="3"/>
      <c r="X57" s="7">
        <f t="shared" si="10"/>
        <v>-63.08</v>
      </c>
      <c r="Y57" s="3"/>
      <c r="Z57" s="8">
        <f t="shared" si="11"/>
        <v>-3.2332137365453608</v>
      </c>
    </row>
    <row r="58" spans="1:26" s="68" customFormat="1" ht="15" customHeight="1" outlineLevel="1" collapsed="1" x14ac:dyDescent="0.25">
      <c r="A58" s="26"/>
      <c r="B58" s="14" t="str">
        <f>CONCATENATE("     ","Bank/card Fees                                    ")</f>
        <v xml:space="preserve">     Bank/card Fees                                    </v>
      </c>
      <c r="C58" s="14"/>
      <c r="D58" s="2">
        <f>SUM(OSRRefD22_4x_0)</f>
        <v>9369.61</v>
      </c>
      <c r="E58" s="2"/>
      <c r="F58" s="6">
        <f t="shared" si="4"/>
        <v>4.5623650376040721E-2</v>
      </c>
      <c r="G58" s="2"/>
      <c r="H58" s="2">
        <f>SUM(OSRRefH22_4x_0)</f>
        <v>838.07</v>
      </c>
      <c r="I58" s="2"/>
      <c r="J58" s="6">
        <f t="shared" si="5"/>
        <v>1.357006092254134E-2</v>
      </c>
      <c r="K58" s="2"/>
      <c r="L58" s="2">
        <f t="shared" si="6"/>
        <v>8531.5400000000009</v>
      </c>
      <c r="M58" s="2"/>
      <c r="N58" s="6">
        <f t="shared" si="7"/>
        <v>10.179984965456347</v>
      </c>
      <c r="O58" s="14"/>
      <c r="P58" s="2">
        <f>SUM(OSRRefP22_4x_0)</f>
        <v>74794.12</v>
      </c>
      <c r="Q58" s="2"/>
      <c r="R58" s="6">
        <f t="shared" si="8"/>
        <v>3.7258374456802551E-2</v>
      </c>
      <c r="S58" s="2"/>
      <c r="T58" s="2">
        <f>SUM(OSRRefT22_4x_0)</f>
        <v>9485.84</v>
      </c>
      <c r="U58" s="2"/>
      <c r="V58" s="6">
        <f t="shared" si="9"/>
        <v>1.8198185069723857E-2</v>
      </c>
      <c r="W58" s="2"/>
      <c r="X58" s="2">
        <f t="shared" si="10"/>
        <v>65308.28</v>
      </c>
      <c r="Y58" s="2"/>
      <c r="Z58" s="6">
        <f t="shared" si="11"/>
        <v>6.8848177915714368</v>
      </c>
    </row>
    <row r="59" spans="1:26" s="69" customFormat="1" ht="15" hidden="1" customHeight="1" outlineLevel="2" x14ac:dyDescent="0.25">
      <c r="A59" s="25"/>
      <c r="B59" s="12" t="str">
        <f>CONCATENATE("          ","6381"," - ","BANK/CREDIT CARD FEES")</f>
        <v xml:space="preserve">          6381 - BANK/CREDIT CARD FEES</v>
      </c>
      <c r="C59" s="12"/>
      <c r="D59" s="7">
        <v>9369.61</v>
      </c>
      <c r="E59" s="3"/>
      <c r="F59" s="8">
        <f t="shared" si="4"/>
        <v>4.5623650376040721E-2</v>
      </c>
      <c r="G59" s="3"/>
      <c r="H59" s="7">
        <v>838.07</v>
      </c>
      <c r="I59" s="3"/>
      <c r="J59" s="8">
        <f t="shared" si="5"/>
        <v>1.357006092254134E-2</v>
      </c>
      <c r="K59" s="3"/>
      <c r="L59" s="7">
        <f t="shared" si="6"/>
        <v>8531.5400000000009</v>
      </c>
      <c r="M59" s="3"/>
      <c r="N59" s="8">
        <f t="shared" si="7"/>
        <v>10.179984965456347</v>
      </c>
      <c r="O59" s="12"/>
      <c r="P59" s="7">
        <v>74794.12</v>
      </c>
      <c r="Q59" s="3"/>
      <c r="R59" s="8">
        <f t="shared" si="8"/>
        <v>3.7258374456802551E-2</v>
      </c>
      <c r="S59" s="3"/>
      <c r="T59" s="7">
        <v>9485.84</v>
      </c>
      <c r="U59" s="3"/>
      <c r="V59" s="8">
        <f t="shared" si="9"/>
        <v>1.8198185069723857E-2</v>
      </c>
      <c r="W59" s="3"/>
      <c r="X59" s="7">
        <f t="shared" si="10"/>
        <v>65308.28</v>
      </c>
      <c r="Y59" s="3"/>
      <c r="Z59" s="8">
        <f t="shared" si="11"/>
        <v>6.8848177915714368</v>
      </c>
    </row>
    <row r="60" spans="1:26" s="68" customFormat="1" ht="15" customHeight="1" outlineLevel="1" collapsed="1" x14ac:dyDescent="0.25">
      <c r="A60" s="26"/>
      <c r="B60" s="14" t="str">
        <f>CONCATENATE("     ","Depreciation                                      ")</f>
        <v xml:space="preserve">     Depreciation                                      </v>
      </c>
      <c r="C60" s="14"/>
      <c r="D60" s="2">
        <f>SUM(OSRRefD22_5x_0)</f>
        <v>43047.53</v>
      </c>
      <c r="E60" s="2"/>
      <c r="F60" s="6">
        <f t="shared" si="4"/>
        <v>0.20961229531134423</v>
      </c>
      <c r="G60" s="2"/>
      <c r="H60" s="2">
        <f>SUM(OSRRefH22_5x_0)</f>
        <v>45872.82</v>
      </c>
      <c r="I60" s="2"/>
      <c r="J60" s="6">
        <f t="shared" si="5"/>
        <v>0.74277442467666521</v>
      </c>
      <c r="K60" s="2"/>
      <c r="L60" s="2">
        <f t="shared" si="6"/>
        <v>-2825.2900000000009</v>
      </c>
      <c r="M60" s="2"/>
      <c r="N60" s="6">
        <f t="shared" si="7"/>
        <v>-6.158962976333264E-2</v>
      </c>
      <c r="O60" s="14"/>
      <c r="P60" s="2">
        <f>SUM(OSRRefP22_5x_0)</f>
        <v>439356.81000000006</v>
      </c>
      <c r="Q60" s="2"/>
      <c r="R60" s="6">
        <f t="shared" si="8"/>
        <v>0.21886373617506635</v>
      </c>
      <c r="S60" s="2"/>
      <c r="T60" s="2">
        <f>SUM(OSRRefT22_5x_0)</f>
        <v>507606.12</v>
      </c>
      <c r="U60" s="2"/>
      <c r="V60" s="6">
        <f t="shared" si="9"/>
        <v>0.97382099152889545</v>
      </c>
      <c r="W60" s="2"/>
      <c r="X60" s="2">
        <f t="shared" si="10"/>
        <v>-68249.309999999939</v>
      </c>
      <c r="Y60" s="2"/>
      <c r="Z60" s="6">
        <f t="shared" si="11"/>
        <v>-0.13445328436938456</v>
      </c>
    </row>
    <row r="61" spans="1:26" s="69" customFormat="1" ht="15" hidden="1" customHeight="1" outlineLevel="2" x14ac:dyDescent="0.25">
      <c r="A61" s="25"/>
      <c r="B61" s="12" t="str">
        <f>CONCATENATE("          ","6321"," - ","BUILDING DEPRECIATION")</f>
        <v xml:space="preserve">          6321 - BUILDING DEPRECIATION</v>
      </c>
      <c r="C61" s="12"/>
      <c r="D61" s="7">
        <v>28619.91</v>
      </c>
      <c r="E61" s="3"/>
      <c r="F61" s="8">
        <f t="shared" si="4"/>
        <v>0.13935956433979124</v>
      </c>
      <c r="G61" s="3"/>
      <c r="H61" s="7">
        <v>28664</v>
      </c>
      <c r="I61" s="3"/>
      <c r="J61" s="8">
        <f t="shared" si="5"/>
        <v>0.46412856477827025</v>
      </c>
      <c r="K61" s="3"/>
      <c r="L61" s="7">
        <f t="shared" si="6"/>
        <v>-44.090000000000146</v>
      </c>
      <c r="M61" s="3"/>
      <c r="N61" s="8">
        <f t="shared" si="7"/>
        <v>-1.5381663410549869E-3</v>
      </c>
      <c r="O61" s="12"/>
      <c r="P61" s="7">
        <v>314907.15000000002</v>
      </c>
      <c r="Q61" s="3"/>
      <c r="R61" s="8">
        <f t="shared" si="8"/>
        <v>0.15686966453812801</v>
      </c>
      <c r="S61" s="3"/>
      <c r="T61" s="7">
        <v>316088.19</v>
      </c>
      <c r="U61" s="3"/>
      <c r="V61" s="8">
        <f t="shared" si="9"/>
        <v>0.60640189798415722</v>
      </c>
      <c r="W61" s="3"/>
      <c r="X61" s="7">
        <f t="shared" si="10"/>
        <v>-1181.039999999979</v>
      </c>
      <c r="Y61" s="3"/>
      <c r="Z61" s="8">
        <f t="shared" si="11"/>
        <v>-3.736425584264882E-3</v>
      </c>
    </row>
    <row r="62" spans="1:26" s="69" customFormat="1" ht="15" hidden="1" customHeight="1" outlineLevel="2" x14ac:dyDescent="0.25">
      <c r="A62" s="25"/>
      <c r="B62" s="12" t="str">
        <f>CONCATENATE("          ","6322"," - ","EQUIPMENT DEPRECIATION EXPENSE")</f>
        <v xml:space="preserve">          6322 - EQUIPMENT DEPRECIATION EXPENSE</v>
      </c>
      <c r="C62" s="12"/>
      <c r="D62" s="7">
        <v>14427.62</v>
      </c>
      <c r="E62" s="3"/>
      <c r="F62" s="8">
        <f t="shared" si="4"/>
        <v>7.025273097155299E-2</v>
      </c>
      <c r="G62" s="3"/>
      <c r="H62" s="7">
        <v>17208.82</v>
      </c>
      <c r="I62" s="3"/>
      <c r="J62" s="8">
        <f t="shared" si="5"/>
        <v>0.27864585989839491</v>
      </c>
      <c r="K62" s="3"/>
      <c r="L62" s="7">
        <f t="shared" si="6"/>
        <v>-2781.1999999999989</v>
      </c>
      <c r="M62" s="3"/>
      <c r="N62" s="8">
        <f t="shared" si="7"/>
        <v>-0.16161479985263363</v>
      </c>
      <c r="O62" s="12"/>
      <c r="P62" s="7">
        <v>124449.66</v>
      </c>
      <c r="Q62" s="3"/>
      <c r="R62" s="8">
        <f t="shared" si="8"/>
        <v>6.199407163693834E-2</v>
      </c>
      <c r="S62" s="3"/>
      <c r="T62" s="7">
        <v>191517.93</v>
      </c>
      <c r="U62" s="3"/>
      <c r="V62" s="8">
        <f t="shared" si="9"/>
        <v>0.36741909354473817</v>
      </c>
      <c r="W62" s="3"/>
      <c r="X62" s="7">
        <f t="shared" si="10"/>
        <v>-67068.26999999999</v>
      </c>
      <c r="Y62" s="3"/>
      <c r="Z62" s="8">
        <f t="shared" si="11"/>
        <v>-0.35019316468176109</v>
      </c>
    </row>
    <row r="63" spans="1:26" s="68" customFormat="1" ht="15" customHeight="1" outlineLevel="1" collapsed="1" x14ac:dyDescent="0.25">
      <c r="A63" s="26"/>
      <c r="B63" s="14" t="str">
        <f>CONCATENATE("     ","Employees' Appreciation                           ")</f>
        <v xml:space="preserve">     Employees' Appreciation                           </v>
      </c>
      <c r="C63" s="14"/>
      <c r="D63" s="2">
        <f>SUM(OSRRefD22_6x_0)</f>
        <v>16.2</v>
      </c>
      <c r="E63" s="2"/>
      <c r="F63" s="6">
        <f t="shared" si="4"/>
        <v>7.8883020327618722E-5</v>
      </c>
      <c r="G63" s="2"/>
      <c r="H63" s="2">
        <f>SUM(OSRRefH22_6x_0)</f>
        <v>0</v>
      </c>
      <c r="I63" s="2"/>
      <c r="J63" s="6">
        <f t="shared" si="5"/>
        <v>0</v>
      </c>
      <c r="K63" s="2"/>
      <c r="L63" s="2">
        <f t="shared" si="6"/>
        <v>16.2</v>
      </c>
      <c r="M63" s="2"/>
      <c r="N63" s="6">
        <f t="shared" si="7"/>
        <v>0</v>
      </c>
      <c r="O63" s="14"/>
      <c r="P63" s="2">
        <f>SUM(OSRRefP22_6x_0)</f>
        <v>392.52</v>
      </c>
      <c r="Q63" s="2"/>
      <c r="R63" s="6">
        <f t="shared" si="8"/>
        <v>1.9553217741961719E-4</v>
      </c>
      <c r="S63" s="2"/>
      <c r="T63" s="2">
        <f>SUM(OSRRefT22_6x_0)</f>
        <v>10</v>
      </c>
      <c r="U63" s="2"/>
      <c r="V63" s="6">
        <f t="shared" si="9"/>
        <v>1.9184579404379433E-5</v>
      </c>
      <c r="W63" s="2"/>
      <c r="X63" s="2">
        <f t="shared" si="10"/>
        <v>382.52</v>
      </c>
      <c r="Y63" s="2"/>
      <c r="Z63" s="6">
        <f t="shared" si="11"/>
        <v>38.251999999999995</v>
      </c>
    </row>
    <row r="64" spans="1:26" s="69" customFormat="1" ht="15" hidden="1" customHeight="1" outlineLevel="2" x14ac:dyDescent="0.25">
      <c r="A64" s="25"/>
      <c r="B64" s="12" t="str">
        <f>CONCATENATE("          ","6277"," - ","EMPLOYEE APPRECIATION")</f>
        <v xml:space="preserve">          6277 - EMPLOYEE APPRECIATION</v>
      </c>
      <c r="C64" s="12"/>
      <c r="D64" s="7">
        <v>16.2</v>
      </c>
      <c r="E64" s="3"/>
      <c r="F64" s="8">
        <f t="shared" si="4"/>
        <v>7.8883020327618722E-5</v>
      </c>
      <c r="G64" s="3"/>
      <c r="H64" s="7"/>
      <c r="I64" s="3"/>
      <c r="J64" s="8">
        <f t="shared" si="5"/>
        <v>0</v>
      </c>
      <c r="K64" s="3"/>
      <c r="L64" s="7">
        <f t="shared" si="6"/>
        <v>16.2</v>
      </c>
      <c r="M64" s="3"/>
      <c r="N64" s="8">
        <f t="shared" si="7"/>
        <v>0</v>
      </c>
      <c r="O64" s="12"/>
      <c r="P64" s="7">
        <v>392.52</v>
      </c>
      <c r="Q64" s="3"/>
      <c r="R64" s="8">
        <f t="shared" si="8"/>
        <v>1.9553217741961719E-4</v>
      </c>
      <c r="S64" s="3"/>
      <c r="T64" s="7">
        <v>10</v>
      </c>
      <c r="U64" s="3"/>
      <c r="V64" s="8">
        <f t="shared" si="9"/>
        <v>1.9184579404379433E-5</v>
      </c>
      <c r="W64" s="3"/>
      <c r="X64" s="7">
        <f t="shared" si="10"/>
        <v>382.52</v>
      </c>
      <c r="Y64" s="3"/>
      <c r="Z64" s="8">
        <f t="shared" si="11"/>
        <v>38.251999999999995</v>
      </c>
    </row>
    <row r="65" spans="1:26" s="68" customFormat="1" ht="15" customHeight="1" outlineLevel="1" collapsed="1" x14ac:dyDescent="0.25">
      <c r="A65" s="26"/>
      <c r="B65" s="14" t="str">
        <f>CONCATENATE("     ","Equipment Rental                                  ")</f>
        <v xml:space="preserve">     Equipment Rental                                  </v>
      </c>
      <c r="C65" s="14"/>
      <c r="D65" s="2">
        <f>SUM(OSRRefD22_7x_0)</f>
        <v>927.59</v>
      </c>
      <c r="E65" s="2"/>
      <c r="F65" s="6">
        <f t="shared" si="4"/>
        <v>4.5167346188701146E-3</v>
      </c>
      <c r="G65" s="2"/>
      <c r="H65" s="2">
        <f>SUM(OSRRefH22_7x_0)</f>
        <v>1064.6099999999999</v>
      </c>
      <c r="I65" s="2"/>
      <c r="J65" s="6">
        <f t="shared" si="5"/>
        <v>1.7238205112635858E-2</v>
      </c>
      <c r="K65" s="2"/>
      <c r="L65" s="2">
        <f t="shared" si="6"/>
        <v>-137.01999999999987</v>
      </c>
      <c r="M65" s="2"/>
      <c r="N65" s="6">
        <f t="shared" si="7"/>
        <v>-0.12870440818703552</v>
      </c>
      <c r="O65" s="14"/>
      <c r="P65" s="2">
        <f>SUM(OSRRefP22_7x_0)</f>
        <v>10978.3</v>
      </c>
      <c r="Q65" s="2"/>
      <c r="R65" s="6">
        <f t="shared" si="8"/>
        <v>5.4687937006159771E-3</v>
      </c>
      <c r="S65" s="2"/>
      <c r="T65" s="2">
        <f>SUM(OSRRefT22_7x_0)</f>
        <v>7133.78</v>
      </c>
      <c r="U65" s="2"/>
      <c r="V65" s="6">
        <f t="shared" si="9"/>
        <v>1.3685856886337389E-2</v>
      </c>
      <c r="W65" s="2"/>
      <c r="X65" s="2">
        <f t="shared" si="10"/>
        <v>3844.5199999999995</v>
      </c>
      <c r="Y65" s="2"/>
      <c r="Z65" s="6">
        <f t="shared" si="11"/>
        <v>0.53891765655795376</v>
      </c>
    </row>
    <row r="66" spans="1:26" s="69" customFormat="1" ht="15" hidden="1" customHeight="1" outlineLevel="2" x14ac:dyDescent="0.25">
      <c r="A66" s="25"/>
      <c r="B66" s="12" t="str">
        <f>CONCATENATE("          ","6351"," - ","EQUIPMENT RENTAL")</f>
        <v xml:space="preserve">          6351 - EQUIPMENT RENTAL</v>
      </c>
      <c r="C66" s="12"/>
      <c r="D66" s="7">
        <v>927.59</v>
      </c>
      <c r="E66" s="3"/>
      <c r="F66" s="8">
        <f t="shared" si="4"/>
        <v>4.5167346188701146E-3</v>
      </c>
      <c r="G66" s="3"/>
      <c r="H66" s="7">
        <v>1064.6099999999999</v>
      </c>
      <c r="I66" s="3"/>
      <c r="J66" s="8">
        <f t="shared" si="5"/>
        <v>1.7238205112635858E-2</v>
      </c>
      <c r="K66" s="3"/>
      <c r="L66" s="7">
        <f t="shared" si="6"/>
        <v>-137.01999999999987</v>
      </c>
      <c r="M66" s="3"/>
      <c r="N66" s="8">
        <f t="shared" si="7"/>
        <v>-0.12870440818703552</v>
      </c>
      <c r="O66" s="12"/>
      <c r="P66" s="7">
        <v>10978.3</v>
      </c>
      <c r="Q66" s="3"/>
      <c r="R66" s="8">
        <f t="shared" si="8"/>
        <v>5.4687937006159771E-3</v>
      </c>
      <c r="S66" s="3"/>
      <c r="T66" s="7">
        <v>7133.78</v>
      </c>
      <c r="U66" s="3"/>
      <c r="V66" s="8">
        <f t="shared" si="9"/>
        <v>1.3685856886337389E-2</v>
      </c>
      <c r="W66" s="3"/>
      <c r="X66" s="7">
        <f t="shared" si="10"/>
        <v>3844.5199999999995</v>
      </c>
      <c r="Y66" s="3"/>
      <c r="Z66" s="8">
        <f t="shared" si="11"/>
        <v>0.53891765655795376</v>
      </c>
    </row>
    <row r="67" spans="1:26" s="68" customFormat="1" ht="15" customHeight="1" outlineLevel="1" collapsed="1" x14ac:dyDescent="0.25">
      <c r="A67" s="26"/>
      <c r="B67" s="14" t="str">
        <f>CONCATENATE("     ","Freight out/Postage                               ")</f>
        <v xml:space="preserve">     Freight out/Postage                               </v>
      </c>
      <c r="C67" s="14"/>
      <c r="D67" s="2">
        <f>SUM(OSRRefD22_8x_0)</f>
        <v>0</v>
      </c>
      <c r="E67" s="2"/>
      <c r="F67" s="6">
        <f t="shared" ref="F67:F98" si="12">IF(D$12=0,0,D67/D$12)</f>
        <v>0</v>
      </c>
      <c r="G67" s="2"/>
      <c r="H67" s="2">
        <f>SUM(OSRRefH22_8x_0)</f>
        <v>0</v>
      </c>
      <c r="I67" s="2"/>
      <c r="J67" s="6">
        <f t="shared" ref="J67:J98" si="13">IF(H$12=0,0,H67/H$12)</f>
        <v>0</v>
      </c>
      <c r="K67" s="2"/>
      <c r="L67" s="2">
        <f t="shared" ref="L67:L98" si="14">+D67-H67</f>
        <v>0</v>
      </c>
      <c r="M67" s="2"/>
      <c r="N67" s="6">
        <f t="shared" ref="N67:N98" si="15">IF(H67=0,0,L67/H67)</f>
        <v>0</v>
      </c>
      <c r="O67" s="14"/>
      <c r="P67" s="2">
        <f>SUM(OSRRefP22_8x_0)</f>
        <v>0</v>
      </c>
      <c r="Q67" s="2"/>
      <c r="R67" s="6">
        <f t="shared" ref="R67:R98" si="16">IF(P$12=0,0,P67/P$12)</f>
        <v>0</v>
      </c>
      <c r="S67" s="2"/>
      <c r="T67" s="2">
        <f>SUM(OSRRefT22_8x_0)</f>
        <v>277.65000000000003</v>
      </c>
      <c r="U67" s="2"/>
      <c r="V67" s="6">
        <f t="shared" ref="V67:V98" si="17">IF(T$12=0,0,T67/T$12)</f>
        <v>5.3265984716259495E-4</v>
      </c>
      <c r="W67" s="2"/>
      <c r="X67" s="2">
        <f t="shared" ref="X67:X98" si="18">+P67-T67</f>
        <v>-277.65000000000003</v>
      </c>
      <c r="Y67" s="2"/>
      <c r="Z67" s="6">
        <f t="shared" ref="Z67:Z98" si="19">IF(T67=0,0,X67/T67)</f>
        <v>-1</v>
      </c>
    </row>
    <row r="68" spans="1:26" s="69" customFormat="1" ht="15" hidden="1" customHeight="1" outlineLevel="2" x14ac:dyDescent="0.25">
      <c r="A68" s="25"/>
      <c r="B68" s="12" t="str">
        <f>CONCATENATE("          ","6305"," - ","FREIGHT OUT")</f>
        <v xml:space="preserve">          6305 - FREIGHT OUT</v>
      </c>
      <c r="C68" s="12"/>
      <c r="D68" s="7"/>
      <c r="E68" s="3"/>
      <c r="F68" s="8">
        <f t="shared" si="12"/>
        <v>0</v>
      </c>
      <c r="G68" s="3"/>
      <c r="H68" s="7"/>
      <c r="I68" s="3"/>
      <c r="J68" s="8">
        <f t="shared" si="13"/>
        <v>0</v>
      </c>
      <c r="K68" s="3"/>
      <c r="L68" s="7">
        <f t="shared" si="14"/>
        <v>0</v>
      </c>
      <c r="M68" s="3"/>
      <c r="N68" s="8">
        <f t="shared" si="15"/>
        <v>0</v>
      </c>
      <c r="O68" s="12"/>
      <c r="P68" s="7"/>
      <c r="Q68" s="3"/>
      <c r="R68" s="8">
        <f t="shared" si="16"/>
        <v>0</v>
      </c>
      <c r="S68" s="3"/>
      <c r="T68" s="7">
        <v>280.10000000000002</v>
      </c>
      <c r="U68" s="3"/>
      <c r="V68" s="8">
        <f t="shared" si="17"/>
        <v>5.3736006911666787E-4</v>
      </c>
      <c r="W68" s="3"/>
      <c r="X68" s="7">
        <f t="shared" si="18"/>
        <v>-280.10000000000002</v>
      </c>
      <c r="Y68" s="3"/>
      <c r="Z68" s="8">
        <f t="shared" si="19"/>
        <v>-1</v>
      </c>
    </row>
    <row r="69" spans="1:26" s="69" customFormat="1" ht="15" hidden="1" customHeight="1" outlineLevel="2" x14ac:dyDescent="0.25">
      <c r="A69" s="25"/>
      <c r="B69" s="12" t="str">
        <f>CONCATENATE("          ","6307"," - ","POSTAGE")</f>
        <v xml:space="preserve">          6307 - POSTAGE</v>
      </c>
      <c r="C69" s="12"/>
      <c r="D69" s="7"/>
      <c r="E69" s="3"/>
      <c r="F69" s="8">
        <f t="shared" si="12"/>
        <v>0</v>
      </c>
      <c r="G69" s="3"/>
      <c r="H69" s="7"/>
      <c r="I69" s="3"/>
      <c r="J69" s="8">
        <f t="shared" si="13"/>
        <v>0</v>
      </c>
      <c r="K69" s="3"/>
      <c r="L69" s="7">
        <f t="shared" si="14"/>
        <v>0</v>
      </c>
      <c r="M69" s="3"/>
      <c r="N69" s="8">
        <f t="shared" si="15"/>
        <v>0</v>
      </c>
      <c r="O69" s="12"/>
      <c r="P69" s="7"/>
      <c r="Q69" s="3"/>
      <c r="R69" s="8">
        <f t="shared" si="16"/>
        <v>0</v>
      </c>
      <c r="S69" s="3"/>
      <c r="T69" s="7">
        <v>-2.4500000000000002</v>
      </c>
      <c r="U69" s="3"/>
      <c r="V69" s="8">
        <f t="shared" si="17"/>
        <v>-4.700221954072961E-6</v>
      </c>
      <c r="W69" s="3"/>
      <c r="X69" s="7">
        <f t="shared" si="18"/>
        <v>2.4500000000000002</v>
      </c>
      <c r="Y69" s="3"/>
      <c r="Z69" s="8">
        <f t="shared" si="19"/>
        <v>-1</v>
      </c>
    </row>
    <row r="70" spans="1:26" s="68" customFormat="1" ht="15" customHeight="1" outlineLevel="1" collapsed="1" x14ac:dyDescent="0.25">
      <c r="A70" s="26"/>
      <c r="B70" s="14" t="str">
        <f>CONCATENATE("     ","General                                           ")</f>
        <v xml:space="preserve">     General                                           </v>
      </c>
      <c r="C70" s="14"/>
      <c r="D70" s="2">
        <f>SUM(OSRRefD22_9x_0)</f>
        <v>27571.23</v>
      </c>
      <c r="E70" s="2"/>
      <c r="F70" s="6">
        <f t="shared" si="12"/>
        <v>0.13425320349058339</v>
      </c>
      <c r="G70" s="2"/>
      <c r="H70" s="2">
        <f>SUM(OSRRefH22_9x_0)</f>
        <v>-646.37</v>
      </c>
      <c r="I70" s="2"/>
      <c r="J70" s="6">
        <f t="shared" si="13"/>
        <v>-1.0466047321229783E-2</v>
      </c>
      <c r="K70" s="2"/>
      <c r="L70" s="2">
        <f t="shared" si="14"/>
        <v>28217.599999999999</v>
      </c>
      <c r="M70" s="2"/>
      <c r="N70" s="6">
        <f t="shared" si="15"/>
        <v>-43.655491436793163</v>
      </c>
      <c r="O70" s="14"/>
      <c r="P70" s="2">
        <f>SUM(OSRRefP22_9x_0)</f>
        <v>50972.78</v>
      </c>
      <c r="Q70" s="2"/>
      <c r="R70" s="6">
        <f t="shared" si="16"/>
        <v>2.5391874713469671E-2</v>
      </c>
      <c r="S70" s="2"/>
      <c r="T70" s="2">
        <f>SUM(OSRRefT22_9x_0)</f>
        <v>10538.97</v>
      </c>
      <c r="U70" s="2"/>
      <c r="V70" s="6">
        <f t="shared" si="17"/>
        <v>2.0218570680537267E-2</v>
      </c>
      <c r="W70" s="2"/>
      <c r="X70" s="2">
        <f t="shared" si="18"/>
        <v>40433.81</v>
      </c>
      <c r="Y70" s="2"/>
      <c r="Z70" s="6">
        <f t="shared" si="19"/>
        <v>3.8365997815725827</v>
      </c>
    </row>
    <row r="71" spans="1:26" s="69" customFormat="1" ht="15" hidden="1" customHeight="1" outlineLevel="2" x14ac:dyDescent="0.25">
      <c r="A71" s="25"/>
      <c r="B71" s="12" t="str">
        <f>CONCATENATE("          ","6279"," - ","GENERAL EXPENSE")</f>
        <v xml:space="preserve">          6279 - GENERAL EXPENSE</v>
      </c>
      <c r="C71" s="12"/>
      <c r="D71" s="7">
        <v>27571.23</v>
      </c>
      <c r="E71" s="3"/>
      <c r="F71" s="8">
        <f t="shared" si="12"/>
        <v>0.13425320349058339</v>
      </c>
      <c r="G71" s="3"/>
      <c r="H71" s="7">
        <v>-646.37</v>
      </c>
      <c r="I71" s="3"/>
      <c r="J71" s="8">
        <f t="shared" si="13"/>
        <v>-1.0466047321229783E-2</v>
      </c>
      <c r="K71" s="3"/>
      <c r="L71" s="7">
        <f t="shared" si="14"/>
        <v>28217.599999999999</v>
      </c>
      <c r="M71" s="3"/>
      <c r="N71" s="8">
        <f t="shared" si="15"/>
        <v>-43.655491436793163</v>
      </c>
      <c r="O71" s="12"/>
      <c r="P71" s="7">
        <v>50972.78</v>
      </c>
      <c r="Q71" s="3"/>
      <c r="R71" s="8">
        <f t="shared" si="16"/>
        <v>2.5391874713469671E-2</v>
      </c>
      <c r="S71" s="3"/>
      <c r="T71" s="7">
        <v>10538.97</v>
      </c>
      <c r="U71" s="3"/>
      <c r="V71" s="8">
        <f t="shared" si="17"/>
        <v>2.0218570680537267E-2</v>
      </c>
      <c r="W71" s="3"/>
      <c r="X71" s="7">
        <f t="shared" si="18"/>
        <v>40433.81</v>
      </c>
      <c r="Y71" s="3"/>
      <c r="Z71" s="8">
        <f t="shared" si="19"/>
        <v>3.8365997815725827</v>
      </c>
    </row>
    <row r="72" spans="1:26" s="68" customFormat="1" ht="15" customHeight="1" outlineLevel="1" collapsed="1" x14ac:dyDescent="0.25">
      <c r="A72" s="26"/>
      <c r="B72" s="14" t="str">
        <f>CONCATENATE("     ","Insurance                                         ")</f>
        <v xml:space="preserve">     Insurance                                         </v>
      </c>
      <c r="C72" s="14"/>
      <c r="D72" s="2">
        <f>SUM(OSRRefD22_10x_0)</f>
        <v>6087.22</v>
      </c>
      <c r="E72" s="2"/>
      <c r="F72" s="6">
        <f t="shared" si="12"/>
        <v>2.9640635740659706E-2</v>
      </c>
      <c r="G72" s="2"/>
      <c r="H72" s="2">
        <f>SUM(OSRRefH22_10x_0)</f>
        <v>4483.67</v>
      </c>
      <c r="I72" s="2"/>
      <c r="J72" s="6">
        <f t="shared" si="13"/>
        <v>7.2599753071427117E-2</v>
      </c>
      <c r="K72" s="2"/>
      <c r="L72" s="2">
        <f t="shared" si="14"/>
        <v>1603.5500000000002</v>
      </c>
      <c r="M72" s="2"/>
      <c r="N72" s="6">
        <f t="shared" si="15"/>
        <v>0.35764228857163888</v>
      </c>
      <c r="O72" s="14"/>
      <c r="P72" s="2">
        <f>SUM(OSRRefP22_10x_0)</f>
        <v>73842.42</v>
      </c>
      <c r="Q72" s="2"/>
      <c r="R72" s="6">
        <f t="shared" si="16"/>
        <v>3.6784289128028863E-2</v>
      </c>
      <c r="S72" s="2"/>
      <c r="T72" s="2">
        <f>SUM(OSRRefT22_10x_0)</f>
        <v>55432.37</v>
      </c>
      <c r="U72" s="2"/>
      <c r="V72" s="6">
        <f t="shared" si="17"/>
        <v>0.10634467038379403</v>
      </c>
      <c r="W72" s="2"/>
      <c r="X72" s="2">
        <f t="shared" si="18"/>
        <v>18410.049999999996</v>
      </c>
      <c r="Y72" s="2"/>
      <c r="Z72" s="6">
        <f t="shared" si="19"/>
        <v>0.33211731701170266</v>
      </c>
    </row>
    <row r="73" spans="1:26" s="69" customFormat="1" ht="15" hidden="1" customHeight="1" outlineLevel="2" x14ac:dyDescent="0.25">
      <c r="A73" s="25"/>
      <c r="B73" s="12" t="str">
        <f>CONCATENATE("          ","6314"," - ","LIABILITY INSURANCE")</f>
        <v xml:space="preserve">          6314 - LIABILITY INSURANCE</v>
      </c>
      <c r="C73" s="12"/>
      <c r="D73" s="7">
        <v>6087.22</v>
      </c>
      <c r="E73" s="3"/>
      <c r="F73" s="8">
        <f t="shared" si="12"/>
        <v>2.9640635740659706E-2</v>
      </c>
      <c r="G73" s="3"/>
      <c r="H73" s="7">
        <v>4483.67</v>
      </c>
      <c r="I73" s="3"/>
      <c r="J73" s="8">
        <f t="shared" si="13"/>
        <v>7.2599753071427117E-2</v>
      </c>
      <c r="K73" s="3"/>
      <c r="L73" s="7">
        <f t="shared" si="14"/>
        <v>1603.5500000000002</v>
      </c>
      <c r="M73" s="3"/>
      <c r="N73" s="8">
        <f t="shared" si="15"/>
        <v>0.35764228857163888</v>
      </c>
      <c r="O73" s="12"/>
      <c r="P73" s="7">
        <v>73842.42</v>
      </c>
      <c r="Q73" s="3"/>
      <c r="R73" s="8">
        <f t="shared" si="16"/>
        <v>3.6784289128028863E-2</v>
      </c>
      <c r="S73" s="3"/>
      <c r="T73" s="7">
        <v>55432.37</v>
      </c>
      <c r="U73" s="3"/>
      <c r="V73" s="8">
        <f t="shared" si="17"/>
        <v>0.10634467038379403</v>
      </c>
      <c r="W73" s="3"/>
      <c r="X73" s="7">
        <f t="shared" si="18"/>
        <v>18410.049999999996</v>
      </c>
      <c r="Y73" s="3"/>
      <c r="Z73" s="8">
        <f t="shared" si="19"/>
        <v>0.33211731701170266</v>
      </c>
    </row>
    <row r="74" spans="1:26" s="68" customFormat="1" ht="15" customHeight="1" outlineLevel="1" collapsed="1" x14ac:dyDescent="0.25">
      <c r="A74" s="26"/>
      <c r="B74" s="14" t="str">
        <f>CONCATENATE("     ","Interest                                          ")</f>
        <v xml:space="preserve">     Interest                                          </v>
      </c>
      <c r="C74" s="14"/>
      <c r="D74" s="2">
        <f>SUM(OSRRefD22_11x_0)</f>
        <v>11158</v>
      </c>
      <c r="E74" s="2"/>
      <c r="F74" s="6">
        <f t="shared" si="12"/>
        <v>5.4331897581208002E-2</v>
      </c>
      <c r="G74" s="2"/>
      <c r="H74" s="2">
        <f>SUM(OSRRefH22_11x_0)</f>
        <v>11554</v>
      </c>
      <c r="I74" s="2"/>
      <c r="J74" s="6">
        <f t="shared" si="13"/>
        <v>0.1870828020321007</v>
      </c>
      <c r="K74" s="2"/>
      <c r="L74" s="2">
        <f t="shared" si="14"/>
        <v>-396</v>
      </c>
      <c r="M74" s="2"/>
      <c r="N74" s="6">
        <f t="shared" si="15"/>
        <v>-3.4273844555997926E-2</v>
      </c>
      <c r="O74" s="14"/>
      <c r="P74" s="2">
        <f>SUM(OSRRefP22_11x_0)</f>
        <v>119450</v>
      </c>
      <c r="Q74" s="2"/>
      <c r="R74" s="6">
        <f t="shared" si="16"/>
        <v>5.9503512159312322E-2</v>
      </c>
      <c r="S74" s="2"/>
      <c r="T74" s="2">
        <f>SUM(OSRRefT22_11x_0)</f>
        <v>123971</v>
      </c>
      <c r="U74" s="2"/>
      <c r="V74" s="6">
        <f t="shared" si="17"/>
        <v>0.23783314933403224</v>
      </c>
      <c r="W74" s="2"/>
      <c r="X74" s="2">
        <f t="shared" si="18"/>
        <v>-4521</v>
      </c>
      <c r="Y74" s="2"/>
      <c r="Z74" s="6">
        <f t="shared" si="19"/>
        <v>-3.6468206274047961E-2</v>
      </c>
    </row>
    <row r="75" spans="1:26" s="69" customFormat="1" ht="15" hidden="1" customHeight="1" outlineLevel="2" x14ac:dyDescent="0.25">
      <c r="A75" s="25"/>
      <c r="B75" s="12" t="str">
        <f>CONCATENATE("          ","6401"," - ","INTEREST EXPENSE")</f>
        <v xml:space="preserve">          6401 - INTEREST EXPENSE</v>
      </c>
      <c r="C75" s="12"/>
      <c r="D75" s="7">
        <v>11158</v>
      </c>
      <c r="E75" s="3"/>
      <c r="F75" s="8">
        <f t="shared" si="12"/>
        <v>5.4331897581208002E-2</v>
      </c>
      <c r="G75" s="3"/>
      <c r="H75" s="7">
        <v>11554</v>
      </c>
      <c r="I75" s="3"/>
      <c r="J75" s="8">
        <f t="shared" si="13"/>
        <v>0.1870828020321007</v>
      </c>
      <c r="K75" s="3"/>
      <c r="L75" s="7">
        <f t="shared" si="14"/>
        <v>-396</v>
      </c>
      <c r="M75" s="3"/>
      <c r="N75" s="8">
        <f t="shared" si="15"/>
        <v>-3.4273844555997926E-2</v>
      </c>
      <c r="O75" s="12"/>
      <c r="P75" s="7">
        <v>119450</v>
      </c>
      <c r="Q75" s="3"/>
      <c r="R75" s="8">
        <f t="shared" si="16"/>
        <v>5.9503512159312322E-2</v>
      </c>
      <c r="S75" s="3"/>
      <c r="T75" s="7">
        <v>123971</v>
      </c>
      <c r="U75" s="3"/>
      <c r="V75" s="8">
        <f t="shared" si="17"/>
        <v>0.23783314933403224</v>
      </c>
      <c r="W75" s="3"/>
      <c r="X75" s="7">
        <f t="shared" si="18"/>
        <v>-4521</v>
      </c>
      <c r="Y75" s="3"/>
      <c r="Z75" s="8">
        <f t="shared" si="19"/>
        <v>-3.6468206274047961E-2</v>
      </c>
    </row>
    <row r="76" spans="1:26" s="68" customFormat="1" ht="15" customHeight="1" outlineLevel="1" collapsed="1" x14ac:dyDescent="0.25">
      <c r="A76" s="26"/>
      <c r="B76" s="14" t="str">
        <f>CONCATENATE("     ","Professional Services                             ")</f>
        <v xml:space="preserve">     Professional Services                             </v>
      </c>
      <c r="C76" s="14"/>
      <c r="D76" s="2">
        <f>SUM(OSRRefD22_12x_0)</f>
        <v>511.58</v>
      </c>
      <c r="E76" s="2"/>
      <c r="F76" s="6">
        <f t="shared" si="12"/>
        <v>2.4910478727903198E-3</v>
      </c>
      <c r="G76" s="2"/>
      <c r="H76" s="2">
        <f>SUM(OSRRefH22_12x_0)</f>
        <v>0</v>
      </c>
      <c r="I76" s="2"/>
      <c r="J76" s="6">
        <f t="shared" si="13"/>
        <v>0</v>
      </c>
      <c r="K76" s="2"/>
      <c r="L76" s="2">
        <f t="shared" si="14"/>
        <v>511.58</v>
      </c>
      <c r="M76" s="2"/>
      <c r="N76" s="6">
        <f t="shared" si="15"/>
        <v>0</v>
      </c>
      <c r="O76" s="14"/>
      <c r="P76" s="2">
        <f>SUM(OSRRefP22_12x_0)</f>
        <v>511.58</v>
      </c>
      <c r="Q76" s="2"/>
      <c r="R76" s="6">
        <f t="shared" si="16"/>
        <v>2.5484141272884888E-4</v>
      </c>
      <c r="S76" s="2"/>
      <c r="T76" s="2">
        <f>SUM(OSRRefT22_12x_0)</f>
        <v>0</v>
      </c>
      <c r="U76" s="2"/>
      <c r="V76" s="6">
        <f t="shared" si="17"/>
        <v>0</v>
      </c>
      <c r="W76" s="2"/>
      <c r="X76" s="2">
        <f t="shared" si="18"/>
        <v>511.58</v>
      </c>
      <c r="Y76" s="2"/>
      <c r="Z76" s="6">
        <f t="shared" si="19"/>
        <v>0</v>
      </c>
    </row>
    <row r="77" spans="1:26" s="69" customFormat="1" ht="15" hidden="1" customHeight="1" outlineLevel="2" x14ac:dyDescent="0.25">
      <c r="A77" s="25"/>
      <c r="B77" s="12" t="str">
        <f>CONCATENATE("          ","6336"," - ","PROFESSIONAL SERVICES")</f>
        <v xml:space="preserve">          6336 - PROFESSIONAL SERVICES</v>
      </c>
      <c r="C77" s="12"/>
      <c r="D77" s="7">
        <v>511.58</v>
      </c>
      <c r="E77" s="3"/>
      <c r="F77" s="8">
        <f t="shared" si="12"/>
        <v>2.4910478727903198E-3</v>
      </c>
      <c r="G77" s="3"/>
      <c r="H77" s="7"/>
      <c r="I77" s="3"/>
      <c r="J77" s="8">
        <f t="shared" si="13"/>
        <v>0</v>
      </c>
      <c r="K77" s="3"/>
      <c r="L77" s="7">
        <f t="shared" si="14"/>
        <v>511.58</v>
      </c>
      <c r="M77" s="3"/>
      <c r="N77" s="8">
        <f t="shared" si="15"/>
        <v>0</v>
      </c>
      <c r="O77" s="12"/>
      <c r="P77" s="7">
        <v>511.58</v>
      </c>
      <c r="Q77" s="3"/>
      <c r="R77" s="8">
        <f t="shared" si="16"/>
        <v>2.5484141272884888E-4</v>
      </c>
      <c r="S77" s="3"/>
      <c r="T77" s="7"/>
      <c r="U77" s="3"/>
      <c r="V77" s="8">
        <f t="shared" si="17"/>
        <v>0</v>
      </c>
      <c r="W77" s="3"/>
      <c r="X77" s="7">
        <f t="shared" si="18"/>
        <v>511.58</v>
      </c>
      <c r="Y77" s="3"/>
      <c r="Z77" s="8">
        <f t="shared" si="19"/>
        <v>0</v>
      </c>
    </row>
    <row r="78" spans="1:26" s="68" customFormat="1" ht="15" customHeight="1" outlineLevel="1" collapsed="1" x14ac:dyDescent="0.25">
      <c r="A78" s="26"/>
      <c r="B78" s="14" t="str">
        <f>CONCATENATE("     ","Rent                                              ")</f>
        <v xml:space="preserve">     Rent                                              </v>
      </c>
      <c r="C78" s="14"/>
      <c r="D78" s="2">
        <f>SUM(OSRRefD22_13x_0)</f>
        <v>1850</v>
      </c>
      <c r="E78" s="2"/>
      <c r="F78" s="6">
        <f t="shared" si="12"/>
        <v>9.0082461485243605E-3</v>
      </c>
      <c r="G78" s="2"/>
      <c r="H78" s="2">
        <f>SUM(OSRRefH22_13x_0)</f>
        <v>1850</v>
      </c>
      <c r="I78" s="2"/>
      <c r="J78" s="6">
        <f t="shared" si="13"/>
        <v>2.9955269496225227E-2</v>
      </c>
      <c r="K78" s="2"/>
      <c r="L78" s="2">
        <f t="shared" si="14"/>
        <v>0</v>
      </c>
      <c r="M78" s="2"/>
      <c r="N78" s="6">
        <f t="shared" si="15"/>
        <v>0</v>
      </c>
      <c r="O78" s="14"/>
      <c r="P78" s="2">
        <f>SUM(OSRRefP22_13x_0)</f>
        <v>20350</v>
      </c>
      <c r="Q78" s="2"/>
      <c r="R78" s="6">
        <f t="shared" si="16"/>
        <v>1.0137266408053628E-2</v>
      </c>
      <c r="S78" s="2"/>
      <c r="T78" s="2">
        <f>SUM(OSRRefT22_13x_0)</f>
        <v>14800</v>
      </c>
      <c r="U78" s="2"/>
      <c r="V78" s="6">
        <f t="shared" si="17"/>
        <v>2.8393177518481558E-2</v>
      </c>
      <c r="W78" s="2"/>
      <c r="X78" s="2">
        <f t="shared" si="18"/>
        <v>5550</v>
      </c>
      <c r="Y78" s="2"/>
      <c r="Z78" s="6">
        <f t="shared" si="19"/>
        <v>0.375</v>
      </c>
    </row>
    <row r="79" spans="1:26" s="69" customFormat="1" ht="15" hidden="1" customHeight="1" outlineLevel="2" x14ac:dyDescent="0.25">
      <c r="A79" s="25"/>
      <c r="B79" s="12" t="str">
        <f>CONCATENATE("          ","6273"," - ","RENT")</f>
        <v xml:space="preserve">          6273 - RENT</v>
      </c>
      <c r="C79" s="12"/>
      <c r="D79" s="7">
        <v>1850</v>
      </c>
      <c r="E79" s="3"/>
      <c r="F79" s="8">
        <f t="shared" si="12"/>
        <v>9.0082461485243605E-3</v>
      </c>
      <c r="G79" s="3"/>
      <c r="H79" s="7">
        <v>1850</v>
      </c>
      <c r="I79" s="3"/>
      <c r="J79" s="8">
        <f t="shared" si="13"/>
        <v>2.9955269496225227E-2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>
        <v>20350</v>
      </c>
      <c r="Q79" s="3"/>
      <c r="R79" s="8">
        <f t="shared" si="16"/>
        <v>1.0137266408053628E-2</v>
      </c>
      <c r="S79" s="3"/>
      <c r="T79" s="7">
        <v>14800</v>
      </c>
      <c r="U79" s="3"/>
      <c r="V79" s="8">
        <f t="shared" si="17"/>
        <v>2.8393177518481558E-2</v>
      </c>
      <c r="W79" s="3"/>
      <c r="X79" s="7">
        <f t="shared" si="18"/>
        <v>5550</v>
      </c>
      <c r="Y79" s="3"/>
      <c r="Z79" s="8">
        <f t="shared" si="19"/>
        <v>0.375</v>
      </c>
    </row>
    <row r="80" spans="1:26" s="68" customFormat="1" ht="15" customHeight="1" outlineLevel="1" collapsed="1" x14ac:dyDescent="0.25">
      <c r="A80" s="26"/>
      <c r="B80" s="14" t="str">
        <f>CONCATENATE("     ","Repair and Maintenance                            ")</f>
        <v xml:space="preserve">     Repair and Maintenance                            </v>
      </c>
      <c r="C80" s="14"/>
      <c r="D80" s="2">
        <f>SUM(OSRRefD22_14x_0)</f>
        <v>8861.42</v>
      </c>
      <c r="E80" s="2"/>
      <c r="F80" s="6">
        <f t="shared" si="12"/>
        <v>4.3149109505652289E-2</v>
      </c>
      <c r="G80" s="2"/>
      <c r="H80" s="2">
        <f>SUM(OSRRefH22_14x_0)</f>
        <v>8616.18</v>
      </c>
      <c r="I80" s="2"/>
      <c r="J80" s="6">
        <f t="shared" si="13"/>
        <v>0.13951351023134373</v>
      </c>
      <c r="K80" s="2"/>
      <c r="L80" s="2">
        <f t="shared" si="14"/>
        <v>245.23999999999978</v>
      </c>
      <c r="M80" s="2"/>
      <c r="N80" s="6">
        <f t="shared" si="15"/>
        <v>2.8462729423015743E-2</v>
      </c>
      <c r="O80" s="14"/>
      <c r="P80" s="2">
        <f>SUM(OSRRefP22_14x_0)</f>
        <v>99273.65</v>
      </c>
      <c r="Q80" s="2"/>
      <c r="R80" s="6">
        <f t="shared" si="16"/>
        <v>4.9452748764121521E-2</v>
      </c>
      <c r="S80" s="2"/>
      <c r="T80" s="2">
        <f>SUM(OSRRefT22_14x_0)</f>
        <v>55349.14</v>
      </c>
      <c r="U80" s="2"/>
      <c r="V80" s="6">
        <f t="shared" si="17"/>
        <v>0.10618499712941137</v>
      </c>
      <c r="W80" s="2"/>
      <c r="X80" s="2">
        <f t="shared" si="18"/>
        <v>43924.509999999995</v>
      </c>
      <c r="Y80" s="2"/>
      <c r="Z80" s="6">
        <f t="shared" si="19"/>
        <v>0.79358974683256134</v>
      </c>
    </row>
    <row r="81" spans="1:26" s="69" customFormat="1" ht="15" hidden="1" customHeight="1" outlineLevel="2" x14ac:dyDescent="0.25">
      <c r="A81" s="25"/>
      <c r="B81" s="12" t="str">
        <f>CONCATENATE("          ","6371"," - ","COMPUTER SOFTWARE MAINTENANCE")</f>
        <v xml:space="preserve">          6371 - COMPUTER SOFTWARE MAINTENANCE</v>
      </c>
      <c r="C81" s="12"/>
      <c r="D81" s="7"/>
      <c r="E81" s="3"/>
      <c r="F81" s="8">
        <f t="shared" si="12"/>
        <v>0</v>
      </c>
      <c r="G81" s="3"/>
      <c r="H81" s="7">
        <v>8257.2000000000007</v>
      </c>
      <c r="I81" s="3"/>
      <c r="J81" s="8">
        <f t="shared" si="13"/>
        <v>0.13370089258607079</v>
      </c>
      <c r="K81" s="3"/>
      <c r="L81" s="7">
        <f t="shared" si="14"/>
        <v>-8257.2000000000007</v>
      </c>
      <c r="M81" s="3"/>
      <c r="N81" s="8">
        <f t="shared" si="15"/>
        <v>-1</v>
      </c>
      <c r="O81" s="12"/>
      <c r="P81" s="7">
        <v>16567.060000000001</v>
      </c>
      <c r="Q81" s="3"/>
      <c r="R81" s="8">
        <f t="shared" si="16"/>
        <v>8.2528108510176376E-3</v>
      </c>
      <c r="S81" s="3"/>
      <c r="T81" s="7">
        <v>8959.4699999999993</v>
      </c>
      <c r="U81" s="3"/>
      <c r="V81" s="8">
        <f t="shared" si="17"/>
        <v>1.7188366363615537E-2</v>
      </c>
      <c r="W81" s="3"/>
      <c r="X81" s="7">
        <f t="shared" si="18"/>
        <v>7607.590000000002</v>
      </c>
      <c r="Y81" s="3"/>
      <c r="Z81" s="8">
        <f t="shared" si="19"/>
        <v>0.84911161039659744</v>
      </c>
    </row>
    <row r="82" spans="1:26" s="69" customFormat="1" ht="15" hidden="1" customHeight="1" outlineLevel="2" x14ac:dyDescent="0.25">
      <c r="A82" s="25"/>
      <c r="B82" s="12" t="str">
        <f>CONCATENATE("          ","6372"," - ","COMPUTER HARDWARE MAINTENANCE")</f>
        <v xml:space="preserve">          6372 - COMPUTER HARDWARE MAINTENANCE</v>
      </c>
      <c r="C82" s="12"/>
      <c r="D82" s="7"/>
      <c r="E82" s="3"/>
      <c r="F82" s="8">
        <f t="shared" si="12"/>
        <v>0</v>
      </c>
      <c r="G82" s="3"/>
      <c r="H82" s="7"/>
      <c r="I82" s="3"/>
      <c r="J82" s="8">
        <f t="shared" si="13"/>
        <v>0</v>
      </c>
      <c r="K82" s="3"/>
      <c r="L82" s="7">
        <f t="shared" si="14"/>
        <v>0</v>
      </c>
      <c r="M82" s="3"/>
      <c r="N82" s="8">
        <f t="shared" si="15"/>
        <v>0</v>
      </c>
      <c r="O82" s="12"/>
      <c r="P82" s="7"/>
      <c r="Q82" s="3"/>
      <c r="R82" s="8">
        <f t="shared" si="16"/>
        <v>0</v>
      </c>
      <c r="S82" s="3"/>
      <c r="T82" s="7">
        <v>100</v>
      </c>
      <c r="U82" s="3"/>
      <c r="V82" s="8">
        <f t="shared" si="17"/>
        <v>1.9184579404379432E-4</v>
      </c>
      <c r="W82" s="3"/>
      <c r="X82" s="7">
        <f t="shared" si="18"/>
        <v>-100</v>
      </c>
      <c r="Y82" s="3"/>
      <c r="Z82" s="8">
        <f t="shared" si="19"/>
        <v>-1</v>
      </c>
    </row>
    <row r="83" spans="1:26" s="69" customFormat="1" ht="15" hidden="1" customHeight="1" outlineLevel="2" x14ac:dyDescent="0.25">
      <c r="A83" s="25"/>
      <c r="B83" s="12" t="str">
        <f>CONCATENATE("          ","6373"," - ","MAINTENANCE CONTRACTS")</f>
        <v xml:space="preserve">          6373 - MAINTENANCE CONTRACTS</v>
      </c>
      <c r="C83" s="12"/>
      <c r="D83" s="7">
        <v>4960.46</v>
      </c>
      <c r="E83" s="3"/>
      <c r="F83" s="8">
        <f t="shared" si="12"/>
        <v>2.4154078210761702E-2</v>
      </c>
      <c r="G83" s="3"/>
      <c r="H83" s="7"/>
      <c r="I83" s="3"/>
      <c r="J83" s="8">
        <f t="shared" si="13"/>
        <v>0</v>
      </c>
      <c r="K83" s="3"/>
      <c r="L83" s="7">
        <f t="shared" si="14"/>
        <v>4960.46</v>
      </c>
      <c r="M83" s="3"/>
      <c r="N83" s="8">
        <f t="shared" si="15"/>
        <v>0</v>
      </c>
      <c r="O83" s="12"/>
      <c r="P83" s="7">
        <v>22519.46</v>
      </c>
      <c r="Q83" s="3"/>
      <c r="R83" s="8">
        <f t="shared" si="16"/>
        <v>1.1217973729017559E-2</v>
      </c>
      <c r="S83" s="3"/>
      <c r="T83" s="7">
        <v>19481.849999999999</v>
      </c>
      <c r="U83" s="3"/>
      <c r="V83" s="8">
        <f t="shared" si="17"/>
        <v>3.7375109826920938E-2</v>
      </c>
      <c r="W83" s="3"/>
      <c r="X83" s="7">
        <f t="shared" si="18"/>
        <v>3037.6100000000006</v>
      </c>
      <c r="Y83" s="3"/>
      <c r="Z83" s="8">
        <f t="shared" si="19"/>
        <v>0.15591999733084902</v>
      </c>
    </row>
    <row r="84" spans="1:26" s="69" customFormat="1" ht="15" hidden="1" customHeight="1" outlineLevel="2" x14ac:dyDescent="0.25">
      <c r="A84" s="25"/>
      <c r="B84" s="12" t="str">
        <f>CONCATENATE("          ","6375"," - ","OUTSIDE REPAIRS &amp; MAINTENANCE")</f>
        <v xml:space="preserve">          6375 - OUTSIDE REPAIRS &amp; MAINTENANCE</v>
      </c>
      <c r="C84" s="12"/>
      <c r="D84" s="7">
        <v>3900.96</v>
      </c>
      <c r="E84" s="3"/>
      <c r="F84" s="8">
        <f t="shared" si="12"/>
        <v>1.8995031294890587E-2</v>
      </c>
      <c r="G84" s="3"/>
      <c r="H84" s="7">
        <v>358.98</v>
      </c>
      <c r="I84" s="3"/>
      <c r="J84" s="8">
        <f t="shared" si="13"/>
        <v>5.8126176452729366E-3</v>
      </c>
      <c r="K84" s="3"/>
      <c r="L84" s="7">
        <f t="shared" si="14"/>
        <v>3541.98</v>
      </c>
      <c r="M84" s="3"/>
      <c r="N84" s="8">
        <f t="shared" si="15"/>
        <v>9.8667892361691454</v>
      </c>
      <c r="O84" s="12"/>
      <c r="P84" s="7">
        <v>60187.13</v>
      </c>
      <c r="Q84" s="3"/>
      <c r="R84" s="8">
        <f t="shared" si="16"/>
        <v>2.9981964184086322E-2</v>
      </c>
      <c r="S84" s="3"/>
      <c r="T84" s="7">
        <v>26807.82</v>
      </c>
      <c r="U84" s="3"/>
      <c r="V84" s="8">
        <f t="shared" si="17"/>
        <v>5.14296751448311E-2</v>
      </c>
      <c r="W84" s="3"/>
      <c r="X84" s="7">
        <f t="shared" si="18"/>
        <v>33379.31</v>
      </c>
      <c r="Y84" s="3"/>
      <c r="Z84" s="8">
        <f t="shared" si="19"/>
        <v>1.2451333230378299</v>
      </c>
    </row>
    <row r="85" spans="1:26" s="68" customFormat="1" ht="15" customHeight="1" outlineLevel="1" collapsed="1" x14ac:dyDescent="0.25">
      <c r="A85" s="26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2">
        <f>SUM(OSRRefD22_15x_0)</f>
        <v>123.36</v>
      </c>
      <c r="E85" s="2"/>
      <c r="F85" s="6">
        <f t="shared" si="12"/>
        <v>6.0067959182808915E-4</v>
      </c>
      <c r="G85" s="2"/>
      <c r="H85" s="2">
        <f>SUM(OSRRefH22_15x_0)</f>
        <v>0</v>
      </c>
      <c r="I85" s="2"/>
      <c r="J85" s="6">
        <f t="shared" si="13"/>
        <v>0</v>
      </c>
      <c r="K85" s="2"/>
      <c r="L85" s="2">
        <f t="shared" si="14"/>
        <v>123.36</v>
      </c>
      <c r="M85" s="2"/>
      <c r="N85" s="6">
        <f t="shared" si="15"/>
        <v>0</v>
      </c>
      <c r="O85" s="14"/>
      <c r="P85" s="2">
        <f>SUM(OSRRefP22_15x_0)</f>
        <v>10553.93</v>
      </c>
      <c r="Q85" s="2"/>
      <c r="R85" s="6">
        <f t="shared" si="16"/>
        <v>5.257395580439775E-3</v>
      </c>
      <c r="S85" s="2"/>
      <c r="T85" s="2">
        <f>SUM(OSRRefT22_15x_0)</f>
        <v>185.7</v>
      </c>
      <c r="U85" s="2"/>
      <c r="V85" s="6">
        <f t="shared" si="17"/>
        <v>3.5625763953932603E-4</v>
      </c>
      <c r="W85" s="2"/>
      <c r="X85" s="2">
        <f t="shared" si="18"/>
        <v>10368.23</v>
      </c>
      <c r="Y85" s="2"/>
      <c r="Z85" s="6">
        <f t="shared" si="19"/>
        <v>55.833225632740984</v>
      </c>
    </row>
    <row r="86" spans="1:26" s="69" customFormat="1" ht="15" hidden="1" customHeight="1" outlineLevel="2" x14ac:dyDescent="0.25">
      <c r="A86" s="25"/>
      <c r="B86" s="12" t="str">
        <f>CONCATENATE("          ","6254"," - ","ROYALTY &amp; COMMISSIONS")</f>
        <v xml:space="preserve">          6254 - ROYALTY &amp; COMMISSIONS</v>
      </c>
      <c r="C86" s="12"/>
      <c r="D86" s="7">
        <v>123.36</v>
      </c>
      <c r="E86" s="3"/>
      <c r="F86" s="8">
        <f t="shared" si="12"/>
        <v>6.0067959182808915E-4</v>
      </c>
      <c r="G86" s="3"/>
      <c r="H86" s="7"/>
      <c r="I86" s="3"/>
      <c r="J86" s="8">
        <f t="shared" si="13"/>
        <v>0</v>
      </c>
      <c r="K86" s="3"/>
      <c r="L86" s="7">
        <f t="shared" si="14"/>
        <v>123.36</v>
      </c>
      <c r="M86" s="3"/>
      <c r="N86" s="8">
        <f t="shared" si="15"/>
        <v>0</v>
      </c>
      <c r="O86" s="12"/>
      <c r="P86" s="7">
        <v>10553.93</v>
      </c>
      <c r="Q86" s="3"/>
      <c r="R86" s="8">
        <f t="shared" si="16"/>
        <v>5.257395580439775E-3</v>
      </c>
      <c r="S86" s="3"/>
      <c r="T86" s="7">
        <v>185.7</v>
      </c>
      <c r="U86" s="3"/>
      <c r="V86" s="8">
        <f t="shared" si="17"/>
        <v>3.5625763953932603E-4</v>
      </c>
      <c r="W86" s="3"/>
      <c r="X86" s="7">
        <f t="shared" si="18"/>
        <v>10368.23</v>
      </c>
      <c r="Y86" s="3"/>
      <c r="Z86" s="8">
        <f t="shared" si="19"/>
        <v>55.833225632740984</v>
      </c>
    </row>
    <row r="87" spans="1:26" s="68" customFormat="1" ht="15" customHeight="1" outlineLevel="1" collapsed="1" x14ac:dyDescent="0.25">
      <c r="A87" s="26"/>
      <c r="B87" s="14" t="str">
        <f>CONCATENATE("     ","Services                                          ")</f>
        <v xml:space="preserve">     Services                                          </v>
      </c>
      <c r="C87" s="14"/>
      <c r="D87" s="2">
        <f>SUM(OSRRefD22_16x_0)</f>
        <v>5724.43</v>
      </c>
      <c r="E87" s="2"/>
      <c r="F87" s="6">
        <f t="shared" si="12"/>
        <v>2.7874094324322866E-2</v>
      </c>
      <c r="G87" s="2"/>
      <c r="H87" s="2">
        <f>SUM(OSRRefH22_16x_0)</f>
        <v>9774.8700000000008</v>
      </c>
      <c r="I87" s="2"/>
      <c r="J87" s="6">
        <f t="shared" si="13"/>
        <v>0.15827506223814439</v>
      </c>
      <c r="K87" s="2"/>
      <c r="L87" s="2">
        <f t="shared" si="14"/>
        <v>-4050.4400000000005</v>
      </c>
      <c r="M87" s="2"/>
      <c r="N87" s="6">
        <f t="shared" si="15"/>
        <v>-0.41437277426707469</v>
      </c>
      <c r="O87" s="14"/>
      <c r="P87" s="2">
        <f>SUM(OSRRefP22_16x_0)</f>
        <v>86285.16</v>
      </c>
      <c r="Q87" s="2"/>
      <c r="R87" s="6">
        <f t="shared" si="16"/>
        <v>4.298258741923993E-2</v>
      </c>
      <c r="S87" s="2"/>
      <c r="T87" s="2">
        <f>SUM(OSRRefT22_16x_0)</f>
        <v>67102.31</v>
      </c>
      <c r="U87" s="2"/>
      <c r="V87" s="6">
        <f t="shared" si="17"/>
        <v>0.1287329594412284</v>
      </c>
      <c r="W87" s="2"/>
      <c r="X87" s="2">
        <f t="shared" si="18"/>
        <v>19182.850000000006</v>
      </c>
      <c r="Y87" s="2"/>
      <c r="Z87" s="6">
        <f t="shared" si="19"/>
        <v>0.28587465915852983</v>
      </c>
    </row>
    <row r="88" spans="1:26" s="69" customFormat="1" ht="15" hidden="1" customHeight="1" outlineLevel="2" x14ac:dyDescent="0.25">
      <c r="A88" s="25"/>
      <c r="B88" s="12" t="str">
        <f>CONCATENATE("          ","6282"," - ","JANITORIAL/EXTERMINATOR EXPENS")</f>
        <v xml:space="preserve">          6282 - JANITORIAL/EXTERMINATOR EXPENS</v>
      </c>
      <c r="C88" s="12"/>
      <c r="D88" s="7">
        <v>866.15</v>
      </c>
      <c r="E88" s="3"/>
      <c r="F88" s="8">
        <f t="shared" si="12"/>
        <v>4.2175634602942564E-3</v>
      </c>
      <c r="G88" s="3"/>
      <c r="H88" s="7">
        <v>970.35</v>
      </c>
      <c r="I88" s="3"/>
      <c r="J88" s="8">
        <f t="shared" si="13"/>
        <v>1.5711943651709269E-2</v>
      </c>
      <c r="K88" s="3"/>
      <c r="L88" s="7">
        <f t="shared" si="14"/>
        <v>-104.20000000000005</v>
      </c>
      <c r="M88" s="3"/>
      <c r="N88" s="8">
        <f t="shared" si="15"/>
        <v>-0.10738393363219462</v>
      </c>
      <c r="O88" s="12"/>
      <c r="P88" s="7">
        <v>15608.11</v>
      </c>
      <c r="Q88" s="3"/>
      <c r="R88" s="8">
        <f t="shared" si="16"/>
        <v>7.7751139654155237E-3</v>
      </c>
      <c r="S88" s="3"/>
      <c r="T88" s="7">
        <v>13172.59</v>
      </c>
      <c r="U88" s="3"/>
      <c r="V88" s="8">
        <f t="shared" si="17"/>
        <v>2.5271059881633445E-2</v>
      </c>
      <c r="W88" s="3"/>
      <c r="X88" s="7">
        <f t="shared" si="18"/>
        <v>2435.5200000000004</v>
      </c>
      <c r="Y88" s="3"/>
      <c r="Z88" s="8">
        <f t="shared" si="19"/>
        <v>0.18489302407499211</v>
      </c>
    </row>
    <row r="89" spans="1:26" s="69" customFormat="1" ht="15" hidden="1" customHeight="1" outlineLevel="2" x14ac:dyDescent="0.25">
      <c r="A89" s="25"/>
      <c r="B89" s="12" t="str">
        <f>CONCATENATE("          ","6284"," - ","TRASH REMOVAL EXPENSE")</f>
        <v xml:space="preserve">          6284 - TRASH REMOVAL EXPENSE</v>
      </c>
      <c r="C89" s="12"/>
      <c r="D89" s="7"/>
      <c r="E89" s="3"/>
      <c r="F89" s="8">
        <f t="shared" si="12"/>
        <v>0</v>
      </c>
      <c r="G89" s="3"/>
      <c r="H89" s="7">
        <v>5419</v>
      </c>
      <c r="I89" s="3"/>
      <c r="J89" s="8">
        <f t="shared" si="13"/>
        <v>8.7744651567591633E-2</v>
      </c>
      <c r="K89" s="3"/>
      <c r="L89" s="7">
        <f t="shared" si="14"/>
        <v>-5419</v>
      </c>
      <c r="M89" s="3"/>
      <c r="N89" s="8">
        <f t="shared" si="15"/>
        <v>-1</v>
      </c>
      <c r="O89" s="12"/>
      <c r="P89" s="7"/>
      <c r="Q89" s="3"/>
      <c r="R89" s="8">
        <f t="shared" si="16"/>
        <v>0</v>
      </c>
      <c r="S89" s="3"/>
      <c r="T89" s="7">
        <v>32595</v>
      </c>
      <c r="U89" s="3"/>
      <c r="V89" s="8">
        <f t="shared" si="17"/>
        <v>6.2532136568574759E-2</v>
      </c>
      <c r="W89" s="3"/>
      <c r="X89" s="7">
        <f t="shared" si="18"/>
        <v>-32595</v>
      </c>
      <c r="Y89" s="3"/>
      <c r="Z89" s="8">
        <f t="shared" si="19"/>
        <v>-1</v>
      </c>
    </row>
    <row r="90" spans="1:26" s="69" customFormat="1" ht="15" hidden="1" customHeight="1" outlineLevel="2" x14ac:dyDescent="0.25">
      <c r="A90" s="25"/>
      <c r="B90" s="12" t="str">
        <f>CONCATENATE("          ","6285"," - ","JANITORIAL SERVICES")</f>
        <v xml:space="preserve">          6285 - JANITORIAL SERVICES</v>
      </c>
      <c r="C90" s="12"/>
      <c r="D90" s="7">
        <v>3385.52</v>
      </c>
      <c r="E90" s="3"/>
      <c r="F90" s="8">
        <f t="shared" si="12"/>
        <v>1.6485187838244427E-2</v>
      </c>
      <c r="G90" s="3"/>
      <c r="H90" s="7">
        <v>3385.52</v>
      </c>
      <c r="I90" s="3"/>
      <c r="J90" s="8">
        <f t="shared" si="13"/>
        <v>5.4818467018843478E-2</v>
      </c>
      <c r="K90" s="3"/>
      <c r="L90" s="7">
        <f t="shared" si="14"/>
        <v>0</v>
      </c>
      <c r="M90" s="3"/>
      <c r="N90" s="8">
        <f t="shared" si="15"/>
        <v>0</v>
      </c>
      <c r="O90" s="12"/>
      <c r="P90" s="7">
        <v>63033.74</v>
      </c>
      <c r="Q90" s="3"/>
      <c r="R90" s="8">
        <f t="shared" si="16"/>
        <v>3.1399990912824874E-2</v>
      </c>
      <c r="S90" s="3"/>
      <c r="T90" s="7">
        <v>20430.009999999998</v>
      </c>
      <c r="U90" s="3"/>
      <c r="V90" s="8">
        <f t="shared" si="17"/>
        <v>3.9194114907726577E-2</v>
      </c>
      <c r="W90" s="3"/>
      <c r="X90" s="7">
        <f t="shared" si="18"/>
        <v>42603.729999999996</v>
      </c>
      <c r="Y90" s="3"/>
      <c r="Z90" s="8">
        <f t="shared" si="19"/>
        <v>2.0853504232254414</v>
      </c>
    </row>
    <row r="91" spans="1:26" s="69" customFormat="1" ht="15" hidden="1" customHeight="1" outlineLevel="2" x14ac:dyDescent="0.25">
      <c r="A91" s="25"/>
      <c r="B91" s="12" t="str">
        <f>CONCATENATE("          ","6286"," - ","LAUNDRY EXPENSE")</f>
        <v xml:space="preserve">          6286 - LAUNDRY EXPENSE</v>
      </c>
      <c r="C91" s="12"/>
      <c r="D91" s="7">
        <v>1472.76</v>
      </c>
      <c r="E91" s="3"/>
      <c r="F91" s="8">
        <f t="shared" si="12"/>
        <v>7.1713430257841814E-3</v>
      </c>
      <c r="G91" s="3"/>
      <c r="H91" s="7"/>
      <c r="I91" s="3"/>
      <c r="J91" s="8">
        <f t="shared" si="13"/>
        <v>0</v>
      </c>
      <c r="K91" s="3"/>
      <c r="L91" s="7">
        <f t="shared" si="14"/>
        <v>1472.76</v>
      </c>
      <c r="M91" s="3"/>
      <c r="N91" s="8">
        <f t="shared" si="15"/>
        <v>0</v>
      </c>
      <c r="O91" s="12"/>
      <c r="P91" s="7">
        <v>7643.31</v>
      </c>
      <c r="Q91" s="3"/>
      <c r="R91" s="8">
        <f t="shared" si="16"/>
        <v>3.8074825409995269E-3</v>
      </c>
      <c r="S91" s="3"/>
      <c r="T91" s="7">
        <v>904.71</v>
      </c>
      <c r="U91" s="3"/>
      <c r="V91" s="8">
        <f t="shared" si="17"/>
        <v>1.7356480832936116E-3</v>
      </c>
      <c r="W91" s="3"/>
      <c r="X91" s="7">
        <f t="shared" si="18"/>
        <v>6738.6</v>
      </c>
      <c r="Y91" s="3"/>
      <c r="Z91" s="8">
        <f t="shared" si="19"/>
        <v>7.4483536160758694</v>
      </c>
    </row>
    <row r="92" spans="1:26" s="68" customFormat="1" ht="15" customHeight="1" outlineLevel="1" collapsed="1" x14ac:dyDescent="0.25">
      <c r="A92" s="26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2">
        <f>SUM(OSRRefD22_17x_0)</f>
        <v>560.5</v>
      </c>
      <c r="E92" s="2"/>
      <c r="F92" s="6">
        <f t="shared" si="12"/>
        <v>2.7292551168907587E-3</v>
      </c>
      <c r="G92" s="2"/>
      <c r="H92" s="2">
        <f>SUM(OSRRefH22_17x_0)</f>
        <v>132.16999999999999</v>
      </c>
      <c r="I92" s="2"/>
      <c r="J92" s="6">
        <f t="shared" si="13"/>
        <v>2.1401016050357231E-3</v>
      </c>
      <c r="K92" s="2"/>
      <c r="L92" s="2">
        <f t="shared" si="14"/>
        <v>428.33000000000004</v>
      </c>
      <c r="M92" s="2"/>
      <c r="N92" s="6">
        <f t="shared" si="15"/>
        <v>3.2407505485359769</v>
      </c>
      <c r="O92" s="14"/>
      <c r="P92" s="2">
        <f>SUM(OSRRefP22_17x_0)</f>
        <v>6967.9</v>
      </c>
      <c r="Q92" s="2"/>
      <c r="R92" s="6">
        <f t="shared" si="16"/>
        <v>3.4710299068637283E-3</v>
      </c>
      <c r="S92" s="2"/>
      <c r="T92" s="2">
        <f>SUM(OSRRefT22_17x_0)</f>
        <v>1048.25</v>
      </c>
      <c r="U92" s="2"/>
      <c r="V92" s="6">
        <f t="shared" si="17"/>
        <v>2.011023536064074E-3</v>
      </c>
      <c r="W92" s="2"/>
      <c r="X92" s="2">
        <f t="shared" si="18"/>
        <v>5919.65</v>
      </c>
      <c r="Y92" s="2"/>
      <c r="Z92" s="6">
        <f t="shared" si="19"/>
        <v>5.6471738611972331</v>
      </c>
    </row>
    <row r="93" spans="1:26" s="69" customFormat="1" ht="15" hidden="1" customHeight="1" outlineLevel="2" x14ac:dyDescent="0.25">
      <c r="A93" s="25"/>
      <c r="B93" s="12" t="str">
        <f>CONCATENATE("          ","6275"," - ","SUBSCRIPTIONS")</f>
        <v xml:space="preserve">          6275 - SUBSCRIPTIONS</v>
      </c>
      <c r="C93" s="12"/>
      <c r="D93" s="7">
        <v>560.5</v>
      </c>
      <c r="E93" s="3"/>
      <c r="F93" s="8">
        <f t="shared" si="12"/>
        <v>2.7292551168907587E-3</v>
      </c>
      <c r="G93" s="3"/>
      <c r="H93" s="7">
        <v>132.16999999999999</v>
      </c>
      <c r="I93" s="3"/>
      <c r="J93" s="8">
        <f t="shared" si="13"/>
        <v>2.1401016050357231E-3</v>
      </c>
      <c r="K93" s="3"/>
      <c r="L93" s="7">
        <f t="shared" si="14"/>
        <v>428.33000000000004</v>
      </c>
      <c r="M93" s="3"/>
      <c r="N93" s="8">
        <f t="shared" si="15"/>
        <v>3.2407505485359769</v>
      </c>
      <c r="O93" s="12"/>
      <c r="P93" s="7">
        <v>6967.9</v>
      </c>
      <c r="Q93" s="3"/>
      <c r="R93" s="8">
        <f t="shared" si="16"/>
        <v>3.4710299068637283E-3</v>
      </c>
      <c r="S93" s="3"/>
      <c r="T93" s="7">
        <v>1048.25</v>
      </c>
      <c r="U93" s="3"/>
      <c r="V93" s="8">
        <f t="shared" si="17"/>
        <v>2.011023536064074E-3</v>
      </c>
      <c r="W93" s="3"/>
      <c r="X93" s="7">
        <f t="shared" si="18"/>
        <v>5919.65</v>
      </c>
      <c r="Y93" s="3"/>
      <c r="Z93" s="8">
        <f t="shared" si="19"/>
        <v>5.6471738611972331</v>
      </c>
    </row>
    <row r="94" spans="1:26" s="68" customFormat="1" ht="15" customHeight="1" outlineLevel="1" collapsed="1" x14ac:dyDescent="0.25">
      <c r="A94" s="26"/>
      <c r="B94" s="14" t="str">
        <f>CONCATENATE("     ","Supplies                                          ")</f>
        <v xml:space="preserve">     Supplies                                          </v>
      </c>
      <c r="C94" s="14"/>
      <c r="D94" s="2">
        <f>SUM(OSRRefD22_18x_0)</f>
        <v>3387.25</v>
      </c>
      <c r="E94" s="2"/>
      <c r="F94" s="6">
        <f t="shared" si="12"/>
        <v>1.6493611765723858E-2</v>
      </c>
      <c r="G94" s="2"/>
      <c r="H94" s="2">
        <f>SUM(OSRRefH22_18x_0)</f>
        <v>-27.79</v>
      </c>
      <c r="I94" s="2"/>
      <c r="J94" s="6">
        <f t="shared" si="13"/>
        <v>-4.4997672394599949E-4</v>
      </c>
      <c r="K94" s="2"/>
      <c r="L94" s="2">
        <f t="shared" si="14"/>
        <v>3415.04</v>
      </c>
      <c r="M94" s="2"/>
      <c r="N94" s="6">
        <f t="shared" si="15"/>
        <v>-122.88736955739475</v>
      </c>
      <c r="O94" s="14"/>
      <c r="P94" s="2">
        <f>SUM(OSRRefP22_18x_0)</f>
        <v>42658.899999999994</v>
      </c>
      <c r="Q94" s="2"/>
      <c r="R94" s="6">
        <f t="shared" si="16"/>
        <v>2.1250350563858419E-2</v>
      </c>
      <c r="S94" s="2"/>
      <c r="T94" s="2">
        <f>SUM(OSRRefT22_18x_0)</f>
        <v>-19558.300000000003</v>
      </c>
      <c r="U94" s="2"/>
      <c r="V94" s="6">
        <f t="shared" si="17"/>
        <v>-3.7521775936467432E-2</v>
      </c>
      <c r="W94" s="2"/>
      <c r="X94" s="2">
        <f t="shared" si="18"/>
        <v>62217.2</v>
      </c>
      <c r="Y94" s="2"/>
      <c r="Z94" s="6">
        <f t="shared" si="19"/>
        <v>-3.181114923076136</v>
      </c>
    </row>
    <row r="95" spans="1:26" s="69" customFormat="1" ht="15" hidden="1" customHeight="1" outlineLevel="2" x14ac:dyDescent="0.25">
      <c r="A95" s="25"/>
      <c r="B95" s="12" t="str">
        <f>CONCATENATE("          ","6234"," - ","EXPENDABLE SUPPLIES &amp; EQUIPMEN")</f>
        <v xml:space="preserve">          6234 - EXPENDABLE SUPPLIES &amp; EQUIPMEN</v>
      </c>
      <c r="C95" s="12"/>
      <c r="D95" s="7"/>
      <c r="E95" s="3"/>
      <c r="F95" s="8">
        <f t="shared" si="12"/>
        <v>0</v>
      </c>
      <c r="G95" s="3"/>
      <c r="H95" s="7"/>
      <c r="I95" s="3"/>
      <c r="J95" s="8">
        <f t="shared" si="13"/>
        <v>0</v>
      </c>
      <c r="K95" s="3"/>
      <c r="L95" s="7">
        <f t="shared" si="14"/>
        <v>0</v>
      </c>
      <c r="M95" s="3"/>
      <c r="N95" s="8">
        <f t="shared" si="15"/>
        <v>0</v>
      </c>
      <c r="O95" s="12"/>
      <c r="P95" s="7">
        <v>1536.73</v>
      </c>
      <c r="Q95" s="3"/>
      <c r="R95" s="8">
        <f t="shared" si="16"/>
        <v>7.6551554826772737E-4</v>
      </c>
      <c r="S95" s="3"/>
      <c r="T95" s="7">
        <v>653.83000000000004</v>
      </c>
      <c r="U95" s="3"/>
      <c r="V95" s="8">
        <f t="shared" si="17"/>
        <v>1.2543453551965404E-3</v>
      </c>
      <c r="W95" s="3"/>
      <c r="X95" s="7">
        <f t="shared" si="18"/>
        <v>882.9</v>
      </c>
      <c r="Y95" s="3"/>
      <c r="Z95" s="8">
        <f t="shared" si="19"/>
        <v>1.3503510086719788</v>
      </c>
    </row>
    <row r="96" spans="1:26" s="69" customFormat="1" ht="15" hidden="1" customHeight="1" outlineLevel="2" x14ac:dyDescent="0.25">
      <c r="A96" s="25"/>
      <c r="B96" s="12" t="str">
        <f>CONCATENATE("          ","6235"," - ","COVID-19 EXPENSES")</f>
        <v xml:space="preserve">          6235 - COVID-19 EXPENSES</v>
      </c>
      <c r="C96" s="12"/>
      <c r="D96" s="7"/>
      <c r="E96" s="3"/>
      <c r="F96" s="8">
        <f t="shared" si="12"/>
        <v>0</v>
      </c>
      <c r="G96" s="3"/>
      <c r="H96" s="7"/>
      <c r="I96" s="3"/>
      <c r="J96" s="8">
        <f t="shared" si="13"/>
        <v>0</v>
      </c>
      <c r="K96" s="3"/>
      <c r="L96" s="7">
        <f t="shared" si="14"/>
        <v>0</v>
      </c>
      <c r="M96" s="3"/>
      <c r="N96" s="8">
        <f t="shared" si="15"/>
        <v>0</v>
      </c>
      <c r="O96" s="12"/>
      <c r="P96" s="7">
        <v>690.53</v>
      </c>
      <c r="Q96" s="3"/>
      <c r="R96" s="8">
        <f t="shared" si="16"/>
        <v>3.4398459816969393E-4</v>
      </c>
      <c r="S96" s="3"/>
      <c r="T96" s="7">
        <v>7154.58</v>
      </c>
      <c r="U96" s="3"/>
      <c r="V96" s="8">
        <f t="shared" si="17"/>
        <v>1.3725760811498499E-2</v>
      </c>
      <c r="W96" s="3"/>
      <c r="X96" s="7">
        <f t="shared" si="18"/>
        <v>-6464.05</v>
      </c>
      <c r="Y96" s="3"/>
      <c r="Z96" s="8">
        <f t="shared" si="19"/>
        <v>-0.90348420172812383</v>
      </c>
    </row>
    <row r="97" spans="1:26" s="69" customFormat="1" ht="15" hidden="1" customHeight="1" outlineLevel="2" x14ac:dyDescent="0.25">
      <c r="A97" s="25"/>
      <c r="B97" s="12" t="str">
        <f>CONCATENATE("          ","6237"," - ","JANITORIAL SUPPLIES")</f>
        <v xml:space="preserve">          6237 - JANITORIAL SUPPLIES</v>
      </c>
      <c r="C97" s="12"/>
      <c r="D97" s="7">
        <v>1152.23</v>
      </c>
      <c r="E97" s="3"/>
      <c r="F97" s="8">
        <f t="shared" si="12"/>
        <v>5.6105791674130939E-3</v>
      </c>
      <c r="G97" s="3"/>
      <c r="H97" s="7">
        <v>-30</v>
      </c>
      <c r="I97" s="3"/>
      <c r="J97" s="8">
        <f t="shared" si="13"/>
        <v>-4.8576112696581452E-4</v>
      </c>
      <c r="K97" s="3"/>
      <c r="L97" s="7">
        <f t="shared" si="14"/>
        <v>1182.23</v>
      </c>
      <c r="M97" s="3"/>
      <c r="N97" s="8">
        <f t="shared" si="15"/>
        <v>-39.407666666666664</v>
      </c>
      <c r="O97" s="12"/>
      <c r="P97" s="7">
        <v>9918.7999999999993</v>
      </c>
      <c r="Q97" s="3"/>
      <c r="R97" s="8">
        <f t="shared" si="16"/>
        <v>4.9410082578969193E-3</v>
      </c>
      <c r="S97" s="3"/>
      <c r="T97" s="7">
        <v>646.48</v>
      </c>
      <c r="U97" s="3"/>
      <c r="V97" s="8">
        <f t="shared" si="17"/>
        <v>1.2402446893343216E-3</v>
      </c>
      <c r="W97" s="3"/>
      <c r="X97" s="7">
        <f t="shared" si="18"/>
        <v>9272.32</v>
      </c>
      <c r="Y97" s="3"/>
      <c r="Z97" s="8">
        <f t="shared" si="19"/>
        <v>14.342779358990223</v>
      </c>
    </row>
    <row r="98" spans="1:26" s="69" customFormat="1" ht="15" hidden="1" customHeight="1" outlineLevel="2" x14ac:dyDescent="0.25">
      <c r="A98" s="25"/>
      <c r="B98" s="12" t="str">
        <f>CONCATENATE("          ","6239"," - ","KITCHEN SUPPLIES")</f>
        <v xml:space="preserve">          6239 - KITCHEN SUPPLIES</v>
      </c>
      <c r="C98" s="12"/>
      <c r="D98" s="7">
        <v>498.34</v>
      </c>
      <c r="E98" s="3"/>
      <c r="F98" s="8">
        <f t="shared" si="12"/>
        <v>2.4265780463003403E-3</v>
      </c>
      <c r="G98" s="3"/>
      <c r="H98" s="7"/>
      <c r="I98" s="3"/>
      <c r="J98" s="8">
        <f t="shared" si="13"/>
        <v>0</v>
      </c>
      <c r="K98" s="3"/>
      <c r="L98" s="7">
        <f t="shared" si="14"/>
        <v>498.34</v>
      </c>
      <c r="M98" s="3"/>
      <c r="N98" s="8">
        <f t="shared" si="15"/>
        <v>0</v>
      </c>
      <c r="O98" s="12"/>
      <c r="P98" s="7">
        <v>9426.49</v>
      </c>
      <c r="Q98" s="3"/>
      <c r="R98" s="8">
        <f t="shared" si="16"/>
        <v>4.6957661141451322E-3</v>
      </c>
      <c r="S98" s="3"/>
      <c r="T98" s="7">
        <v>19.829999999999998</v>
      </c>
      <c r="U98" s="3"/>
      <c r="V98" s="8">
        <f t="shared" si="17"/>
        <v>3.804302095888441E-5</v>
      </c>
      <c r="W98" s="3"/>
      <c r="X98" s="7">
        <f t="shared" si="18"/>
        <v>9406.66</v>
      </c>
      <c r="Y98" s="3"/>
      <c r="Z98" s="8">
        <f t="shared" si="19"/>
        <v>474.36510337871914</v>
      </c>
    </row>
    <row r="99" spans="1:26" s="69" customFormat="1" ht="15" hidden="1" customHeight="1" outlineLevel="2" x14ac:dyDescent="0.25">
      <c r="A99" s="25"/>
      <c r="B99" s="12" t="str">
        <f>CONCATENATE("          ","6241"," - ","OFFICE EXPENSE")</f>
        <v xml:space="preserve">          6241 - OFFICE EXPENSE</v>
      </c>
      <c r="C99" s="12"/>
      <c r="D99" s="7"/>
      <c r="E99" s="3"/>
      <c r="F99" s="8">
        <f t="shared" ref="F99:F112" si="20">IF(D$12=0,0,D99/D$12)</f>
        <v>0</v>
      </c>
      <c r="G99" s="3"/>
      <c r="H99" s="7">
        <v>2.21</v>
      </c>
      <c r="I99" s="3"/>
      <c r="J99" s="8">
        <f t="shared" ref="J99:J112" si="21">IF(H$12=0,0,H99/H$12)</f>
        <v>3.5784403019814998E-5</v>
      </c>
      <c r="K99" s="3"/>
      <c r="L99" s="7">
        <f t="shared" ref="L99:L112" si="22">+D99-H99</f>
        <v>-2.21</v>
      </c>
      <c r="M99" s="3"/>
      <c r="N99" s="8">
        <f t="shared" ref="N99:N112" si="23">IF(H99=0,0,L99/H99)</f>
        <v>-1</v>
      </c>
      <c r="O99" s="12"/>
      <c r="P99" s="7">
        <v>8089.96</v>
      </c>
      <c r="Q99" s="3"/>
      <c r="R99" s="8">
        <f t="shared" ref="R99:R112" si="24">IF(P$12=0,0,P99/P$12)</f>
        <v>4.029979348918797E-3</v>
      </c>
      <c r="S99" s="3"/>
      <c r="T99" s="7">
        <v>-28409.63</v>
      </c>
      <c r="U99" s="3"/>
      <c r="V99" s="8">
        <f t="shared" ref="V99:V112" si="25">IF(T$12=0,0,T99/T$12)</f>
        <v>-5.4502680258404004E-2</v>
      </c>
      <c r="W99" s="3"/>
      <c r="X99" s="7">
        <f t="shared" ref="X99:X112" si="26">+P99-T99</f>
        <v>36499.590000000004</v>
      </c>
      <c r="Y99" s="3"/>
      <c r="Z99" s="8">
        <f t="shared" ref="Z99:Z112" si="27">IF(T99=0,0,X99/T99)</f>
        <v>-1.2847611883716896</v>
      </c>
    </row>
    <row r="100" spans="1:26" s="69" customFormat="1" ht="15" hidden="1" customHeight="1" outlineLevel="2" x14ac:dyDescent="0.25">
      <c r="A100" s="25"/>
      <c r="B100" s="12" t="str">
        <f>CONCATENATE("          ","6243"," - ","PAPER SUPPLIES")</f>
        <v xml:space="preserve">          6243 - PAPER SUPPLIES</v>
      </c>
      <c r="C100" s="12"/>
      <c r="D100" s="7">
        <v>887.91</v>
      </c>
      <c r="E100" s="3"/>
      <c r="F100" s="8">
        <f t="shared" si="20"/>
        <v>4.3235199122898726E-3</v>
      </c>
      <c r="G100" s="3"/>
      <c r="H100" s="7"/>
      <c r="I100" s="3"/>
      <c r="J100" s="8">
        <f t="shared" si="21"/>
        <v>0</v>
      </c>
      <c r="K100" s="3"/>
      <c r="L100" s="7">
        <f t="shared" si="22"/>
        <v>887.91</v>
      </c>
      <c r="M100" s="3"/>
      <c r="N100" s="8">
        <f t="shared" si="23"/>
        <v>0</v>
      </c>
      <c r="O100" s="12"/>
      <c r="P100" s="7">
        <v>4203.72</v>
      </c>
      <c r="Q100" s="3"/>
      <c r="R100" s="8">
        <f t="shared" si="24"/>
        <v>2.0940653338999112E-3</v>
      </c>
      <c r="S100" s="3"/>
      <c r="T100" s="7">
        <v>255.33</v>
      </c>
      <c r="U100" s="3"/>
      <c r="V100" s="8">
        <f t="shared" si="25"/>
        <v>4.8983986593202004E-4</v>
      </c>
      <c r="W100" s="3"/>
      <c r="X100" s="7">
        <f t="shared" si="26"/>
        <v>3948.3900000000003</v>
      </c>
      <c r="Y100" s="3"/>
      <c r="Z100" s="8">
        <f t="shared" si="27"/>
        <v>15.463870285512867</v>
      </c>
    </row>
    <row r="101" spans="1:26" s="69" customFormat="1" ht="15" hidden="1" customHeight="1" outlineLevel="2" x14ac:dyDescent="0.25">
      <c r="A101" s="25"/>
      <c r="B101" s="12" t="str">
        <f>CONCATENATE("          ","6245"," - ","PRINTING")</f>
        <v xml:space="preserve">          6245 - PRINTING</v>
      </c>
      <c r="C101" s="12"/>
      <c r="D101" s="7"/>
      <c r="E101" s="3"/>
      <c r="F101" s="8">
        <f t="shared" si="20"/>
        <v>0</v>
      </c>
      <c r="G101" s="3"/>
      <c r="H101" s="7"/>
      <c r="I101" s="3"/>
      <c r="J101" s="8">
        <f t="shared" si="21"/>
        <v>0</v>
      </c>
      <c r="K101" s="3"/>
      <c r="L101" s="7">
        <f t="shared" si="22"/>
        <v>0</v>
      </c>
      <c r="M101" s="3"/>
      <c r="N101" s="8">
        <f t="shared" si="23"/>
        <v>0</v>
      </c>
      <c r="O101" s="12"/>
      <c r="P101" s="7">
        <v>1071</v>
      </c>
      <c r="Q101" s="3"/>
      <c r="R101" s="8">
        <f t="shared" si="24"/>
        <v>5.3351411906758892E-4</v>
      </c>
      <c r="S101" s="3"/>
      <c r="T101" s="7"/>
      <c r="U101" s="3"/>
      <c r="V101" s="8">
        <f t="shared" si="25"/>
        <v>0</v>
      </c>
      <c r="W101" s="3"/>
      <c r="X101" s="7">
        <f t="shared" si="26"/>
        <v>1071</v>
      </c>
      <c r="Y101" s="3"/>
      <c r="Z101" s="8">
        <f t="shared" si="27"/>
        <v>0</v>
      </c>
    </row>
    <row r="102" spans="1:26" s="69" customFormat="1" ht="15" hidden="1" customHeight="1" outlineLevel="2" x14ac:dyDescent="0.25">
      <c r="A102" s="25"/>
      <c r="B102" s="12" t="str">
        <f>CONCATENATE("          ","6247"," - ","STORE SUPPLIES")</f>
        <v xml:space="preserve">          6247 - STORE SUPPLIES</v>
      </c>
      <c r="C102" s="12"/>
      <c r="D102" s="7">
        <v>848.77</v>
      </c>
      <c r="E102" s="3"/>
      <c r="F102" s="8">
        <f t="shared" si="20"/>
        <v>4.1329346397205521E-3</v>
      </c>
      <c r="G102" s="3"/>
      <c r="H102" s="7"/>
      <c r="I102" s="3"/>
      <c r="J102" s="8">
        <f t="shared" si="21"/>
        <v>0</v>
      </c>
      <c r="K102" s="3"/>
      <c r="L102" s="7">
        <f t="shared" si="22"/>
        <v>848.77</v>
      </c>
      <c r="M102" s="3"/>
      <c r="N102" s="8">
        <f t="shared" si="23"/>
        <v>0</v>
      </c>
      <c r="O102" s="12"/>
      <c r="P102" s="7">
        <v>4733.22</v>
      </c>
      <c r="Q102" s="3"/>
      <c r="R102" s="8">
        <f t="shared" si="24"/>
        <v>2.3578335188170806E-3</v>
      </c>
      <c r="S102" s="3"/>
      <c r="T102" s="7">
        <v>121.28</v>
      </c>
      <c r="U102" s="3"/>
      <c r="V102" s="8">
        <f t="shared" si="25"/>
        <v>2.3267057901631374E-4</v>
      </c>
      <c r="W102" s="3"/>
      <c r="X102" s="7">
        <f t="shared" si="26"/>
        <v>4611.9400000000005</v>
      </c>
      <c r="Y102" s="3"/>
      <c r="Z102" s="8">
        <f t="shared" si="27"/>
        <v>38.027209762532983</v>
      </c>
    </row>
    <row r="103" spans="1:26" s="69" customFormat="1" ht="15" hidden="1" customHeight="1" outlineLevel="2" x14ac:dyDescent="0.25">
      <c r="A103" s="25"/>
      <c r="B103" s="12" t="str">
        <f>CONCATENATE("          ","6248"," - ","UNIFORMS")</f>
        <v xml:space="preserve">          6248 - UNIFORMS</v>
      </c>
      <c r="C103" s="12"/>
      <c r="D103" s="7"/>
      <c r="E103" s="3"/>
      <c r="F103" s="8">
        <f t="shared" si="20"/>
        <v>0</v>
      </c>
      <c r="G103" s="3"/>
      <c r="H103" s="7"/>
      <c r="I103" s="3"/>
      <c r="J103" s="8">
        <f t="shared" si="21"/>
        <v>0</v>
      </c>
      <c r="K103" s="3"/>
      <c r="L103" s="7">
        <f t="shared" si="22"/>
        <v>0</v>
      </c>
      <c r="M103" s="3"/>
      <c r="N103" s="8">
        <f t="shared" si="23"/>
        <v>0</v>
      </c>
      <c r="O103" s="12"/>
      <c r="P103" s="7">
        <v>2988.45</v>
      </c>
      <c r="Q103" s="3"/>
      <c r="R103" s="8">
        <f t="shared" si="24"/>
        <v>1.4886837246755706E-3</v>
      </c>
      <c r="S103" s="3"/>
      <c r="T103" s="7"/>
      <c r="U103" s="3"/>
      <c r="V103" s="8">
        <f t="shared" si="25"/>
        <v>0</v>
      </c>
      <c r="W103" s="3"/>
      <c r="X103" s="7">
        <f t="shared" si="26"/>
        <v>2988.45</v>
      </c>
      <c r="Y103" s="3"/>
      <c r="Z103" s="8">
        <f t="shared" si="27"/>
        <v>0</v>
      </c>
    </row>
    <row r="104" spans="1:26" s="68" customFormat="1" ht="15" customHeight="1" outlineLevel="1" collapsed="1" x14ac:dyDescent="0.25">
      <c r="A104" s="26"/>
      <c r="B104" s="14" t="str">
        <f>CONCATENATE("     ","Telephone/Data Lines                              ")</f>
        <v xml:space="preserve">     Telephone/Data Lines                              </v>
      </c>
      <c r="C104" s="14"/>
      <c r="D104" s="2">
        <f>SUM(OSRRefD22_19x_0)</f>
        <v>915.35</v>
      </c>
      <c r="E104" s="2"/>
      <c r="F104" s="6">
        <f t="shared" si="20"/>
        <v>4.4571341146225803E-3</v>
      </c>
      <c r="G104" s="2"/>
      <c r="H104" s="2">
        <f>SUM(OSRRefH22_19x_0)</f>
        <v>435.8</v>
      </c>
      <c r="I104" s="2"/>
      <c r="J104" s="6">
        <f t="shared" si="21"/>
        <v>7.0564899710567324E-3</v>
      </c>
      <c r="K104" s="2"/>
      <c r="L104" s="2">
        <f t="shared" si="22"/>
        <v>479.55</v>
      </c>
      <c r="M104" s="2"/>
      <c r="N104" s="6">
        <f t="shared" si="23"/>
        <v>1.1003900871959615</v>
      </c>
      <c r="O104" s="14"/>
      <c r="P104" s="2">
        <f>SUM(OSRRefP22_19x_0)</f>
        <v>9488.39</v>
      </c>
      <c r="Q104" s="2"/>
      <c r="R104" s="6">
        <f t="shared" si="24"/>
        <v>4.7266013372733147E-3</v>
      </c>
      <c r="S104" s="2"/>
      <c r="T104" s="2">
        <f>SUM(OSRRefT22_19x_0)</f>
        <v>9800.2000000000007</v>
      </c>
      <c r="U104" s="2"/>
      <c r="V104" s="6">
        <f t="shared" si="25"/>
        <v>1.880127150787993E-2</v>
      </c>
      <c r="W104" s="2"/>
      <c r="X104" s="2">
        <f t="shared" si="26"/>
        <v>-311.81000000000131</v>
      </c>
      <c r="Y104" s="2"/>
      <c r="Z104" s="6">
        <f t="shared" si="27"/>
        <v>-3.181669761841608E-2</v>
      </c>
    </row>
    <row r="105" spans="1:26" s="69" customFormat="1" ht="15" hidden="1" customHeight="1" outlineLevel="2" x14ac:dyDescent="0.25">
      <c r="A105" s="25"/>
      <c r="B105" s="12" t="str">
        <f>CONCATENATE("          ","6309"," - ","TELEPHONE")</f>
        <v xml:space="preserve">          6309 - TELEPHONE</v>
      </c>
      <c r="C105" s="12"/>
      <c r="D105" s="7">
        <v>915.35</v>
      </c>
      <c r="E105" s="3"/>
      <c r="F105" s="8">
        <f t="shared" si="20"/>
        <v>4.4571341146225803E-3</v>
      </c>
      <c r="G105" s="3"/>
      <c r="H105" s="7">
        <v>435.8</v>
      </c>
      <c r="I105" s="3"/>
      <c r="J105" s="8">
        <f t="shared" si="21"/>
        <v>7.0564899710567324E-3</v>
      </c>
      <c r="K105" s="3"/>
      <c r="L105" s="7">
        <f t="shared" si="22"/>
        <v>479.55</v>
      </c>
      <c r="M105" s="3"/>
      <c r="N105" s="8">
        <f t="shared" si="23"/>
        <v>1.1003900871959615</v>
      </c>
      <c r="O105" s="12"/>
      <c r="P105" s="7">
        <v>9488.39</v>
      </c>
      <c r="Q105" s="3"/>
      <c r="R105" s="8">
        <f t="shared" si="24"/>
        <v>4.7266013372733147E-3</v>
      </c>
      <c r="S105" s="3"/>
      <c r="T105" s="7">
        <v>9800.2000000000007</v>
      </c>
      <c r="U105" s="3"/>
      <c r="V105" s="8">
        <f t="shared" si="25"/>
        <v>1.880127150787993E-2</v>
      </c>
      <c r="W105" s="3"/>
      <c r="X105" s="7">
        <f t="shared" si="26"/>
        <v>-311.81000000000131</v>
      </c>
      <c r="Y105" s="3"/>
      <c r="Z105" s="8">
        <f t="shared" si="27"/>
        <v>-3.181669761841608E-2</v>
      </c>
    </row>
    <row r="106" spans="1:26" s="68" customFormat="1" ht="15" customHeight="1" outlineLevel="1" collapsed="1" x14ac:dyDescent="0.25">
      <c r="A106" s="26"/>
      <c r="B106" s="14" t="str">
        <f>CONCATENATE("     ","Training                                          ")</f>
        <v xml:space="preserve">     Training                                          </v>
      </c>
      <c r="C106" s="14"/>
      <c r="D106" s="2">
        <f>SUM(OSRRefD22_20x_0)</f>
        <v>0</v>
      </c>
      <c r="E106" s="2"/>
      <c r="F106" s="6">
        <f t="shared" si="20"/>
        <v>0</v>
      </c>
      <c r="G106" s="2"/>
      <c r="H106" s="2">
        <f>SUM(OSRRefH22_20x_0)</f>
        <v>0</v>
      </c>
      <c r="I106" s="2"/>
      <c r="J106" s="6">
        <f t="shared" si="21"/>
        <v>0</v>
      </c>
      <c r="K106" s="2"/>
      <c r="L106" s="2">
        <f t="shared" si="22"/>
        <v>0</v>
      </c>
      <c r="M106" s="2"/>
      <c r="N106" s="6">
        <f t="shared" si="23"/>
        <v>0</v>
      </c>
      <c r="O106" s="14"/>
      <c r="P106" s="2">
        <f>SUM(OSRRefP22_20x_0)</f>
        <v>815.95</v>
      </c>
      <c r="Q106" s="2"/>
      <c r="R106" s="6">
        <f t="shared" si="24"/>
        <v>4.0646204057254826E-4</v>
      </c>
      <c r="S106" s="2"/>
      <c r="T106" s="2">
        <f>SUM(OSRRefT22_20x_0)</f>
        <v>400</v>
      </c>
      <c r="U106" s="2"/>
      <c r="V106" s="6">
        <f t="shared" si="25"/>
        <v>7.6738317617517727E-4</v>
      </c>
      <c r="W106" s="2"/>
      <c r="X106" s="2">
        <f t="shared" si="26"/>
        <v>415.95000000000005</v>
      </c>
      <c r="Y106" s="2"/>
      <c r="Z106" s="6">
        <f t="shared" si="27"/>
        <v>1.0398750000000001</v>
      </c>
    </row>
    <row r="107" spans="1:26" s="69" customFormat="1" ht="15" hidden="1" customHeight="1" outlineLevel="2" x14ac:dyDescent="0.25">
      <c r="A107" s="25"/>
      <c r="B107" s="12" t="str">
        <f>CONCATENATE("          ","6376"," - ","TRAINING")</f>
        <v xml:space="preserve">          6376 - TRAINING</v>
      </c>
      <c r="C107" s="12"/>
      <c r="D107" s="7"/>
      <c r="E107" s="3"/>
      <c r="F107" s="8">
        <f t="shared" si="20"/>
        <v>0</v>
      </c>
      <c r="G107" s="3"/>
      <c r="H107" s="7"/>
      <c r="I107" s="3"/>
      <c r="J107" s="8">
        <f t="shared" si="21"/>
        <v>0</v>
      </c>
      <c r="K107" s="3"/>
      <c r="L107" s="7">
        <f t="shared" si="22"/>
        <v>0</v>
      </c>
      <c r="M107" s="3"/>
      <c r="N107" s="8">
        <f t="shared" si="23"/>
        <v>0</v>
      </c>
      <c r="O107" s="12"/>
      <c r="P107" s="7">
        <v>815.95</v>
      </c>
      <c r="Q107" s="3"/>
      <c r="R107" s="8">
        <f t="shared" si="24"/>
        <v>4.0646204057254826E-4</v>
      </c>
      <c r="S107" s="3"/>
      <c r="T107" s="7">
        <v>400</v>
      </c>
      <c r="U107" s="3"/>
      <c r="V107" s="8">
        <f t="shared" si="25"/>
        <v>7.6738317617517727E-4</v>
      </c>
      <c r="W107" s="3"/>
      <c r="X107" s="7">
        <f t="shared" si="26"/>
        <v>415.95000000000005</v>
      </c>
      <c r="Y107" s="3"/>
      <c r="Z107" s="8">
        <f t="shared" si="27"/>
        <v>1.0398750000000001</v>
      </c>
    </row>
    <row r="108" spans="1:26" s="68" customFormat="1" ht="15" customHeight="1" outlineLevel="1" collapsed="1" x14ac:dyDescent="0.25">
      <c r="A108" s="26"/>
      <c r="B108" s="14" t="str">
        <f>CONCATENATE("     ","Travel                                            ")</f>
        <v xml:space="preserve">     Travel                                            </v>
      </c>
      <c r="C108" s="14"/>
      <c r="D108" s="2">
        <f>SUM(OSRRefD22_21x_0)</f>
        <v>0</v>
      </c>
      <c r="E108" s="2"/>
      <c r="F108" s="6">
        <f t="shared" si="20"/>
        <v>0</v>
      </c>
      <c r="G108" s="2"/>
      <c r="H108" s="2">
        <f>SUM(OSRRefH22_21x_0)</f>
        <v>0</v>
      </c>
      <c r="I108" s="2"/>
      <c r="J108" s="6">
        <f t="shared" si="21"/>
        <v>0</v>
      </c>
      <c r="K108" s="2"/>
      <c r="L108" s="2">
        <f t="shared" si="22"/>
        <v>0</v>
      </c>
      <c r="M108" s="2"/>
      <c r="N108" s="6">
        <f t="shared" si="23"/>
        <v>0</v>
      </c>
      <c r="O108" s="14"/>
      <c r="P108" s="2">
        <f>SUM(OSRRefP22_21x_0)</f>
        <v>141.24</v>
      </c>
      <c r="Q108" s="2"/>
      <c r="R108" s="6">
        <f t="shared" si="24"/>
        <v>7.0358108475355996E-5</v>
      </c>
      <c r="S108" s="2"/>
      <c r="T108" s="2">
        <f>SUM(OSRRefT22_21x_0)</f>
        <v>332.21</v>
      </c>
      <c r="U108" s="2"/>
      <c r="V108" s="6">
        <f t="shared" si="25"/>
        <v>6.3733091239288908E-4</v>
      </c>
      <c r="W108" s="2"/>
      <c r="X108" s="2">
        <f t="shared" si="26"/>
        <v>-190.96999999999997</v>
      </c>
      <c r="Y108" s="2"/>
      <c r="Z108" s="6">
        <f t="shared" si="27"/>
        <v>-0.5748472351825652</v>
      </c>
    </row>
    <row r="109" spans="1:26" s="69" customFormat="1" ht="15" hidden="1" customHeight="1" outlineLevel="2" x14ac:dyDescent="0.25">
      <c r="A109" s="25"/>
      <c r="B109" s="12" t="str">
        <f>CONCATENATE("          ","6292"," - ","TRAVEL/CONFERENCE")</f>
        <v xml:space="preserve">          6292 - TRAVEL/CONFERENCE</v>
      </c>
      <c r="C109" s="12"/>
      <c r="D109" s="7"/>
      <c r="E109" s="3"/>
      <c r="F109" s="8">
        <f t="shared" si="20"/>
        <v>0</v>
      </c>
      <c r="G109" s="3"/>
      <c r="H109" s="7"/>
      <c r="I109" s="3"/>
      <c r="J109" s="8">
        <f t="shared" si="21"/>
        <v>0</v>
      </c>
      <c r="K109" s="3"/>
      <c r="L109" s="7">
        <f t="shared" si="22"/>
        <v>0</v>
      </c>
      <c r="M109" s="3"/>
      <c r="N109" s="8">
        <f t="shared" si="23"/>
        <v>0</v>
      </c>
      <c r="O109" s="12"/>
      <c r="P109" s="7">
        <v>18.59</v>
      </c>
      <c r="Q109" s="3"/>
      <c r="R109" s="8">
        <f t="shared" si="24"/>
        <v>9.2605298538435833E-6</v>
      </c>
      <c r="S109" s="3"/>
      <c r="T109" s="7"/>
      <c r="U109" s="3"/>
      <c r="V109" s="8">
        <f t="shared" si="25"/>
        <v>0</v>
      </c>
      <c r="W109" s="3"/>
      <c r="X109" s="7">
        <f t="shared" si="26"/>
        <v>18.59</v>
      </c>
      <c r="Y109" s="3"/>
      <c r="Z109" s="8">
        <f t="shared" si="27"/>
        <v>0</v>
      </c>
    </row>
    <row r="110" spans="1:26" s="69" customFormat="1" ht="15" hidden="1" customHeight="1" outlineLevel="2" x14ac:dyDescent="0.25">
      <c r="A110" s="25"/>
      <c r="B110" s="12" t="str">
        <f>CONCATENATE("          ","6298"," - ","VEHICLE MILEAGE")</f>
        <v xml:space="preserve">          6298 - VEHICLE MILEAGE</v>
      </c>
      <c r="C110" s="12"/>
      <c r="D110" s="7"/>
      <c r="E110" s="3"/>
      <c r="F110" s="8">
        <f t="shared" si="20"/>
        <v>0</v>
      </c>
      <c r="G110" s="3"/>
      <c r="H110" s="7"/>
      <c r="I110" s="3"/>
      <c r="J110" s="8">
        <f t="shared" si="21"/>
        <v>0</v>
      </c>
      <c r="K110" s="3"/>
      <c r="L110" s="7">
        <f t="shared" si="22"/>
        <v>0</v>
      </c>
      <c r="M110" s="3"/>
      <c r="N110" s="8">
        <f t="shared" si="23"/>
        <v>0</v>
      </c>
      <c r="O110" s="12"/>
      <c r="P110" s="7">
        <v>122.65</v>
      </c>
      <c r="Q110" s="3"/>
      <c r="R110" s="8">
        <f t="shared" si="24"/>
        <v>6.1097578621512399E-5</v>
      </c>
      <c r="S110" s="3"/>
      <c r="T110" s="7">
        <v>332.21</v>
      </c>
      <c r="U110" s="3"/>
      <c r="V110" s="8">
        <f t="shared" si="25"/>
        <v>6.3733091239288908E-4</v>
      </c>
      <c r="W110" s="3"/>
      <c r="X110" s="7">
        <f t="shared" si="26"/>
        <v>-209.55999999999997</v>
      </c>
      <c r="Y110" s="3"/>
      <c r="Z110" s="8">
        <f t="shared" si="27"/>
        <v>-0.63080581559856708</v>
      </c>
    </row>
    <row r="111" spans="1:26" s="68" customFormat="1" ht="15" customHeight="1" outlineLevel="1" collapsed="1" x14ac:dyDescent="0.25">
      <c r="A111" s="26"/>
      <c r="B111" s="14" t="str">
        <f>CONCATENATE("     ","Utilities                                         ")</f>
        <v xml:space="preserve">     Utilities                                         </v>
      </c>
      <c r="C111" s="14"/>
      <c r="D111" s="2">
        <f>SUM(OSRRefD22_22x_0)</f>
        <v>29404.66</v>
      </c>
      <c r="E111" s="2"/>
      <c r="F111" s="6">
        <f t="shared" si="20"/>
        <v>0.14318076496955043</v>
      </c>
      <c r="G111" s="2"/>
      <c r="H111" s="2">
        <f>SUM(OSRRefH22_22x_0)</f>
        <v>4784</v>
      </c>
      <c r="I111" s="2"/>
      <c r="J111" s="6">
        <f t="shared" si="21"/>
        <v>7.746270771348189E-2</v>
      </c>
      <c r="K111" s="2"/>
      <c r="L111" s="2">
        <f t="shared" si="22"/>
        <v>24620.66</v>
      </c>
      <c r="M111" s="2"/>
      <c r="N111" s="6">
        <f t="shared" si="23"/>
        <v>5.1464590301003348</v>
      </c>
      <c r="O111" s="14"/>
      <c r="P111" s="2">
        <f>SUM(OSRRefP22_22x_0)</f>
        <v>109504.66</v>
      </c>
      <c r="Q111" s="2"/>
      <c r="R111" s="6">
        <f t="shared" si="24"/>
        <v>5.4549283112694531E-2</v>
      </c>
      <c r="S111" s="2"/>
      <c r="T111" s="2">
        <f>SUM(OSRRefT22_22x_0)</f>
        <v>12756</v>
      </c>
      <c r="U111" s="2"/>
      <c r="V111" s="6">
        <f t="shared" si="25"/>
        <v>2.4471849488226404E-2</v>
      </c>
      <c r="W111" s="2"/>
      <c r="X111" s="2">
        <f t="shared" si="26"/>
        <v>96748.66</v>
      </c>
      <c r="Y111" s="2"/>
      <c r="Z111" s="6">
        <f t="shared" si="27"/>
        <v>7.5845609909062404</v>
      </c>
    </row>
    <row r="112" spans="1:26" s="69" customFormat="1" ht="15" hidden="1" customHeight="1" outlineLevel="2" x14ac:dyDescent="0.25">
      <c r="A112" s="25"/>
      <c r="B112" s="12" t="str">
        <f>CONCATENATE("          ","6274"," - ","UTILITIES")</f>
        <v xml:space="preserve">          6274 - UTILITIES</v>
      </c>
      <c r="C112" s="12"/>
      <c r="D112" s="7">
        <v>29404.66</v>
      </c>
      <c r="E112" s="3"/>
      <c r="F112" s="8">
        <f t="shared" si="20"/>
        <v>0.14318076496955043</v>
      </c>
      <c r="G112" s="3"/>
      <c r="H112" s="7">
        <v>4784</v>
      </c>
      <c r="I112" s="3"/>
      <c r="J112" s="8">
        <f t="shared" si="21"/>
        <v>7.746270771348189E-2</v>
      </c>
      <c r="K112" s="3"/>
      <c r="L112" s="7">
        <f t="shared" si="22"/>
        <v>24620.66</v>
      </c>
      <c r="M112" s="3"/>
      <c r="N112" s="8">
        <f t="shared" si="23"/>
        <v>5.1464590301003348</v>
      </c>
      <c r="O112" s="12"/>
      <c r="P112" s="7">
        <v>109504.66</v>
      </c>
      <c r="Q112" s="3"/>
      <c r="R112" s="8">
        <f t="shared" si="24"/>
        <v>5.4549283112694531E-2</v>
      </c>
      <c r="S112" s="3"/>
      <c r="T112" s="7">
        <v>12756</v>
      </c>
      <c r="U112" s="3"/>
      <c r="V112" s="8">
        <f t="shared" si="25"/>
        <v>2.4471849488226404E-2</v>
      </c>
      <c r="W112" s="3"/>
      <c r="X112" s="7">
        <f t="shared" si="26"/>
        <v>96748.66</v>
      </c>
      <c r="Y112" s="3"/>
      <c r="Z112" s="8">
        <f t="shared" si="27"/>
        <v>7.5845609909062404</v>
      </c>
    </row>
    <row r="113" spans="1:26" s="64" customFormat="1" ht="15" customHeight="1" x14ac:dyDescent="0.25">
      <c r="A113" s="36"/>
      <c r="B113" s="36"/>
      <c r="C113" s="36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O113" s="3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62" customFormat="1" ht="15" customHeight="1" collapsed="1" x14ac:dyDescent="0.25">
      <c r="A114" s="11"/>
      <c r="B114" s="28" t="s">
        <v>290</v>
      </c>
      <c r="C114" s="11"/>
      <c r="D114" s="5">
        <f>SUM(OSRRefD25x_0)</f>
        <v>32749.34</v>
      </c>
      <c r="E114" s="5"/>
      <c r="F114" s="13">
        <f>IF(D$12=0,0,D114/D$12)</f>
        <v>0.15946708968741338</v>
      </c>
      <c r="G114" s="5"/>
      <c r="H114" s="5">
        <f>SUM(OSRRefH25x_0)</f>
        <v>41.26</v>
      </c>
      <c r="I114" s="5"/>
      <c r="J114" s="13">
        <f>IF(H$12=0,0,H114/H$12)</f>
        <v>6.6808346995365019E-4</v>
      </c>
      <c r="K114" s="5"/>
      <c r="L114" s="5">
        <f>+D114-H114</f>
        <v>32708.080000000002</v>
      </c>
      <c r="M114" s="5"/>
      <c r="N114" s="13">
        <f>IF(H114=0,0,L114/H114)</f>
        <v>792.73097430925839</v>
      </c>
      <c r="O114" s="11"/>
      <c r="P114" s="5">
        <f>SUM(OSRRefP25x_0)</f>
        <v>207885.38</v>
      </c>
      <c r="Q114" s="5"/>
      <c r="R114" s="13">
        <f>IF(P$12=0,0,P114/P$12)</f>
        <v>0.10355722257491221</v>
      </c>
      <c r="S114" s="5"/>
      <c r="T114" s="5">
        <f>SUM(OSRRefT25x_0)</f>
        <v>22486.66</v>
      </c>
      <c r="U114" s="5"/>
      <c r="V114" s="13">
        <f>IF(T$12=0,0,T114/T$12)</f>
        <v>4.3139711430928276E-2</v>
      </c>
      <c r="W114" s="5"/>
      <c r="X114" s="5">
        <f>+P114-T114</f>
        <v>185398.72</v>
      </c>
      <c r="Y114" s="5"/>
      <c r="Z114" s="13">
        <f>IF(T114=0,0,X114/T114)</f>
        <v>8.244831380027092</v>
      </c>
    </row>
    <row r="115" spans="1:26" s="69" customFormat="1" ht="15" hidden="1" customHeight="1" outlineLevel="1" x14ac:dyDescent="0.25">
      <c r="A115" s="42"/>
      <c r="B115" s="12" t="str">
        <f>CONCATENATE("          ","9150"," - ","MISC. INCOME")</f>
        <v xml:space="preserve">          9150 - MISC. INCOME</v>
      </c>
      <c r="C115" s="12"/>
      <c r="D115" s="3">
        <f>--32749.34</f>
        <v>32749.34</v>
      </c>
      <c r="E115" s="3"/>
      <c r="F115" s="20">
        <f>IF(D$12=0,0,D115/D$12)</f>
        <v>0.15946708968741338</v>
      </c>
      <c r="G115" s="3"/>
      <c r="H115" s="3">
        <f>--8.44</f>
        <v>8.44</v>
      </c>
      <c r="I115" s="3"/>
      <c r="J115" s="20">
        <f>IF(H$12=0,0,H115/H$12)</f>
        <v>1.3666079705304914E-4</v>
      </c>
      <c r="K115" s="3"/>
      <c r="L115" s="3">
        <f>+D115-H115</f>
        <v>32740.9</v>
      </c>
      <c r="M115" s="3"/>
      <c r="N115" s="20">
        <f>IF(H115=0,0,L115/H115)</f>
        <v>3879.2535545023702</v>
      </c>
      <c r="O115" s="12"/>
      <c r="P115" s="3">
        <f>--207885.38</f>
        <v>207885.38</v>
      </c>
      <c r="Q115" s="3"/>
      <c r="R115" s="20">
        <f>IF(P$12=0,0,P115/P$12)</f>
        <v>0.10355722257491221</v>
      </c>
      <c r="S115" s="3"/>
      <c r="T115" s="3">
        <f>--5349.92</f>
        <v>5349.92</v>
      </c>
      <c r="U115" s="3"/>
      <c r="V115" s="20">
        <f>IF(T$12=0,0,T115/T$12)</f>
        <v>1.0263596504707762E-2</v>
      </c>
      <c r="W115" s="3"/>
      <c r="X115" s="3">
        <f>+P115-T115</f>
        <v>202535.46</v>
      </c>
      <c r="Y115" s="3"/>
      <c r="Z115" s="20">
        <f>IF(T115=0,0,X115/T115)</f>
        <v>37.857661422974545</v>
      </c>
    </row>
    <row r="116" spans="1:26" s="69" customFormat="1" ht="15" hidden="1" customHeight="1" outlineLevel="1" x14ac:dyDescent="0.25">
      <c r="A116" s="42"/>
      <c r="B116" s="12" t="str">
        <f>CONCATENATE("          ","9160"," - ","MISC. INCOME")</f>
        <v xml:space="preserve">          9160 - MISC. INCOME</v>
      </c>
      <c r="C116" s="12"/>
      <c r="D116" s="3">
        <f>0</f>
        <v>0</v>
      </c>
      <c r="E116" s="3"/>
      <c r="F116" s="20">
        <f>IF(D$12=0,0,D116/D$12)</f>
        <v>0</v>
      </c>
      <c r="G116" s="3"/>
      <c r="H116" s="3">
        <f>0</f>
        <v>0</v>
      </c>
      <c r="I116" s="3"/>
      <c r="J116" s="20">
        <f>IF(H$12=0,0,H116/H$12)</f>
        <v>0</v>
      </c>
      <c r="K116" s="3"/>
      <c r="L116" s="3">
        <f>+D116-H116</f>
        <v>0</v>
      </c>
      <c r="M116" s="3"/>
      <c r="N116" s="20">
        <f>IF(H116=0,0,L116/H116)</f>
        <v>0</v>
      </c>
      <c r="O116" s="12"/>
      <c r="P116" s="3">
        <f>0</f>
        <v>0</v>
      </c>
      <c r="Q116" s="3"/>
      <c r="R116" s="20">
        <f>IF(P$12=0,0,P116/P$12)</f>
        <v>0</v>
      </c>
      <c r="S116" s="3"/>
      <c r="T116" s="3">
        <f>--13615.06</f>
        <v>13615.06</v>
      </c>
      <c r="U116" s="3"/>
      <c r="V116" s="20">
        <f>IF(T$12=0,0,T116/T$12)</f>
        <v>2.6119919966539021E-2</v>
      </c>
      <c r="W116" s="3"/>
      <c r="X116" s="3">
        <f>+P116-T116</f>
        <v>-13615.06</v>
      </c>
      <c r="Y116" s="3"/>
      <c r="Z116" s="20">
        <f>IF(T116=0,0,X116/T116)</f>
        <v>-1</v>
      </c>
    </row>
    <row r="117" spans="1:26" s="69" customFormat="1" ht="15" hidden="1" customHeight="1" outlineLevel="1" x14ac:dyDescent="0.25">
      <c r="A117" s="42"/>
      <c r="B117" s="12" t="str">
        <f>CONCATENATE("          ","9165"," - ","OTHER INCOME")</f>
        <v xml:space="preserve">          9165 - OTHER INCOME</v>
      </c>
      <c r="C117" s="12"/>
      <c r="D117" s="3">
        <f>0</f>
        <v>0</v>
      </c>
      <c r="E117" s="3"/>
      <c r="F117" s="20">
        <f>IF(D$12=0,0,D117/D$12)</f>
        <v>0</v>
      </c>
      <c r="G117" s="3"/>
      <c r="H117" s="3">
        <f>--32.82</f>
        <v>32.82</v>
      </c>
      <c r="I117" s="3"/>
      <c r="J117" s="20">
        <f>IF(H$12=0,0,H117/H$12)</f>
        <v>5.3142267290060105E-4</v>
      </c>
      <c r="K117" s="3"/>
      <c r="L117" s="3">
        <f>+D117-H117</f>
        <v>-32.82</v>
      </c>
      <c r="M117" s="3"/>
      <c r="N117" s="20">
        <f>IF(H117=0,0,L117/H117)</f>
        <v>-1</v>
      </c>
      <c r="O117" s="12"/>
      <c r="P117" s="3">
        <f>0</f>
        <v>0</v>
      </c>
      <c r="Q117" s="3"/>
      <c r="R117" s="20">
        <f>IF(P$12=0,0,P117/P$12)</f>
        <v>0</v>
      </c>
      <c r="S117" s="3"/>
      <c r="T117" s="3">
        <f>--3521.68</f>
        <v>3521.68</v>
      </c>
      <c r="U117" s="3"/>
      <c r="V117" s="20">
        <f>IF(T$12=0,0,T117/T$12)</f>
        <v>6.756194959681495E-3</v>
      </c>
      <c r="W117" s="3"/>
      <c r="X117" s="3">
        <f>+P117-T117</f>
        <v>-3521.68</v>
      </c>
      <c r="Y117" s="3"/>
      <c r="Z117" s="20">
        <f>IF(T117=0,0,X117/T117)</f>
        <v>-1</v>
      </c>
    </row>
    <row r="118" spans="1:26" ht="15" customHeight="1" x14ac:dyDescent="0.25">
      <c r="A118" s="10"/>
      <c r="B118" s="11"/>
      <c r="C118" s="11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O118" s="11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2" customFormat="1" ht="15" customHeight="1" x14ac:dyDescent="0.25">
      <c r="A119" s="11"/>
      <c r="B119" s="27" t="s">
        <v>291</v>
      </c>
      <c r="C119" s="27"/>
      <c r="D119" s="22">
        <f>+D33-D35+D114</f>
        <v>-141223.24999999997</v>
      </c>
      <c r="E119" s="15"/>
      <c r="F119" s="23">
        <f>IF(D$12=0,0,D119/D$12)</f>
        <v>-0.68766151237545547</v>
      </c>
      <c r="G119" s="15"/>
      <c r="H119" s="22">
        <f>+H33-H35+H114</f>
        <v>-77026.910000000018</v>
      </c>
      <c r="I119" s="15"/>
      <c r="J119" s="23">
        <f>IF(H$12=0,0,H119/H$12)</f>
        <v>-1.2472226202764791</v>
      </c>
      <c r="K119" s="16"/>
      <c r="L119" s="22">
        <f>+D119-H119</f>
        <v>-64196.339999999953</v>
      </c>
      <c r="M119" s="16"/>
      <c r="N119" s="23">
        <f>IF(H119=0,0,L119/H119)</f>
        <v>0.83342743464589109</v>
      </c>
      <c r="O119" s="28"/>
      <c r="P119" s="22">
        <f>+P33-P35+P114</f>
        <v>-1090724.600000001</v>
      </c>
      <c r="Q119" s="15"/>
      <c r="R119" s="23">
        <f>IF(P$12=0,0,P119/P$12)</f>
        <v>-0.54333984511143685</v>
      </c>
      <c r="S119" s="15"/>
      <c r="T119" s="22">
        <f>+T33-T35+T114</f>
        <v>-984175.21000000043</v>
      </c>
      <c r="U119" s="15"/>
      <c r="V119" s="23">
        <f>IF(T$12=0,0,T119/T$12)</f>
        <v>-1.888098746406681</v>
      </c>
      <c r="W119" s="16"/>
      <c r="X119" s="22">
        <f>+P119-T119</f>
        <v>-106549.3900000006</v>
      </c>
      <c r="Y119" s="16"/>
      <c r="Z119" s="23">
        <f>IF(T119=0,0,X119/T119)</f>
        <v>0.10826262327822761</v>
      </c>
    </row>
    <row r="120" spans="1:26" ht="15" customHeight="1" x14ac:dyDescent="0.25">
      <c r="A120" s="10"/>
      <c r="B120" s="11"/>
      <c r="C120" s="10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2" customFormat="1" ht="15" customHeight="1" x14ac:dyDescent="0.25">
      <c r="A121" s="48"/>
      <c r="B121" s="11" t="s">
        <v>292</v>
      </c>
      <c r="C121" s="11"/>
      <c r="D121" s="5">
        <v>21541.37</v>
      </c>
      <c r="E121" s="5"/>
      <c r="F121" s="13">
        <f>IF(D$12=0,0,D121/D$12)</f>
        <v>0.10489187207375036</v>
      </c>
      <c r="G121" s="5"/>
      <c r="H121" s="5">
        <v>15258.75</v>
      </c>
      <c r="I121" s="5"/>
      <c r="J121" s="13">
        <f>IF(H$12=0,0,H121/H$12)</f>
        <v>0.24707025320298739</v>
      </c>
      <c r="K121" s="5"/>
      <c r="L121" s="5">
        <f>+D121-H121</f>
        <v>6282.619999999999</v>
      </c>
      <c r="M121" s="5"/>
      <c r="N121" s="13">
        <f>IF(H121=0,0,L121/H121)</f>
        <v>0.41173883837142616</v>
      </c>
      <c r="O121" s="11"/>
      <c r="P121" s="5">
        <v>225687.66</v>
      </c>
      <c r="Q121" s="5"/>
      <c r="R121" s="13">
        <f>IF(P$12=0,0,P121/P$12)</f>
        <v>0.11242535304325446</v>
      </c>
      <c r="S121" s="5"/>
      <c r="T121" s="5">
        <v>111386.6</v>
      </c>
      <c r="U121" s="5"/>
      <c r="V121" s="13">
        <f>IF(T$12=0,0,T121/T$12)</f>
        <v>0.21369050722838501</v>
      </c>
      <c r="W121" s="5"/>
      <c r="X121" s="5">
        <f>+P121-T121</f>
        <v>114301.06</v>
      </c>
      <c r="Y121" s="5"/>
      <c r="Z121" s="13">
        <f>IF(T121=0,0,X121/T121)</f>
        <v>1.0261652658398766</v>
      </c>
    </row>
    <row r="122" spans="1:26" ht="15" customHeight="1" x14ac:dyDescent="0.25">
      <c r="A122" s="10"/>
      <c r="B122" s="11"/>
      <c r="C122" s="11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O122" s="11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2" customFormat="1" ht="15" customHeight="1" x14ac:dyDescent="0.25">
      <c r="A123" s="11"/>
      <c r="B123" s="27" t="s">
        <v>293</v>
      </c>
      <c r="C123" s="27"/>
      <c r="D123" s="35">
        <f>+D119-D121</f>
        <v>-162764.61999999997</v>
      </c>
      <c r="E123" s="15"/>
      <c r="F123" s="30">
        <f>IF(D$12=0,0,D123/D$12)</f>
        <v>-0.79255338444920576</v>
      </c>
      <c r="G123" s="15"/>
      <c r="H123" s="35">
        <f>+H119-H121</f>
        <v>-92285.660000000018</v>
      </c>
      <c r="I123" s="15"/>
      <c r="J123" s="30">
        <f>IF(H$12=0,0,H123/H$12)</f>
        <v>-1.4942928734794665</v>
      </c>
      <c r="K123" s="16"/>
      <c r="L123" s="35">
        <f>D123-H123</f>
        <v>-70478.959999999948</v>
      </c>
      <c r="M123" s="16"/>
      <c r="N123" s="30">
        <f>IF(H123=0,0,L123/H123)</f>
        <v>0.76370435016664495</v>
      </c>
      <c r="O123" s="28"/>
      <c r="P123" s="35">
        <f>+P119-P121</f>
        <v>-1316412.2600000009</v>
      </c>
      <c r="Q123" s="15"/>
      <c r="R123" s="30">
        <f>IF(P$12=0,0,P123/P$12)</f>
        <v>-0.65576519815469125</v>
      </c>
      <c r="S123" s="15"/>
      <c r="T123" s="35">
        <f>+T119-T121</f>
        <v>-1095561.8100000005</v>
      </c>
      <c r="U123" s="15"/>
      <c r="V123" s="30">
        <f>IF(T$12=0,0,T123/T$12)</f>
        <v>-2.101789253635066</v>
      </c>
      <c r="W123" s="16"/>
      <c r="X123" s="35">
        <f>P123-T123</f>
        <v>-220850.45000000042</v>
      </c>
      <c r="Y123" s="16"/>
      <c r="Z123" s="30">
        <f>IF(T123=0,0,X123/T123)</f>
        <v>0.20158648100375123</v>
      </c>
    </row>
    <row r="124" spans="1:26" ht="15" customHeight="1" x14ac:dyDescent="0.25">
      <c r="A124" s="10"/>
      <c r="B124" s="10"/>
      <c r="C124" s="10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ht="15" customHeight="1" x14ac:dyDescent="0.25">
      <c r="A125" s="10"/>
      <c r="B125" s="10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2" customFormat="1" ht="15" customHeight="1" x14ac:dyDescent="0.25">
      <c r="A126" s="11"/>
      <c r="B126" s="27" t="s">
        <v>296</v>
      </c>
      <c r="C126" s="27"/>
      <c r="D126" s="32">
        <f>SUM(D123:D125)</f>
        <v>-162764.61999999997</v>
      </c>
      <c r="E126" s="15"/>
      <c r="F126" s="34">
        <f>IF(D$12=0,0,D126/D$12)</f>
        <v>-0.79255338444920576</v>
      </c>
      <c r="G126" s="15"/>
      <c r="H126" s="32">
        <f>SUM(H123:H125)</f>
        <v>-92285.660000000018</v>
      </c>
      <c r="I126" s="15"/>
      <c r="J126" s="34">
        <f>IF(H$12=0,0,H126/H$12)</f>
        <v>-1.4942928734794665</v>
      </c>
      <c r="K126" s="16"/>
      <c r="L126" s="32">
        <f>+D126-H126</f>
        <v>-70478.959999999948</v>
      </c>
      <c r="M126" s="16"/>
      <c r="N126" s="34">
        <f>IF(H126=0,0,L126/H126)</f>
        <v>0.76370435016664495</v>
      </c>
      <c r="O126" s="28"/>
      <c r="P126" s="32">
        <f>SUM(P123:P125)</f>
        <v>-1316412.2600000009</v>
      </c>
      <c r="Q126" s="15"/>
      <c r="R126" s="34">
        <f>IF(P$12=0,0,P126/P$12)</f>
        <v>-0.65576519815469125</v>
      </c>
      <c r="S126" s="15"/>
      <c r="T126" s="32">
        <f>SUM(T123:T125)</f>
        <v>-1095561.8100000005</v>
      </c>
      <c r="U126" s="15"/>
      <c r="V126" s="34">
        <f>IF(T$12=0,0,T126/T$12)</f>
        <v>-2.101789253635066</v>
      </c>
      <c r="W126" s="16"/>
      <c r="X126" s="32">
        <f>+P126-T126</f>
        <v>-220850.45000000042</v>
      </c>
      <c r="Y126" s="16"/>
      <c r="Z126" s="34">
        <f>IF(T126=0,0,X126/T126)</f>
        <v>0.20158648100375123</v>
      </c>
    </row>
    <row r="127" spans="1:26" ht="15" customHeight="1" x14ac:dyDescent="0.25">
      <c r="A127" s="10"/>
      <c r="C127" s="10"/>
      <c r="D127" s="18"/>
      <c r="E127" s="18"/>
      <c r="G127" s="18"/>
      <c r="H127" s="18"/>
      <c r="I127" s="18"/>
      <c r="J127" s="41"/>
      <c r="K127" s="18"/>
      <c r="L127" s="18"/>
      <c r="M127" s="18"/>
      <c r="P127" s="18"/>
      <c r="Q127" s="18"/>
      <c r="R127" s="41"/>
      <c r="S127" s="18"/>
      <c r="T127" s="18"/>
      <c r="U127" s="18"/>
      <c r="V127" s="41"/>
      <c r="W127" s="18"/>
      <c r="X127" s="18"/>
    </row>
    <row r="128" spans="1:26" ht="15" customHeight="1" x14ac:dyDescent="0.25">
      <c r="A128" s="10"/>
      <c r="B128" s="50">
        <v>44727.879626388887</v>
      </c>
      <c r="D128" s="18"/>
      <c r="E128" s="18"/>
      <c r="G128" s="18"/>
      <c r="H128" s="18"/>
      <c r="I128" s="18"/>
      <c r="J128" s="41"/>
      <c r="K128" s="18"/>
      <c r="L128" s="18"/>
      <c r="M128" s="18"/>
      <c r="P128" s="18"/>
      <c r="Q128" s="18"/>
      <c r="R128" s="41"/>
      <c r="S128" s="18"/>
      <c r="T128" s="18"/>
      <c r="U128" s="18"/>
      <c r="V128" s="41"/>
      <c r="W128" s="18"/>
      <c r="X128" s="18"/>
    </row>
    <row r="129" spans="1:24" ht="15" customHeight="1" x14ac:dyDescent="0.25">
      <c r="A129" s="10"/>
      <c r="B129" s="53" t="s">
        <v>297</v>
      </c>
      <c r="D129" s="18"/>
      <c r="E129" s="18"/>
      <c r="G129" s="18"/>
      <c r="H129" s="18"/>
      <c r="I129" s="18"/>
      <c r="J129" s="41"/>
      <c r="K129" s="18"/>
      <c r="L129" s="18"/>
      <c r="M129" s="18"/>
      <c r="P129" s="18"/>
      <c r="Q129" s="18"/>
      <c r="R129" s="41"/>
      <c r="S129" s="18"/>
      <c r="T129" s="18"/>
      <c r="U129" s="18"/>
      <c r="V129" s="41"/>
      <c r="W129" s="18"/>
      <c r="X129" s="18"/>
    </row>
    <row r="130" spans="1:24" ht="15" customHeight="1" x14ac:dyDescent="0.25">
      <c r="A130" s="10"/>
      <c r="B130" s="55"/>
      <c r="D130" s="18"/>
      <c r="E130" s="18"/>
      <c r="G130" s="18"/>
      <c r="H130" s="18"/>
      <c r="I130" s="18"/>
      <c r="J130" s="41"/>
      <c r="K130" s="18"/>
      <c r="L130" s="18"/>
      <c r="M130" s="18"/>
      <c r="P130" s="18"/>
      <c r="Q130" s="18"/>
      <c r="R130" s="41"/>
      <c r="S130" s="18"/>
      <c r="T130" s="18"/>
      <c r="U130" s="18"/>
      <c r="V130" s="41"/>
      <c r="W130" s="18"/>
      <c r="X130" s="18"/>
    </row>
    <row r="131" spans="1:24" ht="15" customHeight="1" x14ac:dyDescent="0.25">
      <c r="D131" s="18"/>
      <c r="E131" s="18"/>
      <c r="G131" s="18"/>
      <c r="H131" s="18"/>
      <c r="I131" s="18"/>
      <c r="J131" s="41"/>
      <c r="K131" s="18"/>
      <c r="L131" s="18"/>
      <c r="M131" s="18"/>
      <c r="P131" s="18"/>
      <c r="Q131" s="18"/>
      <c r="R131" s="41"/>
      <c r="S131" s="18"/>
      <c r="T131" s="18"/>
      <c r="U131" s="18"/>
      <c r="V131" s="41"/>
      <c r="W131" s="18"/>
      <c r="X13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876D9-E2C2-8835-FE6B-157A0558E08A}">
  <sheetPr>
    <tabColor rgb="FFFFFF00"/>
    <outlinePr summaryBelow="0" summaryRight="0"/>
  </sheetPr>
  <dimension ref="A2:Z12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311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118948.12999999999</v>
      </c>
      <c r="E12" s="5"/>
      <c r="F12" s="13"/>
      <c r="G12" s="5"/>
      <c r="H12" s="5">
        <f>SUM(OSRRefH13x_0)</f>
        <v>61754.750000000007</v>
      </c>
      <c r="I12" s="5"/>
      <c r="J12" s="13"/>
      <c r="K12" s="5"/>
      <c r="L12" s="5">
        <f t="shared" ref="L12:L18" si="0">+D12-H12</f>
        <v>57193.379999999983</v>
      </c>
      <c r="M12" s="5"/>
      <c r="N12" s="13">
        <f t="shared" ref="N12:N18" si="1">IF(H12=0,0,L12/H12)</f>
        <v>0.92613734166197703</v>
      </c>
      <c r="O12" s="11"/>
      <c r="P12" s="5">
        <f>SUM(OSRRefP13x_0)</f>
        <v>1509480.6300000001</v>
      </c>
      <c r="Q12" s="5"/>
      <c r="R12" s="13"/>
      <c r="S12" s="5"/>
      <c r="T12" s="5">
        <f>SUM(OSRRefT13x_0)</f>
        <v>518375.06</v>
      </c>
      <c r="U12" s="5"/>
      <c r="V12" s="13"/>
      <c r="W12" s="5"/>
      <c r="X12" s="5">
        <f t="shared" ref="X12:X18" si="2">+P12-T12</f>
        <v>991105.57000000007</v>
      </c>
      <c r="Y12" s="5"/>
      <c r="Z12" s="13">
        <f t="shared" ref="Z12:Z18" si="3">IF(T12=0,0,X12/T12)</f>
        <v>1.91194686333868</v>
      </c>
    </row>
    <row r="13" spans="1:26" s="69" customFormat="1" ht="15" hidden="1" customHeight="1" outlineLevel="1" x14ac:dyDescent="0.25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--27103.03</f>
        <v>27103.03</v>
      </c>
      <c r="E13" s="3"/>
      <c r="F13" s="20"/>
      <c r="G13" s="3"/>
      <c r="H13" s="3">
        <f>--7161.66</f>
        <v>7161.66</v>
      </c>
      <c r="I13" s="3"/>
      <c r="J13" s="20"/>
      <c r="K13" s="3"/>
      <c r="L13" s="3">
        <f t="shared" si="0"/>
        <v>19941.37</v>
      </c>
      <c r="M13" s="3"/>
      <c r="N13" s="20">
        <f t="shared" si="1"/>
        <v>2.7844619822778518</v>
      </c>
      <c r="O13" s="12"/>
      <c r="P13" s="3">
        <f>--346011.28</f>
        <v>346011.28</v>
      </c>
      <c r="Q13" s="3"/>
      <c r="R13" s="20"/>
      <c r="S13" s="3"/>
      <c r="T13" s="3">
        <f>--39282.92</f>
        <v>39282.92</v>
      </c>
      <c r="U13" s="3"/>
      <c r="V13" s="20"/>
      <c r="W13" s="3"/>
      <c r="X13" s="3">
        <f t="shared" si="2"/>
        <v>306728.36000000004</v>
      </c>
      <c r="Y13" s="3"/>
      <c r="Z13" s="20">
        <f t="shared" si="3"/>
        <v>7.8081863568186902</v>
      </c>
    </row>
    <row r="14" spans="1:26" s="69" customFormat="1" ht="15" hidden="1" customHeight="1" outlineLevel="1" x14ac:dyDescent="0.25">
      <c r="A14" s="42"/>
      <c r="B14" s="12" t="str">
        <f>CONCATENATE("          ","4052"," - ","TAXABLE SALES-FOOD")</f>
        <v xml:space="preserve">          4052 - TAXABLE SALES-FOOD</v>
      </c>
      <c r="C14" s="12"/>
      <c r="D14" s="3">
        <f>0</f>
        <v>0</v>
      </c>
      <c r="E14" s="3"/>
      <c r="F14" s="20"/>
      <c r="G14" s="3"/>
      <c r="H14" s="3">
        <f>--47978.22</f>
        <v>47978.22</v>
      </c>
      <c r="I14" s="3"/>
      <c r="J14" s="20"/>
      <c r="K14" s="3"/>
      <c r="L14" s="3">
        <f t="shared" si="0"/>
        <v>-47978.22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--428653.01</f>
        <v>428653.01</v>
      </c>
      <c r="U14" s="3"/>
      <c r="V14" s="20"/>
      <c r="W14" s="3"/>
      <c r="X14" s="3">
        <f t="shared" si="2"/>
        <v>-428653.01</v>
      </c>
      <c r="Y14" s="3"/>
      <c r="Z14" s="20">
        <f t="shared" si="3"/>
        <v>-1</v>
      </c>
    </row>
    <row r="15" spans="1:26" s="69" customFormat="1" ht="15" hidden="1" customHeight="1" outlineLevel="1" x14ac:dyDescent="0.25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--493.42</f>
        <v>493.42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493.42</v>
      </c>
      <c r="M15" s="3"/>
      <c r="N15" s="20">
        <f t="shared" si="1"/>
        <v>0</v>
      </c>
      <c r="O15" s="12"/>
      <c r="P15" s="3">
        <f>--24745.26</f>
        <v>24745.26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24745.26</v>
      </c>
      <c r="Y15" s="3"/>
      <c r="Z15" s="20">
        <f t="shared" si="3"/>
        <v>0</v>
      </c>
    </row>
    <row r="16" spans="1:26" s="69" customFormat="1" ht="15" hidden="1" customHeight="1" outlineLevel="1" x14ac:dyDescent="0.25">
      <c r="A16" s="42"/>
      <c r="B16" s="12" t="str">
        <f>CONCATENATE("          ","4058"," - ","TAXABLE SALES-FOOD")</f>
        <v xml:space="preserve">          4058 - 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--974.91</f>
        <v>974.91</v>
      </c>
      <c r="U16" s="3"/>
      <c r="V16" s="20"/>
      <c r="W16" s="3"/>
      <c r="X16" s="3">
        <f t="shared" si="2"/>
        <v>-974.91</v>
      </c>
      <c r="Y16" s="3"/>
      <c r="Z16" s="20">
        <f t="shared" si="3"/>
        <v>-1</v>
      </c>
    </row>
    <row r="17" spans="1:26" s="69" customFormat="1" ht="15" hidden="1" customHeight="1" outlineLevel="1" x14ac:dyDescent="0.25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--91351.68</f>
        <v>91351.679999999993</v>
      </c>
      <c r="E17" s="3"/>
      <c r="F17" s="20"/>
      <c r="G17" s="3"/>
      <c r="H17" s="3">
        <f>--6614.87</f>
        <v>6614.87</v>
      </c>
      <c r="I17" s="3"/>
      <c r="J17" s="20"/>
      <c r="K17" s="3"/>
      <c r="L17" s="3">
        <f t="shared" si="0"/>
        <v>84736.81</v>
      </c>
      <c r="M17" s="3"/>
      <c r="N17" s="20">
        <f t="shared" si="1"/>
        <v>12.810049177081334</v>
      </c>
      <c r="O17" s="12"/>
      <c r="P17" s="3">
        <f>--1138724.09</f>
        <v>1138724.0900000001</v>
      </c>
      <c r="Q17" s="3"/>
      <c r="R17" s="20"/>
      <c r="S17" s="3"/>
      <c r="T17" s="3">
        <f>--37883.27</f>
        <v>37883.269999999997</v>
      </c>
      <c r="U17" s="3"/>
      <c r="V17" s="20"/>
      <c r="W17" s="3"/>
      <c r="X17" s="3">
        <f t="shared" si="2"/>
        <v>1100840.82</v>
      </c>
      <c r="Y17" s="3"/>
      <c r="Z17" s="20">
        <f t="shared" si="3"/>
        <v>29.05875918314338</v>
      </c>
    </row>
    <row r="18" spans="1:26" s="69" customFormat="1" ht="15" hidden="1" customHeight="1" outlineLevel="1" x14ac:dyDescent="0.25">
      <c r="A18" s="42"/>
      <c r="B18" s="12" t="str">
        <f>CONCATENATE("          ","4152"," - ","NON-TAXABLE SALES-FOOD")</f>
        <v xml:space="preserve">          4152 - NON-TAXABLE SALES-FOOD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--11580.95</f>
        <v>11580.95</v>
      </c>
      <c r="U18" s="3"/>
      <c r="V18" s="20"/>
      <c r="W18" s="3"/>
      <c r="X18" s="3">
        <f t="shared" si="2"/>
        <v>-11580.95</v>
      </c>
      <c r="Y18" s="3"/>
      <c r="Z18" s="20">
        <f t="shared" si="3"/>
        <v>-1</v>
      </c>
    </row>
    <row r="19" spans="1:26" ht="15" customHeight="1" x14ac:dyDescent="0.25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collapsed="1" x14ac:dyDescent="0.25">
      <c r="A20" s="11"/>
      <c r="B20" s="28" t="s">
        <v>287</v>
      </c>
      <c r="C20" s="11"/>
      <c r="D20" s="5">
        <f>SUM(OSRRefD16x_0)</f>
        <v>72465.45</v>
      </c>
      <c r="E20" s="5"/>
      <c r="F20" s="13">
        <f>IF(D$12=0,0,D20/D$12)</f>
        <v>0.60921890911609966</v>
      </c>
      <c r="G20" s="5"/>
      <c r="H20" s="5">
        <f>SUM(OSRRefH16x_0)</f>
        <v>4243.1399999999994</v>
      </c>
      <c r="I20" s="5"/>
      <c r="J20" s="13">
        <f>IF(H$12=0,0,H20/H$12)</f>
        <v>6.8709532465114007E-2</v>
      </c>
      <c r="K20" s="5"/>
      <c r="L20" s="5">
        <f>+D20-H20</f>
        <v>68222.31</v>
      </c>
      <c r="M20" s="5"/>
      <c r="N20" s="13">
        <f>IF(H20=0,0,L20/H20)</f>
        <v>16.078260439203046</v>
      </c>
      <c r="O20" s="11"/>
      <c r="P20" s="5">
        <f>SUM(OSRRefP16x_0)</f>
        <v>589783.07999999996</v>
      </c>
      <c r="Q20" s="5"/>
      <c r="R20" s="13">
        <f>IF(P$12=0,0,P20/P$12)</f>
        <v>0.39071921048764957</v>
      </c>
      <c r="S20" s="5"/>
      <c r="T20" s="5">
        <f>SUM(OSRRefT16x_0)</f>
        <v>17763.440000000002</v>
      </c>
      <c r="U20" s="5"/>
      <c r="V20" s="13">
        <f>IF(T$12=0,0,T20/T$12)</f>
        <v>3.4267543658446843E-2</v>
      </c>
      <c r="W20" s="5"/>
      <c r="X20" s="5">
        <f>+P20-T20</f>
        <v>572019.6399999999</v>
      </c>
      <c r="Y20" s="5"/>
      <c r="Z20" s="13">
        <f>IF(T20=0,0,X20/T20)</f>
        <v>32.202075724071456</v>
      </c>
    </row>
    <row r="21" spans="1:26" s="69" customFormat="1" ht="15" hidden="1" customHeight="1" outlineLevel="1" x14ac:dyDescent="0.25">
      <c r="A21" s="42"/>
      <c r="B21" s="12" t="str">
        <f>CONCATENATE("          ","5053"," - ","PURCHASES @ COST-FOOD")</f>
        <v xml:space="preserve">          5053 - PURCHASES @ COST-FOOD</v>
      </c>
      <c r="C21" s="12"/>
      <c r="D21" s="3">
        <v>52434.99</v>
      </c>
      <c r="E21" s="3"/>
      <c r="F21" s="20">
        <f>IF(D$12=0,0,D21/D$12)</f>
        <v>0.44082231473500255</v>
      </c>
      <c r="G21" s="3"/>
      <c r="H21" s="3">
        <v>3991.14</v>
      </c>
      <c r="I21" s="3"/>
      <c r="J21" s="20">
        <f>IF(H$12=0,0,H21/H$12)</f>
        <v>6.462887470194599E-2</v>
      </c>
      <c r="K21" s="3"/>
      <c r="L21" s="3">
        <f>+D21-H21</f>
        <v>48443.85</v>
      </c>
      <c r="M21" s="3"/>
      <c r="N21" s="20">
        <f>IF(H21=0,0,L21/H21)</f>
        <v>12.137847832949983</v>
      </c>
      <c r="O21" s="12"/>
      <c r="P21" s="3">
        <v>503650.25</v>
      </c>
      <c r="Q21" s="3"/>
      <c r="R21" s="20">
        <f>IF(P$12=0,0,P21/P$12)</f>
        <v>0.33365797479627146</v>
      </c>
      <c r="S21" s="3"/>
      <c r="T21" s="3">
        <v>12127.43</v>
      </c>
      <c r="U21" s="3"/>
      <c r="V21" s="20">
        <f>IF(T$12=0,0,T21/T$12)</f>
        <v>2.3395087718919193E-2</v>
      </c>
      <c r="W21" s="3"/>
      <c r="X21" s="3">
        <f>+P21-T21</f>
        <v>491522.82</v>
      </c>
      <c r="Y21" s="3"/>
      <c r="Z21" s="20">
        <f>IF(T21=0,0,X21/T21)</f>
        <v>40.529841854374752</v>
      </c>
    </row>
    <row r="22" spans="1:26" s="69" customFormat="1" ht="15" hidden="1" customHeight="1" outlineLevel="1" x14ac:dyDescent="0.25">
      <c r="A22" s="42"/>
      <c r="B22" s="12" t="str">
        <f>CONCATENATE("          ","5059"," - ","PURCHASES @ COST-FOOD")</f>
        <v xml:space="preserve">          5059 - PURCHASES @ COST-FOOD</v>
      </c>
      <c r="C22" s="12"/>
      <c r="D22" s="3">
        <v>20030.46</v>
      </c>
      <c r="E22" s="3"/>
      <c r="F22" s="20">
        <f>IF(D$12=0,0,D22/D$12)</f>
        <v>0.16839659438109705</v>
      </c>
      <c r="G22" s="3"/>
      <c r="H22" s="3">
        <v>252</v>
      </c>
      <c r="I22" s="3"/>
      <c r="J22" s="20">
        <f>IF(H$12=0,0,H22/H$12)</f>
        <v>4.0806577631680146E-3</v>
      </c>
      <c r="K22" s="3"/>
      <c r="L22" s="3">
        <f>+D22-H22</f>
        <v>19778.46</v>
      </c>
      <c r="M22" s="3"/>
      <c r="N22" s="20">
        <f>IF(H22=0,0,L22/H22)</f>
        <v>78.485952380952384</v>
      </c>
      <c r="O22" s="12"/>
      <c r="P22" s="3">
        <v>86132.83</v>
      </c>
      <c r="Q22" s="3"/>
      <c r="R22" s="20">
        <f>IF(P$12=0,0,P22/P$12)</f>
        <v>5.7061235691378165E-2</v>
      </c>
      <c r="S22" s="3"/>
      <c r="T22" s="3">
        <v>5636.01</v>
      </c>
      <c r="U22" s="3"/>
      <c r="V22" s="20">
        <f>IF(T$12=0,0,T22/T$12)</f>
        <v>1.0872455939527646E-2</v>
      </c>
      <c r="W22" s="3"/>
      <c r="X22" s="3">
        <f>+P22-T22</f>
        <v>80496.820000000007</v>
      </c>
      <c r="Y22" s="3"/>
      <c r="Z22" s="20">
        <f>IF(T22=0,0,X22/T22)</f>
        <v>14.282589988307331</v>
      </c>
    </row>
    <row r="23" spans="1:26" ht="15" customHeight="1" x14ac:dyDescent="0.25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25">
      <c r="A24" s="11"/>
      <c r="B24" s="27" t="s">
        <v>288</v>
      </c>
      <c r="C24" s="27"/>
      <c r="D24" s="22">
        <f>D12-D20</f>
        <v>46482.679999999993</v>
      </c>
      <c r="E24" s="15"/>
      <c r="F24" s="23">
        <f>IF(D$12=0,0,D24/D$12)</f>
        <v>0.39078109088390039</v>
      </c>
      <c r="G24" s="15"/>
      <c r="H24" s="22">
        <f>H12-H20</f>
        <v>57511.610000000008</v>
      </c>
      <c r="I24" s="15"/>
      <c r="J24" s="23">
        <f>IF(H$12=0,0,H24/H$12)</f>
        <v>0.93129046753488598</v>
      </c>
      <c r="K24" s="16"/>
      <c r="L24" s="22">
        <f>+D24-H24</f>
        <v>-11028.930000000015</v>
      </c>
      <c r="M24" s="16"/>
      <c r="N24" s="23">
        <f>IF(H24=0,0,L24/H24)</f>
        <v>-0.19176875764736917</v>
      </c>
      <c r="O24" s="28"/>
      <c r="P24" s="22">
        <f>P12-P20</f>
        <v>919697.55000000016</v>
      </c>
      <c r="Q24" s="15"/>
      <c r="R24" s="23">
        <f>IF(P$12=0,0,P24/P$12)</f>
        <v>0.60928078951235043</v>
      </c>
      <c r="S24" s="15"/>
      <c r="T24" s="22">
        <f>T12-T20</f>
        <v>500611.62</v>
      </c>
      <c r="U24" s="15"/>
      <c r="V24" s="23">
        <f>IF(T$12=0,0,T24/T$12)</f>
        <v>0.96573245634155314</v>
      </c>
      <c r="W24" s="16"/>
      <c r="X24" s="22">
        <f>+P24-T24</f>
        <v>419085.93000000017</v>
      </c>
      <c r="Y24" s="16"/>
      <c r="Z24" s="23">
        <f>IF(T24=0,0,X24/T24)</f>
        <v>0.83714782729174397</v>
      </c>
    </row>
    <row r="25" spans="1:26" ht="15" customHeight="1" x14ac:dyDescent="0.25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2" customFormat="1" ht="15" customHeight="1" x14ac:dyDescent="0.25">
      <c r="A26" s="11"/>
      <c r="B26" s="28" t="s">
        <v>289</v>
      </c>
      <c r="C26" s="11"/>
      <c r="D26" s="21" cm="1">
        <f t="array" ref="D26">SUM(OSRRefD22x_0)</f>
        <v>225940.38999999996</v>
      </c>
      <c r="E26" s="21"/>
      <c r="F26" s="31">
        <f t="shared" ref="F26:F57" si="4">IF(D$12=0,0,D26/D$12)</f>
        <v>1.8994866922245854</v>
      </c>
      <c r="G26" s="21"/>
      <c r="H26" s="21" cm="1">
        <f t="array" ref="H26">SUM(OSRRefH22x_0)</f>
        <v>119689.45000000004</v>
      </c>
      <c r="I26" s="21"/>
      <c r="J26" s="31">
        <f t="shared" ref="J26:J57" si="5">IF(H$12=0,0,H26/H$12)</f>
        <v>1.9381416004436911</v>
      </c>
      <c r="K26" s="5"/>
      <c r="L26" s="21">
        <f t="shared" ref="L26:L57" si="6">+D26-H26</f>
        <v>106250.93999999992</v>
      </c>
      <c r="M26" s="5"/>
      <c r="N26" s="31">
        <f t="shared" ref="N26:N57" si="7">IF(H26=0,0,L26/H26)</f>
        <v>0.8877218501714218</v>
      </c>
      <c r="O26" s="11"/>
      <c r="P26" s="21" cm="1">
        <f t="array" ref="P26">SUM(OSRRefP22x_0)</f>
        <v>2119420.8400000003</v>
      </c>
      <c r="Q26" s="21"/>
      <c r="R26" s="31">
        <f t="shared" ref="R26:R57" si="8">IF(P$12=0,0,P26/P$12)</f>
        <v>1.4040728962517393</v>
      </c>
      <c r="S26" s="21"/>
      <c r="T26" s="21" cm="1">
        <f t="array" ref="T26">SUM(OSRRefT22x_0)</f>
        <v>1233731.1400000001</v>
      </c>
      <c r="U26" s="21"/>
      <c r="V26" s="31">
        <f t="shared" ref="V26:V57" si="9">IF(T$12=0,0,T26/T$12)</f>
        <v>2.3799971009407748</v>
      </c>
      <c r="W26" s="5"/>
      <c r="X26" s="21">
        <f t="shared" ref="X26:X57" si="10">+P26-T26</f>
        <v>885689.70000000019</v>
      </c>
      <c r="Y26" s="5"/>
      <c r="Z26" s="31">
        <f t="shared" ref="Z26:Z57" si="11">IF(T26=0,0,X26/T26)</f>
        <v>0.71789522958786633</v>
      </c>
    </row>
    <row r="27" spans="1:26" s="68" customFormat="1" ht="15" customHeight="1" outlineLevel="1" collapsed="1" x14ac:dyDescent="0.25">
      <c r="A27" s="26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26418.85</v>
      </c>
      <c r="E27" s="2"/>
      <c r="F27" s="6">
        <f t="shared" si="4"/>
        <v>0.22210395405123226</v>
      </c>
      <c r="G27" s="2"/>
      <c r="H27" s="2">
        <f>SUM(OSRRefH22_0x_0)</f>
        <v>19280.190000000002</v>
      </c>
      <c r="I27" s="2"/>
      <c r="J27" s="6">
        <f t="shared" si="5"/>
        <v>0.3122057817414855</v>
      </c>
      <c r="K27" s="2"/>
      <c r="L27" s="2">
        <f t="shared" si="6"/>
        <v>7138.6599999999962</v>
      </c>
      <c r="M27" s="2"/>
      <c r="N27" s="6">
        <f t="shared" si="7"/>
        <v>0.37025879931681149</v>
      </c>
      <c r="O27" s="14"/>
      <c r="P27" s="2">
        <f>SUM(OSRRefP22_0x_0)</f>
        <v>335921.37999999995</v>
      </c>
      <c r="Q27" s="2"/>
      <c r="R27" s="6">
        <f t="shared" si="8"/>
        <v>0.22254103386540305</v>
      </c>
      <c r="S27" s="2"/>
      <c r="T27" s="2">
        <f>SUM(OSRRefT22_0x_0)</f>
        <v>228121.13000000003</v>
      </c>
      <c r="U27" s="2"/>
      <c r="V27" s="6">
        <f t="shared" si="9"/>
        <v>0.44006964764084144</v>
      </c>
      <c r="W27" s="2"/>
      <c r="X27" s="2">
        <f t="shared" si="10"/>
        <v>107800.24999999991</v>
      </c>
      <c r="Y27" s="2"/>
      <c r="Z27" s="6">
        <f t="shared" si="11"/>
        <v>0.47255705773507212</v>
      </c>
    </row>
    <row r="28" spans="1:26" s="69" customFormat="1" ht="15" hidden="1" customHeight="1" outlineLevel="2" x14ac:dyDescent="0.25">
      <c r="A28" s="25"/>
      <c r="B28" s="12" t="str">
        <f>CONCATENATE("          ","6111"," - ","F.I.C.A.")</f>
        <v xml:space="preserve">          6111 - F.I.C.A.</v>
      </c>
      <c r="C28" s="12"/>
      <c r="D28" s="7">
        <v>4436.96</v>
      </c>
      <c r="E28" s="3"/>
      <c r="F28" s="8">
        <f t="shared" si="4"/>
        <v>3.7301637276685229E-2</v>
      </c>
      <c r="G28" s="3"/>
      <c r="H28" s="7">
        <v>2396.2199999999998</v>
      </c>
      <c r="I28" s="3"/>
      <c r="J28" s="8">
        <f t="shared" si="5"/>
        <v>3.8802197401819283E-2</v>
      </c>
      <c r="K28" s="3"/>
      <c r="L28" s="7">
        <f t="shared" si="6"/>
        <v>2040.7400000000002</v>
      </c>
      <c r="M28" s="3"/>
      <c r="N28" s="8">
        <f t="shared" si="7"/>
        <v>0.85164968158182486</v>
      </c>
      <c r="O28" s="12"/>
      <c r="P28" s="7">
        <v>51477.58</v>
      </c>
      <c r="Q28" s="3"/>
      <c r="R28" s="8">
        <f t="shared" si="8"/>
        <v>3.4102842379633583E-2</v>
      </c>
      <c r="S28" s="3"/>
      <c r="T28" s="7">
        <v>27981.51</v>
      </c>
      <c r="U28" s="3"/>
      <c r="V28" s="8">
        <f t="shared" si="9"/>
        <v>5.3979275160344321E-2</v>
      </c>
      <c r="W28" s="3"/>
      <c r="X28" s="7">
        <f t="shared" si="10"/>
        <v>23496.070000000003</v>
      </c>
      <c r="Y28" s="3"/>
      <c r="Z28" s="8">
        <f t="shared" si="11"/>
        <v>0.83969985894256616</v>
      </c>
    </row>
    <row r="29" spans="1:26" s="69" customFormat="1" ht="15" hidden="1" customHeight="1" outlineLevel="2" x14ac:dyDescent="0.25">
      <c r="A29" s="25"/>
      <c r="B29" s="12" t="str">
        <f>CONCATENATE("          ","6112"," - ","COMPENSATION INSURANCE")</f>
        <v xml:space="preserve">          6112 - COMPENSATION INSURANCE</v>
      </c>
      <c r="C29" s="12"/>
      <c r="D29" s="7">
        <v>3944.28</v>
      </c>
      <c r="E29" s="3"/>
      <c r="F29" s="8">
        <f t="shared" si="4"/>
        <v>3.315966379631189E-2</v>
      </c>
      <c r="G29" s="3"/>
      <c r="H29" s="7">
        <v>920.55</v>
      </c>
      <c r="I29" s="3"/>
      <c r="J29" s="8">
        <f t="shared" si="5"/>
        <v>1.4906545650334587E-2</v>
      </c>
      <c r="K29" s="3"/>
      <c r="L29" s="7">
        <f t="shared" si="6"/>
        <v>3023.7300000000005</v>
      </c>
      <c r="M29" s="3"/>
      <c r="N29" s="8">
        <f t="shared" si="7"/>
        <v>3.2846993645103479</v>
      </c>
      <c r="O29" s="12"/>
      <c r="P29" s="7">
        <v>25829.86</v>
      </c>
      <c r="Q29" s="3"/>
      <c r="R29" s="8">
        <f t="shared" si="8"/>
        <v>1.7111753199509423E-2</v>
      </c>
      <c r="S29" s="3"/>
      <c r="T29" s="7">
        <v>7935.09</v>
      </c>
      <c r="U29" s="3"/>
      <c r="V29" s="8">
        <f t="shared" si="9"/>
        <v>1.5307623017203027E-2</v>
      </c>
      <c r="W29" s="3"/>
      <c r="X29" s="7">
        <f t="shared" si="10"/>
        <v>17894.77</v>
      </c>
      <c r="Y29" s="3"/>
      <c r="Z29" s="8">
        <f t="shared" si="11"/>
        <v>2.2551439240134643</v>
      </c>
    </row>
    <row r="30" spans="1:26" s="69" customFormat="1" ht="15" hidden="1" customHeight="1" outlineLevel="2" x14ac:dyDescent="0.25">
      <c r="A30" s="25"/>
      <c r="B30" s="12" t="str">
        <f>CONCATENATE("          ","6113"," - ","GROUP INSURANCE")</f>
        <v xml:space="preserve">          6113 - GROUP INSURANCE</v>
      </c>
      <c r="C30" s="12"/>
      <c r="D30" s="7">
        <v>10058.31</v>
      </c>
      <c r="E30" s="3"/>
      <c r="F30" s="8">
        <f t="shared" si="4"/>
        <v>8.4560471862819536E-2</v>
      </c>
      <c r="G30" s="3"/>
      <c r="H30" s="7">
        <v>8554.93</v>
      </c>
      <c r="I30" s="3"/>
      <c r="J30" s="8">
        <f t="shared" si="5"/>
        <v>0.13853072030896407</v>
      </c>
      <c r="K30" s="3"/>
      <c r="L30" s="7">
        <f t="shared" si="6"/>
        <v>1503.3799999999992</v>
      </c>
      <c r="M30" s="3"/>
      <c r="N30" s="8">
        <f t="shared" si="7"/>
        <v>0.17573258927893029</v>
      </c>
      <c r="O30" s="12"/>
      <c r="P30" s="7">
        <v>130689.62</v>
      </c>
      <c r="Q30" s="3"/>
      <c r="R30" s="8">
        <f t="shared" si="8"/>
        <v>8.6579196448516194E-2</v>
      </c>
      <c r="S30" s="3"/>
      <c r="T30" s="7">
        <v>103706.5</v>
      </c>
      <c r="U30" s="3"/>
      <c r="V30" s="8">
        <f t="shared" si="9"/>
        <v>0.20006074366309212</v>
      </c>
      <c r="W30" s="3"/>
      <c r="X30" s="7">
        <f t="shared" si="10"/>
        <v>26983.119999999995</v>
      </c>
      <c r="Y30" s="3"/>
      <c r="Z30" s="8">
        <f t="shared" si="11"/>
        <v>0.26018735566237405</v>
      </c>
    </row>
    <row r="31" spans="1:26" s="69" customFormat="1" ht="15" hidden="1" customHeight="1" outlineLevel="2" x14ac:dyDescent="0.25">
      <c r="A31" s="25"/>
      <c r="B31" s="12" t="str">
        <f>CONCATENATE("          ","6114"," - ","STATE UNEMPLOYMENT INSURANCE")</f>
        <v xml:space="preserve">          6114 - STATE UNEMPLOYMENT INSURANCE</v>
      </c>
      <c r="C31" s="12"/>
      <c r="D31" s="7">
        <v>330.18</v>
      </c>
      <c r="E31" s="3"/>
      <c r="F31" s="8">
        <f t="shared" si="4"/>
        <v>2.7758317848292362E-3</v>
      </c>
      <c r="G31" s="3"/>
      <c r="H31" s="7">
        <v>118.49</v>
      </c>
      <c r="I31" s="3"/>
      <c r="J31" s="8">
        <f t="shared" si="5"/>
        <v>1.9187188030070558E-3</v>
      </c>
      <c r="K31" s="3"/>
      <c r="L31" s="7">
        <f t="shared" si="6"/>
        <v>211.69</v>
      </c>
      <c r="M31" s="3"/>
      <c r="N31" s="8">
        <f t="shared" si="7"/>
        <v>1.7865642670267534</v>
      </c>
      <c r="O31" s="12"/>
      <c r="P31" s="7">
        <v>2222.9</v>
      </c>
      <c r="Q31" s="3"/>
      <c r="R31" s="8">
        <f t="shared" si="8"/>
        <v>1.4726257202783714E-3</v>
      </c>
      <c r="S31" s="3"/>
      <c r="T31" s="7">
        <v>1030.46</v>
      </c>
      <c r="U31" s="3"/>
      <c r="V31" s="8">
        <f t="shared" si="9"/>
        <v>1.9878656970881278E-3</v>
      </c>
      <c r="W31" s="3"/>
      <c r="X31" s="7">
        <f t="shared" si="10"/>
        <v>1192.44</v>
      </c>
      <c r="Y31" s="3"/>
      <c r="Z31" s="8">
        <f t="shared" si="11"/>
        <v>1.1571919336995129</v>
      </c>
    </row>
    <row r="32" spans="1:26" s="69" customFormat="1" ht="15" hidden="1" customHeight="1" outlineLevel="2" x14ac:dyDescent="0.25">
      <c r="A32" s="25"/>
      <c r="B32" s="12" t="str">
        <f>CONCATENATE("          ","6115"," - ","P.E.R.S.")</f>
        <v xml:space="preserve">          6115 - P.E.R.S.</v>
      </c>
      <c r="C32" s="12"/>
      <c r="D32" s="7">
        <v>2331.96</v>
      </c>
      <c r="E32" s="3"/>
      <c r="F32" s="8">
        <f t="shared" si="4"/>
        <v>1.9604847928252424E-2</v>
      </c>
      <c r="G32" s="3"/>
      <c r="H32" s="7">
        <v>2783.65</v>
      </c>
      <c r="I32" s="3"/>
      <c r="J32" s="8">
        <f t="shared" si="5"/>
        <v>4.507588485096288E-2</v>
      </c>
      <c r="K32" s="3"/>
      <c r="L32" s="7">
        <f t="shared" si="6"/>
        <v>-451.69000000000005</v>
      </c>
      <c r="M32" s="3"/>
      <c r="N32" s="8">
        <f t="shared" si="7"/>
        <v>-0.16226537100569396</v>
      </c>
      <c r="O32" s="12"/>
      <c r="P32" s="7">
        <v>37199.53</v>
      </c>
      <c r="Q32" s="3"/>
      <c r="R32" s="8">
        <f t="shared" si="8"/>
        <v>2.4643926699476758E-2</v>
      </c>
      <c r="S32" s="3"/>
      <c r="T32" s="7">
        <v>35214.639999999999</v>
      </c>
      <c r="U32" s="3"/>
      <c r="V32" s="8">
        <f t="shared" si="9"/>
        <v>6.7932743523579239E-2</v>
      </c>
      <c r="W32" s="3"/>
      <c r="X32" s="7">
        <f t="shared" si="10"/>
        <v>1984.8899999999994</v>
      </c>
      <c r="Y32" s="3"/>
      <c r="Z32" s="8">
        <f t="shared" si="11"/>
        <v>5.6365477540023114E-2</v>
      </c>
    </row>
    <row r="33" spans="1:26" s="69" customFormat="1" ht="15" hidden="1" customHeight="1" outlineLevel="2" x14ac:dyDescent="0.25">
      <c r="A33" s="25"/>
      <c r="B33" s="12" t="str">
        <f>CONCATENATE("          ","6117"," - ","RETIREMENT STAFF HOURLY")</f>
        <v xml:space="preserve">          6117 - RETIREMENT STAFF HOURLY</v>
      </c>
      <c r="C33" s="12"/>
      <c r="D33" s="7">
        <v>89.33</v>
      </c>
      <c r="E33" s="3"/>
      <c r="F33" s="8">
        <f t="shared" si="4"/>
        <v>7.5099961638741195E-4</v>
      </c>
      <c r="G33" s="3"/>
      <c r="H33" s="7"/>
      <c r="I33" s="3"/>
      <c r="J33" s="8">
        <f t="shared" si="5"/>
        <v>0</v>
      </c>
      <c r="K33" s="3"/>
      <c r="L33" s="7">
        <f t="shared" si="6"/>
        <v>89.33</v>
      </c>
      <c r="M33" s="3"/>
      <c r="N33" s="8">
        <f t="shared" si="7"/>
        <v>0</v>
      </c>
      <c r="O33" s="12"/>
      <c r="P33" s="7">
        <v>282.25</v>
      </c>
      <c r="Q33" s="3"/>
      <c r="R33" s="8">
        <f t="shared" si="8"/>
        <v>1.8698484391946121E-4</v>
      </c>
      <c r="S33" s="3"/>
      <c r="T33" s="7"/>
      <c r="U33" s="3"/>
      <c r="V33" s="8">
        <f t="shared" si="9"/>
        <v>0</v>
      </c>
      <c r="W33" s="3"/>
      <c r="X33" s="7">
        <f t="shared" si="10"/>
        <v>282.25</v>
      </c>
      <c r="Y33" s="3"/>
      <c r="Z33" s="8">
        <f t="shared" si="11"/>
        <v>0</v>
      </c>
    </row>
    <row r="34" spans="1:26" s="69" customFormat="1" ht="15" hidden="1" customHeight="1" outlineLevel="2" x14ac:dyDescent="0.25">
      <c r="A34" s="25"/>
      <c r="B34" s="12" t="str">
        <f>CONCATENATE("          ","6118"," - ","VACATION")</f>
        <v xml:space="preserve">          6118 - VACATION</v>
      </c>
      <c r="C34" s="12"/>
      <c r="D34" s="7">
        <v>2338.2800000000002</v>
      </c>
      <c r="E34" s="3"/>
      <c r="F34" s="8">
        <f t="shared" si="4"/>
        <v>1.9657980331426819E-2</v>
      </c>
      <c r="G34" s="3"/>
      <c r="H34" s="7">
        <v>2462.92</v>
      </c>
      <c r="I34" s="3"/>
      <c r="J34" s="8">
        <f t="shared" si="5"/>
        <v>3.9882276262149872E-2</v>
      </c>
      <c r="K34" s="3"/>
      <c r="L34" s="7">
        <f t="shared" si="6"/>
        <v>-124.63999999999987</v>
      </c>
      <c r="M34" s="3"/>
      <c r="N34" s="8">
        <f t="shared" si="7"/>
        <v>-5.0606597047407088E-2</v>
      </c>
      <c r="O34" s="12"/>
      <c r="P34" s="7">
        <v>38451.919999999998</v>
      </c>
      <c r="Q34" s="3"/>
      <c r="R34" s="8">
        <f t="shared" si="8"/>
        <v>2.5473609422864866E-2</v>
      </c>
      <c r="S34" s="3"/>
      <c r="T34" s="7">
        <v>29592.22</v>
      </c>
      <c r="U34" s="3"/>
      <c r="V34" s="8">
        <f t="shared" si="9"/>
        <v>5.7086504123095738E-2</v>
      </c>
      <c r="W34" s="3"/>
      <c r="X34" s="7">
        <f t="shared" si="10"/>
        <v>8859.6999999999971</v>
      </c>
      <c r="Y34" s="3"/>
      <c r="Z34" s="8">
        <f t="shared" si="11"/>
        <v>0.29939288096668643</v>
      </c>
    </row>
    <row r="35" spans="1:26" s="69" customFormat="1" ht="15" hidden="1" customHeight="1" outlineLevel="2" x14ac:dyDescent="0.25">
      <c r="A35" s="25"/>
      <c r="B35" s="12" t="str">
        <f>CONCATENATE("          ","6119"," - ","SICK LEAVE")</f>
        <v xml:space="preserve">          6119 - SICK LEAVE</v>
      </c>
      <c r="C35" s="12"/>
      <c r="D35" s="7">
        <v>1652.98</v>
      </c>
      <c r="E35" s="3"/>
      <c r="F35" s="8">
        <f t="shared" si="4"/>
        <v>1.3896645537849146E-2</v>
      </c>
      <c r="G35" s="3"/>
      <c r="H35" s="7">
        <v>1382.86</v>
      </c>
      <c r="I35" s="3"/>
      <c r="J35" s="8">
        <f t="shared" si="5"/>
        <v>2.2392771406248096E-2</v>
      </c>
      <c r="K35" s="3"/>
      <c r="L35" s="7">
        <f t="shared" si="6"/>
        <v>270.12000000000012</v>
      </c>
      <c r="M35" s="3"/>
      <c r="N35" s="8">
        <f t="shared" si="7"/>
        <v>0.1953343071605225</v>
      </c>
      <c r="O35" s="12"/>
      <c r="P35" s="7">
        <v>32699.68</v>
      </c>
      <c r="Q35" s="3"/>
      <c r="R35" s="8">
        <f t="shared" si="8"/>
        <v>2.1662868240979016E-2</v>
      </c>
      <c r="S35" s="3"/>
      <c r="T35" s="7">
        <v>16965.29</v>
      </c>
      <c r="U35" s="3"/>
      <c r="V35" s="8">
        <f t="shared" si="9"/>
        <v>3.2727828379706385E-2</v>
      </c>
      <c r="W35" s="3"/>
      <c r="X35" s="7">
        <f t="shared" si="10"/>
        <v>15734.39</v>
      </c>
      <c r="Y35" s="3"/>
      <c r="Z35" s="8">
        <f t="shared" si="11"/>
        <v>0.92744597940854523</v>
      </c>
    </row>
    <row r="36" spans="1:26" s="69" customFormat="1" ht="15" hidden="1" customHeight="1" outlineLevel="2" x14ac:dyDescent="0.25">
      <c r="A36" s="25"/>
      <c r="B36" s="12" t="str">
        <f>CONCATENATE("          ","6156"," - ","EMPLOYEE MEALS")</f>
        <v xml:space="preserve">          6156 - EMPLOYEE MEALS</v>
      </c>
      <c r="C36" s="12"/>
      <c r="D36" s="7">
        <v>1236.57</v>
      </c>
      <c r="E36" s="3"/>
      <c r="F36" s="8">
        <f t="shared" si="4"/>
        <v>1.039587591667057E-2</v>
      </c>
      <c r="G36" s="3"/>
      <c r="H36" s="7">
        <v>660.57</v>
      </c>
      <c r="I36" s="3"/>
      <c r="J36" s="8">
        <f t="shared" si="5"/>
        <v>1.0696667057999586E-2</v>
      </c>
      <c r="K36" s="3"/>
      <c r="L36" s="7">
        <f t="shared" si="6"/>
        <v>575.99999999999989</v>
      </c>
      <c r="M36" s="3"/>
      <c r="N36" s="8">
        <f t="shared" si="7"/>
        <v>0.87197420409646187</v>
      </c>
      <c r="O36" s="12"/>
      <c r="P36" s="7">
        <v>17068.04</v>
      </c>
      <c r="Q36" s="3"/>
      <c r="R36" s="8">
        <f t="shared" si="8"/>
        <v>1.1307226910225406E-2</v>
      </c>
      <c r="S36" s="3"/>
      <c r="T36" s="7">
        <v>5695.42</v>
      </c>
      <c r="U36" s="3"/>
      <c r="V36" s="8">
        <f t="shared" si="9"/>
        <v>1.0987064076732396E-2</v>
      </c>
      <c r="W36" s="3"/>
      <c r="X36" s="7">
        <f t="shared" si="10"/>
        <v>11372.62</v>
      </c>
      <c r="Y36" s="3"/>
      <c r="Z36" s="8">
        <f t="shared" si="11"/>
        <v>1.9968009382977903</v>
      </c>
    </row>
    <row r="37" spans="1:26" s="68" customFormat="1" ht="15" customHeight="1" outlineLevel="1" collapsed="1" x14ac:dyDescent="0.25">
      <c r="A37" s="26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65018.33</v>
      </c>
      <c r="E37" s="2"/>
      <c r="F37" s="6">
        <f t="shared" si="4"/>
        <v>0.54661077900089738</v>
      </c>
      <c r="G37" s="2"/>
      <c r="H37" s="2">
        <f>SUM(OSRRefH22_1x_0)</f>
        <v>26587.039999999994</v>
      </c>
      <c r="I37" s="2"/>
      <c r="J37" s="6">
        <f t="shared" si="5"/>
        <v>0.43052623482404173</v>
      </c>
      <c r="K37" s="2"/>
      <c r="L37" s="2">
        <f t="shared" si="6"/>
        <v>38431.290000000008</v>
      </c>
      <c r="M37" s="2"/>
      <c r="N37" s="6">
        <f t="shared" si="7"/>
        <v>1.4454896069664023</v>
      </c>
      <c r="O37" s="14"/>
      <c r="P37" s="2">
        <f>SUM(OSRRefP22_1x_0)</f>
        <v>802462.7300000001</v>
      </c>
      <c r="Q37" s="2"/>
      <c r="R37" s="6">
        <f t="shared" si="8"/>
        <v>0.53161512248090259</v>
      </c>
      <c r="S37" s="2"/>
      <c r="T37" s="2">
        <f>SUM(OSRRefT22_1x_0)</f>
        <v>319514.60000000003</v>
      </c>
      <c r="U37" s="2"/>
      <c r="V37" s="6">
        <f t="shared" si="9"/>
        <v>0.61637726166841444</v>
      </c>
      <c r="W37" s="2"/>
      <c r="X37" s="2">
        <f t="shared" si="10"/>
        <v>482948.13000000006</v>
      </c>
      <c r="Y37" s="2"/>
      <c r="Z37" s="6">
        <f t="shared" si="11"/>
        <v>1.5115056714153281</v>
      </c>
    </row>
    <row r="38" spans="1:26" s="69" customFormat="1" ht="15" hidden="1" customHeight="1" outlineLevel="2" x14ac:dyDescent="0.25">
      <c r="A38" s="25"/>
      <c r="B38" s="12" t="str">
        <f>CONCATENATE("          ","6001"," - ","ADMINISTRATIVE SALARIES")</f>
        <v xml:space="preserve">          6001 - ADMINISTRATIVE SALARIES</v>
      </c>
      <c r="C38" s="12"/>
      <c r="D38" s="7">
        <v>10360.85</v>
      </c>
      <c r="E38" s="3"/>
      <c r="F38" s="8">
        <f t="shared" si="4"/>
        <v>8.7103933454018997E-2</v>
      </c>
      <c r="G38" s="3"/>
      <c r="H38" s="7">
        <v>8301.9599999999991</v>
      </c>
      <c r="I38" s="3"/>
      <c r="J38" s="8">
        <f t="shared" si="5"/>
        <v>0.13443435525202513</v>
      </c>
      <c r="K38" s="3"/>
      <c r="L38" s="7">
        <f t="shared" si="6"/>
        <v>2058.8900000000012</v>
      </c>
      <c r="M38" s="3"/>
      <c r="N38" s="8">
        <f t="shared" si="7"/>
        <v>0.24800047217765461</v>
      </c>
      <c r="O38" s="12"/>
      <c r="P38" s="7">
        <v>123156.88</v>
      </c>
      <c r="Q38" s="3"/>
      <c r="R38" s="8">
        <f t="shared" si="8"/>
        <v>8.1588910485058688E-2</v>
      </c>
      <c r="S38" s="3"/>
      <c r="T38" s="7">
        <v>119358.13</v>
      </c>
      <c r="U38" s="3"/>
      <c r="V38" s="8">
        <f t="shared" si="9"/>
        <v>0.23025438376607085</v>
      </c>
      <c r="W38" s="3"/>
      <c r="X38" s="7">
        <f t="shared" si="10"/>
        <v>3798.75</v>
      </c>
      <c r="Y38" s="3"/>
      <c r="Z38" s="8">
        <f t="shared" si="11"/>
        <v>3.1826487227975167E-2</v>
      </c>
    </row>
    <row r="39" spans="1:26" s="69" customFormat="1" ht="15" hidden="1" customHeight="1" outlineLevel="2" x14ac:dyDescent="0.25">
      <c r="A39" s="25"/>
      <c r="B39" s="12" t="str">
        <f>CONCATENATE("          ","6002"," - ","STAFF SALARIES")</f>
        <v xml:space="preserve">          6002 - STAFF SALARIES</v>
      </c>
      <c r="C39" s="12"/>
      <c r="D39" s="7">
        <v>12984.31</v>
      </c>
      <c r="E39" s="3"/>
      <c r="F39" s="8">
        <f t="shared" si="4"/>
        <v>0.10915942940843207</v>
      </c>
      <c r="G39" s="3"/>
      <c r="H39" s="7">
        <v>14361.06</v>
      </c>
      <c r="I39" s="3"/>
      <c r="J39" s="8">
        <f t="shared" si="5"/>
        <v>0.23254988482667321</v>
      </c>
      <c r="K39" s="3"/>
      <c r="L39" s="7">
        <f t="shared" si="6"/>
        <v>-1376.75</v>
      </c>
      <c r="M39" s="3"/>
      <c r="N39" s="8">
        <f t="shared" si="7"/>
        <v>-9.5866878907267292E-2</v>
      </c>
      <c r="O39" s="12"/>
      <c r="P39" s="7">
        <v>239867.28</v>
      </c>
      <c r="Q39" s="3"/>
      <c r="R39" s="8">
        <f t="shared" si="8"/>
        <v>0.15890716000774385</v>
      </c>
      <c r="S39" s="3"/>
      <c r="T39" s="7">
        <v>164214.35</v>
      </c>
      <c r="U39" s="3"/>
      <c r="V39" s="8">
        <f t="shared" si="9"/>
        <v>0.31678674896126369</v>
      </c>
      <c r="W39" s="3"/>
      <c r="X39" s="7">
        <f t="shared" si="10"/>
        <v>75652.929999999993</v>
      </c>
      <c r="Y39" s="3"/>
      <c r="Z39" s="8">
        <f t="shared" si="11"/>
        <v>0.46069621808325517</v>
      </c>
    </row>
    <row r="40" spans="1:26" s="69" customFormat="1" ht="15" hidden="1" customHeight="1" outlineLevel="2" x14ac:dyDescent="0.25">
      <c r="A40" s="25"/>
      <c r="B40" s="12" t="str">
        <f>CONCATENATE("          ","6004"," - ","STAFF HOURLY")</f>
        <v xml:space="preserve">          6004 - STAFF HOURLY</v>
      </c>
      <c r="C40" s="12"/>
      <c r="D40" s="7">
        <v>6565.95</v>
      </c>
      <c r="E40" s="3"/>
      <c r="F40" s="8">
        <f t="shared" si="4"/>
        <v>5.5200111174509431E-2</v>
      </c>
      <c r="G40" s="3"/>
      <c r="H40" s="7">
        <v>2883.67</v>
      </c>
      <c r="I40" s="3"/>
      <c r="J40" s="8">
        <f t="shared" si="5"/>
        <v>4.6695517348867899E-2</v>
      </c>
      <c r="K40" s="3"/>
      <c r="L40" s="7">
        <f t="shared" si="6"/>
        <v>3682.2799999999997</v>
      </c>
      <c r="M40" s="3"/>
      <c r="N40" s="8">
        <f t="shared" si="7"/>
        <v>1.2769422298668016</v>
      </c>
      <c r="O40" s="12"/>
      <c r="P40" s="7">
        <v>117053.87</v>
      </c>
      <c r="Q40" s="3"/>
      <c r="R40" s="8">
        <f t="shared" si="8"/>
        <v>7.7545791362688757E-2</v>
      </c>
      <c r="S40" s="3"/>
      <c r="T40" s="7">
        <v>31463.03</v>
      </c>
      <c r="U40" s="3"/>
      <c r="V40" s="8">
        <f t="shared" si="9"/>
        <v>6.0695493336427105E-2</v>
      </c>
      <c r="W40" s="3"/>
      <c r="X40" s="7">
        <f t="shared" si="10"/>
        <v>85590.84</v>
      </c>
      <c r="Y40" s="3"/>
      <c r="Z40" s="8">
        <f t="shared" si="11"/>
        <v>2.7203622791574746</v>
      </c>
    </row>
    <row r="41" spans="1:26" s="69" customFormat="1" ht="15" hidden="1" customHeight="1" outlineLevel="2" x14ac:dyDescent="0.25">
      <c r="A41" s="25"/>
      <c r="B41" s="12" t="str">
        <f>CONCATENATE("          ","6005"," - ","TEMPORARY WAGES-HOURLY")</f>
        <v xml:space="preserve">          6005 - TEMPORARY WAGES-HOURLY</v>
      </c>
      <c r="C41" s="12"/>
      <c r="D41" s="7">
        <v>12797.6</v>
      </c>
      <c r="E41" s="3"/>
      <c r="F41" s="8">
        <f t="shared" si="4"/>
        <v>0.10758975361781645</v>
      </c>
      <c r="G41" s="3"/>
      <c r="H41" s="7">
        <v>1040.3499999999999</v>
      </c>
      <c r="I41" s="3"/>
      <c r="J41" s="8">
        <f t="shared" si="5"/>
        <v>1.684647739647557E-2</v>
      </c>
      <c r="K41" s="3"/>
      <c r="L41" s="7">
        <f t="shared" si="6"/>
        <v>11757.25</v>
      </c>
      <c r="M41" s="3"/>
      <c r="N41" s="8">
        <f t="shared" si="7"/>
        <v>11.30124477339357</v>
      </c>
      <c r="O41" s="12"/>
      <c r="P41" s="7">
        <v>131563.63</v>
      </c>
      <c r="Q41" s="3"/>
      <c r="R41" s="8">
        <f t="shared" si="8"/>
        <v>8.7158210171931788E-2</v>
      </c>
      <c r="S41" s="3"/>
      <c r="T41" s="7">
        <v>4331.3999999999996</v>
      </c>
      <c r="U41" s="3"/>
      <c r="V41" s="8">
        <f t="shared" si="9"/>
        <v>8.3557260644445356E-3</v>
      </c>
      <c r="W41" s="3"/>
      <c r="X41" s="7">
        <f t="shared" si="10"/>
        <v>127232.23000000001</v>
      </c>
      <c r="Y41" s="3"/>
      <c r="Z41" s="8">
        <f t="shared" si="11"/>
        <v>29.374389342937622</v>
      </c>
    </row>
    <row r="42" spans="1:26" s="69" customFormat="1" ht="15" hidden="1" customHeight="1" outlineLevel="2" x14ac:dyDescent="0.25">
      <c r="A42" s="25"/>
      <c r="B42" s="12" t="str">
        <f>CONCATENATE("          ","6007"," - ","STUDENT HOURLY")</f>
        <v xml:space="preserve">          6007 - STUDENT HOURLY</v>
      </c>
      <c r="C42" s="12"/>
      <c r="D42" s="7">
        <v>20097.18</v>
      </c>
      <c r="E42" s="3"/>
      <c r="F42" s="8">
        <f t="shared" si="4"/>
        <v>0.16895751114372293</v>
      </c>
      <c r="G42" s="3"/>
      <c r="H42" s="7"/>
      <c r="I42" s="3"/>
      <c r="J42" s="8">
        <f t="shared" si="5"/>
        <v>0</v>
      </c>
      <c r="K42" s="3"/>
      <c r="L42" s="7">
        <f t="shared" si="6"/>
        <v>20097.18</v>
      </c>
      <c r="M42" s="3"/>
      <c r="N42" s="8">
        <f t="shared" si="7"/>
        <v>0</v>
      </c>
      <c r="O42" s="12"/>
      <c r="P42" s="7">
        <v>181551.7</v>
      </c>
      <c r="Q42" s="3"/>
      <c r="R42" s="8">
        <f t="shared" si="8"/>
        <v>0.12027428268489937</v>
      </c>
      <c r="S42" s="3"/>
      <c r="T42" s="7">
        <v>147.69</v>
      </c>
      <c r="U42" s="3"/>
      <c r="V42" s="8">
        <f t="shared" si="9"/>
        <v>2.8490954020820371E-4</v>
      </c>
      <c r="W42" s="3"/>
      <c r="X42" s="7">
        <f t="shared" si="10"/>
        <v>181404.01</v>
      </c>
      <c r="Y42" s="3"/>
      <c r="Z42" s="8">
        <f t="shared" si="11"/>
        <v>1228.2755095131695</v>
      </c>
    </row>
    <row r="43" spans="1:26" s="69" customFormat="1" ht="15" hidden="1" customHeight="1" outlineLevel="2" x14ac:dyDescent="0.25">
      <c r="A43" s="25"/>
      <c r="B43" s="12" t="str">
        <f>CONCATENATE("          ","6008"," - ","STUDENT HOURLY-FICA EXEMPT")</f>
        <v xml:space="preserve">          6008 - STUDENT HOURLY-FICA EXEMPT</v>
      </c>
      <c r="C43" s="12"/>
      <c r="D43" s="7">
        <v>2212.44</v>
      </c>
      <c r="E43" s="3"/>
      <c r="F43" s="8">
        <f t="shared" si="4"/>
        <v>1.8600040202397469E-2</v>
      </c>
      <c r="G43" s="3"/>
      <c r="H43" s="7"/>
      <c r="I43" s="3"/>
      <c r="J43" s="8">
        <f t="shared" si="5"/>
        <v>0</v>
      </c>
      <c r="K43" s="3"/>
      <c r="L43" s="7">
        <f t="shared" si="6"/>
        <v>2212.44</v>
      </c>
      <c r="M43" s="3"/>
      <c r="N43" s="8">
        <f t="shared" si="7"/>
        <v>0</v>
      </c>
      <c r="O43" s="12"/>
      <c r="P43" s="7">
        <v>9269.3700000000008</v>
      </c>
      <c r="Q43" s="3"/>
      <c r="R43" s="8">
        <f t="shared" si="8"/>
        <v>6.1407677685801111E-3</v>
      </c>
      <c r="S43" s="3"/>
      <c r="T43" s="7"/>
      <c r="U43" s="3"/>
      <c r="V43" s="8">
        <f t="shared" si="9"/>
        <v>0</v>
      </c>
      <c r="W43" s="3"/>
      <c r="X43" s="7">
        <f t="shared" si="10"/>
        <v>9269.3700000000008</v>
      </c>
      <c r="Y43" s="3"/>
      <c r="Z43" s="8">
        <f t="shared" si="11"/>
        <v>0</v>
      </c>
    </row>
    <row r="44" spans="1:26" s="68" customFormat="1" ht="15" customHeight="1" outlineLevel="1" collapsed="1" x14ac:dyDescent="0.25">
      <c r="A44" s="26"/>
      <c r="B44" s="14" t="str">
        <f>CONCATENATE("     ","Advertising/Promo                                 ")</f>
        <v xml:space="preserve">     Advertising/Promo                                 </v>
      </c>
      <c r="C44" s="14"/>
      <c r="D44" s="2">
        <f>SUM(OSRRefD22_2x_0)</f>
        <v>47.32</v>
      </c>
      <c r="E44" s="2"/>
      <c r="F44" s="6">
        <f t="shared" si="4"/>
        <v>3.9782046174244187E-4</v>
      </c>
      <c r="G44" s="2"/>
      <c r="H44" s="2">
        <f>SUM(OSRRefH22_2x_0)</f>
        <v>6.3</v>
      </c>
      <c r="I44" s="2"/>
      <c r="J44" s="6">
        <f t="shared" si="5"/>
        <v>1.0201644407920037E-4</v>
      </c>
      <c r="K44" s="2"/>
      <c r="L44" s="2">
        <f t="shared" si="6"/>
        <v>41.02</v>
      </c>
      <c r="M44" s="2"/>
      <c r="N44" s="6">
        <f t="shared" si="7"/>
        <v>6.511111111111112</v>
      </c>
      <c r="O44" s="14"/>
      <c r="P44" s="2">
        <f>SUM(OSRRefP22_2x_0)</f>
        <v>2191.59</v>
      </c>
      <c r="Q44" s="2"/>
      <c r="R44" s="6">
        <f t="shared" si="8"/>
        <v>1.4518834865737892E-3</v>
      </c>
      <c r="S44" s="2"/>
      <c r="T44" s="2">
        <f>SUM(OSRRefT22_2x_0)</f>
        <v>447.45</v>
      </c>
      <c r="U44" s="2"/>
      <c r="V44" s="6">
        <f t="shared" si="9"/>
        <v>8.6317810119954455E-4</v>
      </c>
      <c r="W44" s="2"/>
      <c r="X44" s="2">
        <f t="shared" si="10"/>
        <v>1744.14</v>
      </c>
      <c r="Y44" s="2"/>
      <c r="Z44" s="6">
        <f t="shared" si="11"/>
        <v>3.8979550787797521</v>
      </c>
    </row>
    <row r="45" spans="1:26" s="69" customFormat="1" ht="15" hidden="1" customHeight="1" outlineLevel="2" x14ac:dyDescent="0.25">
      <c r="A45" s="25"/>
      <c r="B45" s="12" t="str">
        <f>CONCATENATE("          ","6362"," - ","ADVERTISING EXPENSE")</f>
        <v xml:space="preserve">          6362 - ADVERTISING EXPENSE</v>
      </c>
      <c r="C45" s="12"/>
      <c r="D45" s="7">
        <v>47.32</v>
      </c>
      <c r="E45" s="3"/>
      <c r="F45" s="8">
        <f t="shared" si="4"/>
        <v>3.9782046174244187E-4</v>
      </c>
      <c r="G45" s="3"/>
      <c r="H45" s="7">
        <v>6.3</v>
      </c>
      <c r="I45" s="3"/>
      <c r="J45" s="8">
        <f t="shared" si="5"/>
        <v>1.0201644407920037E-4</v>
      </c>
      <c r="K45" s="3"/>
      <c r="L45" s="7">
        <f t="shared" si="6"/>
        <v>41.02</v>
      </c>
      <c r="M45" s="3"/>
      <c r="N45" s="8">
        <f t="shared" si="7"/>
        <v>6.511111111111112</v>
      </c>
      <c r="O45" s="12"/>
      <c r="P45" s="7">
        <v>2191.59</v>
      </c>
      <c r="Q45" s="3"/>
      <c r="R45" s="8">
        <f t="shared" si="8"/>
        <v>1.4518834865737892E-3</v>
      </c>
      <c r="S45" s="3"/>
      <c r="T45" s="7">
        <v>447.45</v>
      </c>
      <c r="U45" s="3"/>
      <c r="V45" s="8">
        <f t="shared" si="9"/>
        <v>8.6317810119954455E-4</v>
      </c>
      <c r="W45" s="3"/>
      <c r="X45" s="7">
        <f t="shared" si="10"/>
        <v>1744.14</v>
      </c>
      <c r="Y45" s="3"/>
      <c r="Z45" s="8">
        <f t="shared" si="11"/>
        <v>3.8979550787797521</v>
      </c>
    </row>
    <row r="46" spans="1:26" s="68" customFormat="1" ht="15" customHeight="1" outlineLevel="1" collapsed="1" x14ac:dyDescent="0.25">
      <c r="A46" s="26"/>
      <c r="B46" s="14" t="str">
        <f>CONCATENATE("     ","Bad Debts/Over/Short                              ")</f>
        <v xml:space="preserve">     Bad Debts/Over/Short                              </v>
      </c>
      <c r="C46" s="14"/>
      <c r="D46" s="2">
        <f>SUM(OSRRefD22_3x_0)</f>
        <v>0.51</v>
      </c>
      <c r="E46" s="2"/>
      <c r="F46" s="6">
        <f t="shared" si="4"/>
        <v>4.2875831675537908E-6</v>
      </c>
      <c r="G46" s="2"/>
      <c r="H46" s="2">
        <f>SUM(OSRRefH22_3x_0)</f>
        <v>7.22</v>
      </c>
      <c r="I46" s="2"/>
      <c r="J46" s="6">
        <f t="shared" si="5"/>
        <v>1.1691408353203598E-4</v>
      </c>
      <c r="K46" s="2"/>
      <c r="L46" s="2">
        <f t="shared" si="6"/>
        <v>-6.71</v>
      </c>
      <c r="M46" s="2"/>
      <c r="N46" s="6">
        <f t="shared" si="7"/>
        <v>-0.9293628808864266</v>
      </c>
      <c r="O46" s="14"/>
      <c r="P46" s="2">
        <f>SUM(OSRRefP22_3x_0)</f>
        <v>-18.21</v>
      </c>
      <c r="Q46" s="2"/>
      <c r="R46" s="6">
        <f t="shared" si="8"/>
        <v>-1.2063752020454877E-5</v>
      </c>
      <c r="S46" s="2"/>
      <c r="T46" s="2">
        <f>SUM(OSRRefT22_3x_0)</f>
        <v>16.2</v>
      </c>
      <c r="U46" s="2"/>
      <c r="V46" s="6">
        <f t="shared" si="9"/>
        <v>3.1251503496329471E-5</v>
      </c>
      <c r="W46" s="2"/>
      <c r="X46" s="2">
        <f t="shared" si="10"/>
        <v>-34.409999999999997</v>
      </c>
      <c r="Y46" s="2"/>
      <c r="Z46" s="6">
        <f t="shared" si="11"/>
        <v>-2.1240740740740738</v>
      </c>
    </row>
    <row r="47" spans="1:26" s="69" customFormat="1" ht="15" hidden="1" customHeight="1" outlineLevel="2" x14ac:dyDescent="0.25">
      <c r="A47" s="25"/>
      <c r="B47" s="12" t="str">
        <f>CONCATENATE("          ","6272"," - ","CASH (OVER/SHORT)")</f>
        <v xml:space="preserve">          6272 - CASH (OVER/SHORT)</v>
      </c>
      <c r="C47" s="12"/>
      <c r="D47" s="7">
        <v>0.51</v>
      </c>
      <c r="E47" s="3"/>
      <c r="F47" s="8">
        <f t="shared" si="4"/>
        <v>4.2875831675537908E-6</v>
      </c>
      <c r="G47" s="3"/>
      <c r="H47" s="7">
        <v>7.22</v>
      </c>
      <c r="I47" s="3"/>
      <c r="J47" s="8">
        <f t="shared" si="5"/>
        <v>1.1691408353203598E-4</v>
      </c>
      <c r="K47" s="3"/>
      <c r="L47" s="7">
        <f t="shared" si="6"/>
        <v>-6.71</v>
      </c>
      <c r="M47" s="3"/>
      <c r="N47" s="8">
        <f t="shared" si="7"/>
        <v>-0.9293628808864266</v>
      </c>
      <c r="O47" s="12"/>
      <c r="P47" s="7">
        <v>-18.21</v>
      </c>
      <c r="Q47" s="3"/>
      <c r="R47" s="8">
        <f t="shared" si="8"/>
        <v>-1.2063752020454877E-5</v>
      </c>
      <c r="S47" s="3"/>
      <c r="T47" s="7">
        <v>16.2</v>
      </c>
      <c r="U47" s="3"/>
      <c r="V47" s="8">
        <f t="shared" si="9"/>
        <v>3.1251503496329471E-5</v>
      </c>
      <c r="W47" s="3"/>
      <c r="X47" s="7">
        <f t="shared" si="10"/>
        <v>-34.409999999999997</v>
      </c>
      <c r="Y47" s="3"/>
      <c r="Z47" s="8">
        <f t="shared" si="11"/>
        <v>-2.1240740740740738</v>
      </c>
    </row>
    <row r="48" spans="1:26" s="68" customFormat="1" ht="15" customHeight="1" outlineLevel="1" collapsed="1" x14ac:dyDescent="0.25">
      <c r="A48" s="26"/>
      <c r="B48" s="14" t="str">
        <f>CONCATENATE("     ","Bank/card Fees                                    ")</f>
        <v xml:space="preserve">     Bank/card Fees                                    </v>
      </c>
      <c r="C48" s="14"/>
      <c r="D48" s="2">
        <f>SUM(OSRRefD22_4x_0)</f>
        <v>7167.39</v>
      </c>
      <c r="E48" s="2"/>
      <c r="F48" s="6">
        <f t="shared" si="4"/>
        <v>6.0256432782928165E-2</v>
      </c>
      <c r="G48" s="2"/>
      <c r="H48" s="2">
        <f>SUM(OSRRefH22_4x_0)</f>
        <v>695.08</v>
      </c>
      <c r="I48" s="2"/>
      <c r="J48" s="6">
        <f t="shared" si="5"/>
        <v>1.125549046834454E-2</v>
      </c>
      <c r="K48" s="2"/>
      <c r="L48" s="2">
        <f t="shared" si="6"/>
        <v>6472.31</v>
      </c>
      <c r="M48" s="2"/>
      <c r="N48" s="6">
        <f t="shared" si="7"/>
        <v>9.3116044196351506</v>
      </c>
      <c r="O48" s="14"/>
      <c r="P48" s="2">
        <f>SUM(OSRRefP22_4x_0)</f>
        <v>52921.51</v>
      </c>
      <c r="Q48" s="2"/>
      <c r="R48" s="6">
        <f t="shared" si="8"/>
        <v>3.5059416429874958E-2</v>
      </c>
      <c r="S48" s="2"/>
      <c r="T48" s="2">
        <f>SUM(OSRRefT22_4x_0)</f>
        <v>7018.13</v>
      </c>
      <c r="U48" s="2"/>
      <c r="V48" s="6">
        <f t="shared" si="9"/>
        <v>1.3538710755104615E-2</v>
      </c>
      <c r="W48" s="2"/>
      <c r="X48" s="2">
        <f t="shared" si="10"/>
        <v>45903.380000000005</v>
      </c>
      <c r="Y48" s="2"/>
      <c r="Z48" s="6">
        <f t="shared" si="11"/>
        <v>6.5406853392570392</v>
      </c>
    </row>
    <row r="49" spans="1:26" s="69" customFormat="1" ht="15" hidden="1" customHeight="1" outlineLevel="2" x14ac:dyDescent="0.25">
      <c r="A49" s="25"/>
      <c r="B49" s="12" t="str">
        <f>CONCATENATE("          ","6381"," - ","BANK/CREDIT CARD FEES")</f>
        <v xml:space="preserve">          6381 - BANK/CREDIT CARD FEES</v>
      </c>
      <c r="C49" s="12"/>
      <c r="D49" s="7">
        <v>7167.39</v>
      </c>
      <c r="E49" s="3"/>
      <c r="F49" s="8">
        <f t="shared" si="4"/>
        <v>6.0256432782928165E-2</v>
      </c>
      <c r="G49" s="3"/>
      <c r="H49" s="7">
        <v>695.08</v>
      </c>
      <c r="I49" s="3"/>
      <c r="J49" s="8">
        <f t="shared" si="5"/>
        <v>1.125549046834454E-2</v>
      </c>
      <c r="K49" s="3"/>
      <c r="L49" s="7">
        <f t="shared" si="6"/>
        <v>6472.31</v>
      </c>
      <c r="M49" s="3"/>
      <c r="N49" s="8">
        <f t="shared" si="7"/>
        <v>9.3116044196351506</v>
      </c>
      <c r="O49" s="12"/>
      <c r="P49" s="7">
        <v>52921.51</v>
      </c>
      <c r="Q49" s="3"/>
      <c r="R49" s="8">
        <f t="shared" si="8"/>
        <v>3.5059416429874958E-2</v>
      </c>
      <c r="S49" s="3"/>
      <c r="T49" s="7">
        <v>7018.13</v>
      </c>
      <c r="U49" s="3"/>
      <c r="V49" s="8">
        <f t="shared" si="9"/>
        <v>1.3538710755104615E-2</v>
      </c>
      <c r="W49" s="3"/>
      <c r="X49" s="7">
        <f t="shared" si="10"/>
        <v>45903.380000000005</v>
      </c>
      <c r="Y49" s="3"/>
      <c r="Z49" s="8">
        <f t="shared" si="11"/>
        <v>6.5406853392570392</v>
      </c>
    </row>
    <row r="50" spans="1:26" s="68" customFormat="1" ht="15" customHeight="1" outlineLevel="1" collapsed="1" x14ac:dyDescent="0.25">
      <c r="A50" s="26"/>
      <c r="B50" s="14" t="str">
        <f>CONCATENATE("     ","Depreciation                                      ")</f>
        <v xml:space="preserve">     Depreciation                                      </v>
      </c>
      <c r="C50" s="14"/>
      <c r="D50" s="2">
        <f>SUM(OSRRefD22_5x_0)</f>
        <v>36722.82</v>
      </c>
      <c r="E50" s="2"/>
      <c r="F50" s="6">
        <f t="shared" si="4"/>
        <v>0.30872969587668175</v>
      </c>
      <c r="G50" s="2"/>
      <c r="H50" s="2">
        <f>SUM(OSRRefH22_5x_0)</f>
        <v>36720.730000000003</v>
      </c>
      <c r="I50" s="2"/>
      <c r="J50" s="6">
        <f t="shared" si="5"/>
        <v>0.59462195215752633</v>
      </c>
      <c r="K50" s="2"/>
      <c r="L50" s="2">
        <f t="shared" si="6"/>
        <v>2.0899999999965075</v>
      </c>
      <c r="M50" s="2"/>
      <c r="N50" s="6">
        <f t="shared" si="7"/>
        <v>5.691607982729394E-5</v>
      </c>
      <c r="O50" s="14"/>
      <c r="P50" s="2">
        <f>SUM(OSRRefP22_5x_0)</f>
        <v>367352.24</v>
      </c>
      <c r="Q50" s="2"/>
      <c r="R50" s="6">
        <f t="shared" si="8"/>
        <v>0.24336333484451533</v>
      </c>
      <c r="S50" s="2"/>
      <c r="T50" s="2">
        <f>SUM(OSRRefT22_5x_0)</f>
        <v>406751.85</v>
      </c>
      <c r="U50" s="2"/>
      <c r="V50" s="6">
        <f t="shared" si="9"/>
        <v>0.78466709027243708</v>
      </c>
      <c r="W50" s="2"/>
      <c r="X50" s="2">
        <f t="shared" si="10"/>
        <v>-39399.609999999986</v>
      </c>
      <c r="Y50" s="2"/>
      <c r="Z50" s="6">
        <f t="shared" si="11"/>
        <v>-9.6863997053731873E-2</v>
      </c>
    </row>
    <row r="51" spans="1:26" s="69" customFormat="1" ht="15" hidden="1" customHeight="1" outlineLevel="2" x14ac:dyDescent="0.25">
      <c r="A51" s="25"/>
      <c r="B51" s="12" t="str">
        <f>CONCATENATE("          ","6321"," - ","BUILDING DEPRECIATION")</f>
        <v xml:space="preserve">          6321 - BUILDING DEPRECIATION</v>
      </c>
      <c r="C51" s="12"/>
      <c r="D51" s="7">
        <v>23539.4</v>
      </c>
      <c r="E51" s="3"/>
      <c r="F51" s="8">
        <f t="shared" si="4"/>
        <v>0.19789634355748176</v>
      </c>
      <c r="G51" s="3"/>
      <c r="H51" s="7">
        <v>23583.49</v>
      </c>
      <c r="I51" s="3"/>
      <c r="J51" s="8">
        <f t="shared" si="5"/>
        <v>0.38188949028212404</v>
      </c>
      <c r="K51" s="3"/>
      <c r="L51" s="7">
        <f t="shared" si="6"/>
        <v>-44.090000000000146</v>
      </c>
      <c r="M51" s="3"/>
      <c r="N51" s="8">
        <f t="shared" si="7"/>
        <v>-1.8695282165616769E-3</v>
      </c>
      <c r="O51" s="12"/>
      <c r="P51" s="7">
        <v>259021.54</v>
      </c>
      <c r="Q51" s="3"/>
      <c r="R51" s="8">
        <f t="shared" si="8"/>
        <v>0.17159646493774483</v>
      </c>
      <c r="S51" s="3"/>
      <c r="T51" s="7">
        <v>260202.58</v>
      </c>
      <c r="U51" s="3"/>
      <c r="V51" s="8">
        <f t="shared" si="9"/>
        <v>0.50195813818666346</v>
      </c>
      <c r="W51" s="3"/>
      <c r="X51" s="7">
        <f t="shared" si="10"/>
        <v>-1181.039999999979</v>
      </c>
      <c r="Y51" s="3"/>
      <c r="Z51" s="8">
        <f t="shared" si="11"/>
        <v>-4.5389250175766095E-3</v>
      </c>
    </row>
    <row r="52" spans="1:26" s="69" customFormat="1" ht="15" hidden="1" customHeight="1" outlineLevel="2" x14ac:dyDescent="0.25">
      <c r="A52" s="25"/>
      <c r="B52" s="12" t="str">
        <f>CONCATENATE("          ","6322"," - ","EQUIPMENT DEPRECIATION EXPENSE")</f>
        <v xml:space="preserve">          6322 - EQUIPMENT DEPRECIATION EXPENSE</v>
      </c>
      <c r="C52" s="12"/>
      <c r="D52" s="7">
        <v>13183.42</v>
      </c>
      <c r="E52" s="3"/>
      <c r="F52" s="8">
        <f t="shared" si="4"/>
        <v>0.11083335231919998</v>
      </c>
      <c r="G52" s="3"/>
      <c r="H52" s="7">
        <v>13137.24</v>
      </c>
      <c r="I52" s="3"/>
      <c r="J52" s="8">
        <f t="shared" si="5"/>
        <v>0.21273246187540226</v>
      </c>
      <c r="K52" s="3"/>
      <c r="L52" s="7">
        <f t="shared" si="6"/>
        <v>46.180000000000291</v>
      </c>
      <c r="M52" s="3"/>
      <c r="N52" s="8">
        <f t="shared" si="7"/>
        <v>3.5151980172395641E-3</v>
      </c>
      <c r="O52" s="12"/>
      <c r="P52" s="7">
        <v>108330.7</v>
      </c>
      <c r="Q52" s="3"/>
      <c r="R52" s="8">
        <f t="shared" si="8"/>
        <v>7.1766869906770503E-2</v>
      </c>
      <c r="S52" s="3"/>
      <c r="T52" s="7">
        <v>146549.26999999999</v>
      </c>
      <c r="U52" s="3"/>
      <c r="V52" s="8">
        <f t="shared" si="9"/>
        <v>0.28270895208577357</v>
      </c>
      <c r="W52" s="3"/>
      <c r="X52" s="7">
        <f t="shared" si="10"/>
        <v>-38218.569999999992</v>
      </c>
      <c r="Y52" s="3"/>
      <c r="Z52" s="8">
        <f t="shared" si="11"/>
        <v>-0.26078990362763321</v>
      </c>
    </row>
    <row r="53" spans="1:26" s="68" customFormat="1" ht="15" customHeight="1" outlineLevel="1" collapsed="1" x14ac:dyDescent="0.25">
      <c r="A53" s="26"/>
      <c r="B53" s="14" t="str">
        <f>CONCATENATE("     ","Employees' Appreciation                           ")</f>
        <v xml:space="preserve">     Employees' Appreciation                           </v>
      </c>
      <c r="C53" s="14"/>
      <c r="D53" s="2">
        <f>SUM(OSRRefD22_6x_0)</f>
        <v>0</v>
      </c>
      <c r="E53" s="2"/>
      <c r="F53" s="6">
        <f t="shared" si="4"/>
        <v>0</v>
      </c>
      <c r="G53" s="2"/>
      <c r="H53" s="2">
        <f>SUM(OSRRefH22_6x_0)</f>
        <v>0</v>
      </c>
      <c r="I53" s="2"/>
      <c r="J53" s="6">
        <f t="shared" si="5"/>
        <v>0</v>
      </c>
      <c r="K53" s="2"/>
      <c r="L53" s="2">
        <f t="shared" si="6"/>
        <v>0</v>
      </c>
      <c r="M53" s="2"/>
      <c r="N53" s="6">
        <f t="shared" si="7"/>
        <v>0</v>
      </c>
      <c r="O53" s="14"/>
      <c r="P53" s="2">
        <f>SUM(OSRRefP22_6x_0)</f>
        <v>376.32</v>
      </c>
      <c r="Q53" s="2"/>
      <c r="R53" s="6">
        <f t="shared" si="8"/>
        <v>2.4930429216570997E-4</v>
      </c>
      <c r="S53" s="2"/>
      <c r="T53" s="2">
        <f>SUM(OSRRefT22_6x_0)</f>
        <v>10</v>
      </c>
      <c r="U53" s="2"/>
      <c r="V53" s="6">
        <f t="shared" si="9"/>
        <v>1.9291051540944119E-5</v>
      </c>
      <c r="W53" s="2"/>
      <c r="X53" s="2">
        <f t="shared" si="10"/>
        <v>366.32</v>
      </c>
      <c r="Y53" s="2"/>
      <c r="Z53" s="6">
        <f t="shared" si="11"/>
        <v>36.631999999999998</v>
      </c>
    </row>
    <row r="54" spans="1:26" s="69" customFormat="1" ht="15" hidden="1" customHeight="1" outlineLevel="2" x14ac:dyDescent="0.25">
      <c r="A54" s="25"/>
      <c r="B54" s="12" t="str">
        <f>CONCATENATE("          ","6277"," - ","EMPLOYEE APPRECIATION")</f>
        <v xml:space="preserve">          6277 - EMPLOYEE APPRECIATION</v>
      </c>
      <c r="C54" s="12"/>
      <c r="D54" s="7"/>
      <c r="E54" s="3"/>
      <c r="F54" s="8">
        <f t="shared" si="4"/>
        <v>0</v>
      </c>
      <c r="G54" s="3"/>
      <c r="H54" s="7"/>
      <c r="I54" s="3"/>
      <c r="J54" s="8">
        <f t="shared" si="5"/>
        <v>0</v>
      </c>
      <c r="K54" s="3"/>
      <c r="L54" s="7">
        <f t="shared" si="6"/>
        <v>0</v>
      </c>
      <c r="M54" s="3"/>
      <c r="N54" s="8">
        <f t="shared" si="7"/>
        <v>0</v>
      </c>
      <c r="O54" s="12"/>
      <c r="P54" s="7">
        <v>376.32</v>
      </c>
      <c r="Q54" s="3"/>
      <c r="R54" s="8">
        <f t="shared" si="8"/>
        <v>2.4930429216570997E-4</v>
      </c>
      <c r="S54" s="3"/>
      <c r="T54" s="7">
        <v>10</v>
      </c>
      <c r="U54" s="3"/>
      <c r="V54" s="8">
        <f t="shared" si="9"/>
        <v>1.9291051540944119E-5</v>
      </c>
      <c r="W54" s="3"/>
      <c r="X54" s="7">
        <f t="shared" si="10"/>
        <v>366.32</v>
      </c>
      <c r="Y54" s="3"/>
      <c r="Z54" s="8">
        <f t="shared" si="11"/>
        <v>36.631999999999998</v>
      </c>
    </row>
    <row r="55" spans="1:26" s="68" customFormat="1" ht="15" customHeight="1" outlineLevel="1" collapsed="1" x14ac:dyDescent="0.25">
      <c r="A55" s="26"/>
      <c r="B55" s="14" t="str">
        <f>CONCATENATE("     ","Equipment Rental                                  ")</f>
        <v xml:space="preserve">     Equipment Rental                                  </v>
      </c>
      <c r="C55" s="14"/>
      <c r="D55" s="2">
        <f>SUM(OSRRefD22_7x_0)</f>
        <v>927.59</v>
      </c>
      <c r="E55" s="2"/>
      <c r="F55" s="6">
        <f t="shared" si="4"/>
        <v>7.7982730791984721E-3</v>
      </c>
      <c r="G55" s="2"/>
      <c r="H55" s="2">
        <f>SUM(OSRRefH22_7x_0)</f>
        <v>1064.6099999999999</v>
      </c>
      <c r="I55" s="2"/>
      <c r="J55" s="6">
        <f t="shared" si="5"/>
        <v>1.7239321671612302E-2</v>
      </c>
      <c r="K55" s="2"/>
      <c r="L55" s="2">
        <f t="shared" si="6"/>
        <v>-137.01999999999987</v>
      </c>
      <c r="M55" s="2"/>
      <c r="N55" s="6">
        <f t="shared" si="7"/>
        <v>-0.12870440818703552</v>
      </c>
      <c r="O55" s="14"/>
      <c r="P55" s="2">
        <f>SUM(OSRRefP22_7x_0)</f>
        <v>10948.3</v>
      </c>
      <c r="Q55" s="2"/>
      <c r="R55" s="6">
        <f t="shared" si="8"/>
        <v>7.2530245055214774E-3</v>
      </c>
      <c r="S55" s="2"/>
      <c r="T55" s="2">
        <f>SUM(OSRRefT22_7x_0)</f>
        <v>6516.43</v>
      </c>
      <c r="U55" s="2"/>
      <c r="V55" s="6">
        <f t="shared" si="9"/>
        <v>1.2570878699295449E-2</v>
      </c>
      <c r="W55" s="2"/>
      <c r="X55" s="2">
        <f t="shared" si="10"/>
        <v>4431.869999999999</v>
      </c>
      <c r="Y55" s="2"/>
      <c r="Z55" s="6">
        <f t="shared" si="11"/>
        <v>0.68010705248118963</v>
      </c>
    </row>
    <row r="56" spans="1:26" s="69" customFormat="1" ht="15" hidden="1" customHeight="1" outlineLevel="2" x14ac:dyDescent="0.25">
      <c r="A56" s="25"/>
      <c r="B56" s="12" t="str">
        <f>CONCATENATE("          ","6351"," - ","EQUIPMENT RENTAL")</f>
        <v xml:space="preserve">          6351 - EQUIPMENT RENTAL</v>
      </c>
      <c r="C56" s="12"/>
      <c r="D56" s="7">
        <v>927.59</v>
      </c>
      <c r="E56" s="3"/>
      <c r="F56" s="8">
        <f t="shared" si="4"/>
        <v>7.7982730791984721E-3</v>
      </c>
      <c r="G56" s="3"/>
      <c r="H56" s="7">
        <v>1064.6099999999999</v>
      </c>
      <c r="I56" s="3"/>
      <c r="J56" s="8">
        <f t="shared" si="5"/>
        <v>1.7239321671612302E-2</v>
      </c>
      <c r="K56" s="3"/>
      <c r="L56" s="7">
        <f t="shared" si="6"/>
        <v>-137.01999999999987</v>
      </c>
      <c r="M56" s="3"/>
      <c r="N56" s="8">
        <f t="shared" si="7"/>
        <v>-0.12870440818703552</v>
      </c>
      <c r="O56" s="12"/>
      <c r="P56" s="7">
        <v>10948.3</v>
      </c>
      <c r="Q56" s="3"/>
      <c r="R56" s="8">
        <f t="shared" si="8"/>
        <v>7.2530245055214774E-3</v>
      </c>
      <c r="S56" s="3"/>
      <c r="T56" s="7">
        <v>6516.43</v>
      </c>
      <c r="U56" s="3"/>
      <c r="V56" s="8">
        <f t="shared" si="9"/>
        <v>1.2570878699295449E-2</v>
      </c>
      <c r="W56" s="3"/>
      <c r="X56" s="7">
        <f t="shared" si="10"/>
        <v>4431.869999999999</v>
      </c>
      <c r="Y56" s="3"/>
      <c r="Z56" s="8">
        <f t="shared" si="11"/>
        <v>0.68010705248118963</v>
      </c>
    </row>
    <row r="57" spans="1:26" s="68" customFormat="1" ht="15" customHeight="1" outlineLevel="1" collapsed="1" x14ac:dyDescent="0.25">
      <c r="A57" s="26"/>
      <c r="B57" s="14" t="str">
        <f>CONCATENATE("     ","Freight out/Postage                               ")</f>
        <v xml:space="preserve">     Freight out/Postage                               </v>
      </c>
      <c r="C57" s="14"/>
      <c r="D57" s="2">
        <f>SUM(OSRRefD22_8x_0)</f>
        <v>0</v>
      </c>
      <c r="E57" s="2"/>
      <c r="F57" s="6">
        <f t="shared" si="4"/>
        <v>0</v>
      </c>
      <c r="G57" s="2"/>
      <c r="H57" s="2">
        <f>SUM(OSRRefH22_8x_0)</f>
        <v>0</v>
      </c>
      <c r="I57" s="2"/>
      <c r="J57" s="6">
        <f t="shared" si="5"/>
        <v>0</v>
      </c>
      <c r="K57" s="2"/>
      <c r="L57" s="2">
        <f t="shared" si="6"/>
        <v>0</v>
      </c>
      <c r="M57" s="2"/>
      <c r="N57" s="6">
        <f t="shared" si="7"/>
        <v>0</v>
      </c>
      <c r="O57" s="14"/>
      <c r="P57" s="2">
        <f>SUM(OSRRefP22_8x_0)</f>
        <v>0</v>
      </c>
      <c r="Q57" s="2"/>
      <c r="R57" s="6">
        <f t="shared" si="8"/>
        <v>0</v>
      </c>
      <c r="S57" s="2"/>
      <c r="T57" s="2">
        <f>SUM(OSRRefT22_8x_0)</f>
        <v>-2.4500000000000002</v>
      </c>
      <c r="U57" s="2"/>
      <c r="V57" s="6">
        <f t="shared" si="9"/>
        <v>-4.7263076275313097E-6</v>
      </c>
      <c r="W57" s="2"/>
      <c r="X57" s="2">
        <f t="shared" si="10"/>
        <v>2.4500000000000002</v>
      </c>
      <c r="Y57" s="2"/>
      <c r="Z57" s="6">
        <f t="shared" si="11"/>
        <v>-1</v>
      </c>
    </row>
    <row r="58" spans="1:26" s="69" customFormat="1" ht="15" hidden="1" customHeight="1" outlineLevel="2" x14ac:dyDescent="0.25">
      <c r="A58" s="25"/>
      <c r="B58" s="12" t="str">
        <f>CONCATENATE("          ","6307"," - ","POSTAGE")</f>
        <v xml:space="preserve">          6307 - POSTAGE</v>
      </c>
      <c r="C58" s="12"/>
      <c r="D58" s="7"/>
      <c r="E58" s="3"/>
      <c r="F58" s="8">
        <f t="shared" ref="F58:F89" si="12">IF(D$12=0,0,D58/D$12)</f>
        <v>0</v>
      </c>
      <c r="G58" s="3"/>
      <c r="H58" s="7"/>
      <c r="I58" s="3"/>
      <c r="J58" s="8">
        <f t="shared" ref="J58:J89" si="13">IF(H$12=0,0,H58/H$12)</f>
        <v>0</v>
      </c>
      <c r="K58" s="3"/>
      <c r="L58" s="7">
        <f t="shared" ref="L58:L89" si="14">+D58-H58</f>
        <v>0</v>
      </c>
      <c r="M58" s="3"/>
      <c r="N58" s="8">
        <f t="shared" ref="N58:N89" si="15">IF(H58=0,0,L58/H58)</f>
        <v>0</v>
      </c>
      <c r="O58" s="12"/>
      <c r="P58" s="7"/>
      <c r="Q58" s="3"/>
      <c r="R58" s="8">
        <f t="shared" ref="R58:R89" si="16">IF(P$12=0,0,P58/P$12)</f>
        <v>0</v>
      </c>
      <c r="S58" s="3"/>
      <c r="T58" s="7">
        <v>-2.4500000000000002</v>
      </c>
      <c r="U58" s="3"/>
      <c r="V58" s="8">
        <f t="shared" ref="V58:V89" si="17">IF(T$12=0,0,T58/T$12)</f>
        <v>-4.7263076275313097E-6</v>
      </c>
      <c r="W58" s="3"/>
      <c r="X58" s="7">
        <f t="shared" ref="X58:X89" si="18">+P58-T58</f>
        <v>2.4500000000000002</v>
      </c>
      <c r="Y58" s="3"/>
      <c r="Z58" s="8">
        <f t="shared" ref="Z58:Z89" si="19">IF(T58=0,0,X58/T58)</f>
        <v>-1</v>
      </c>
    </row>
    <row r="59" spans="1:26" s="68" customFormat="1" ht="15" customHeight="1" outlineLevel="1" collapsed="1" x14ac:dyDescent="0.25">
      <c r="A59" s="26"/>
      <c r="B59" s="14" t="str">
        <f>CONCATENATE("     ","General                                           ")</f>
        <v xml:space="preserve">     General                                           </v>
      </c>
      <c r="C59" s="14"/>
      <c r="D59" s="2">
        <f>SUM(OSRRefD22_9x_0)</f>
        <v>27314.44</v>
      </c>
      <c r="E59" s="2"/>
      <c r="F59" s="6">
        <f t="shared" si="12"/>
        <v>0.22963320230423126</v>
      </c>
      <c r="G59" s="2"/>
      <c r="H59" s="2">
        <f>SUM(OSRRefH22_9x_0)</f>
        <v>0</v>
      </c>
      <c r="I59" s="2"/>
      <c r="J59" s="6">
        <f t="shared" si="13"/>
        <v>0</v>
      </c>
      <c r="K59" s="2"/>
      <c r="L59" s="2">
        <f t="shared" si="14"/>
        <v>27314.44</v>
      </c>
      <c r="M59" s="2"/>
      <c r="N59" s="6">
        <f t="shared" si="15"/>
        <v>0</v>
      </c>
      <c r="O59" s="14"/>
      <c r="P59" s="2">
        <f>SUM(OSRRefP22_9x_0)</f>
        <v>46954.080000000002</v>
      </c>
      <c r="Q59" s="2"/>
      <c r="R59" s="6">
        <f t="shared" si="16"/>
        <v>3.1106116280538158E-2</v>
      </c>
      <c r="S59" s="2"/>
      <c r="T59" s="2">
        <f>SUM(OSRRefT22_9x_0)</f>
        <v>7630.48</v>
      </c>
      <c r="U59" s="2"/>
      <c r="V59" s="6">
        <f t="shared" si="17"/>
        <v>1.4719998296214327E-2</v>
      </c>
      <c r="W59" s="2"/>
      <c r="X59" s="2">
        <f t="shared" si="18"/>
        <v>39323.600000000006</v>
      </c>
      <c r="Y59" s="2"/>
      <c r="Z59" s="6">
        <f t="shared" si="19"/>
        <v>5.1534896887220736</v>
      </c>
    </row>
    <row r="60" spans="1:26" s="69" customFormat="1" ht="15" hidden="1" customHeight="1" outlineLevel="2" x14ac:dyDescent="0.25">
      <c r="A60" s="25"/>
      <c r="B60" s="12" t="str">
        <f>CONCATENATE("          ","6279"," - ","GENERAL EXPENSE")</f>
        <v xml:space="preserve">          6279 - GENERAL EXPENSE</v>
      </c>
      <c r="C60" s="12"/>
      <c r="D60" s="7">
        <v>27314.44</v>
      </c>
      <c r="E60" s="3"/>
      <c r="F60" s="8">
        <f t="shared" si="12"/>
        <v>0.22963320230423126</v>
      </c>
      <c r="G60" s="3"/>
      <c r="H60" s="7"/>
      <c r="I60" s="3"/>
      <c r="J60" s="8">
        <f t="shared" si="13"/>
        <v>0</v>
      </c>
      <c r="K60" s="3"/>
      <c r="L60" s="7">
        <f t="shared" si="14"/>
        <v>27314.44</v>
      </c>
      <c r="M60" s="3"/>
      <c r="N60" s="8">
        <f t="shared" si="15"/>
        <v>0</v>
      </c>
      <c r="O60" s="12"/>
      <c r="P60" s="7">
        <v>46954.080000000002</v>
      </c>
      <c r="Q60" s="3"/>
      <c r="R60" s="8">
        <f t="shared" si="16"/>
        <v>3.1106116280538158E-2</v>
      </c>
      <c r="S60" s="3"/>
      <c r="T60" s="7">
        <v>7630.48</v>
      </c>
      <c r="U60" s="3"/>
      <c r="V60" s="8">
        <f t="shared" si="17"/>
        <v>1.4719998296214327E-2</v>
      </c>
      <c r="W60" s="3"/>
      <c r="X60" s="7">
        <f t="shared" si="18"/>
        <v>39323.600000000006</v>
      </c>
      <c r="Y60" s="3"/>
      <c r="Z60" s="8">
        <f t="shared" si="19"/>
        <v>5.1534896887220736</v>
      </c>
    </row>
    <row r="61" spans="1:26" s="68" customFormat="1" ht="15" customHeight="1" outlineLevel="1" collapsed="1" x14ac:dyDescent="0.25">
      <c r="A61" s="26"/>
      <c r="B61" s="14" t="str">
        <f>CONCATENATE("     ","Insurance                                         ")</f>
        <v xml:space="preserve">     Insurance                                         </v>
      </c>
      <c r="C61" s="14"/>
      <c r="D61" s="2">
        <f>SUM(OSRRefD22_10x_0)</f>
        <v>5756.21</v>
      </c>
      <c r="E61" s="2"/>
      <c r="F61" s="6">
        <f t="shared" si="12"/>
        <v>4.8392606088048636E-2</v>
      </c>
      <c r="G61" s="2"/>
      <c r="H61" s="2">
        <f>SUM(OSRRefH22_10x_0)</f>
        <v>4240.13</v>
      </c>
      <c r="I61" s="2"/>
      <c r="J61" s="6">
        <f t="shared" si="13"/>
        <v>6.8660791275165056E-2</v>
      </c>
      <c r="K61" s="2"/>
      <c r="L61" s="2">
        <f t="shared" si="14"/>
        <v>1516.08</v>
      </c>
      <c r="M61" s="2"/>
      <c r="N61" s="6">
        <f t="shared" si="15"/>
        <v>0.35755507496232425</v>
      </c>
      <c r="O61" s="14"/>
      <c r="P61" s="2">
        <f>SUM(OSRRefP22_10x_0)</f>
        <v>70201.31</v>
      </c>
      <c r="Q61" s="2"/>
      <c r="R61" s="6">
        <f t="shared" si="16"/>
        <v>4.6506930002805001E-2</v>
      </c>
      <c r="S61" s="2"/>
      <c r="T61" s="2">
        <f>SUM(OSRRefT22_10x_0)</f>
        <v>52753.43</v>
      </c>
      <c r="U61" s="2"/>
      <c r="V61" s="6">
        <f t="shared" si="17"/>
        <v>0.10176691370915877</v>
      </c>
      <c r="W61" s="2"/>
      <c r="X61" s="2">
        <f t="shared" si="18"/>
        <v>17447.879999999997</v>
      </c>
      <c r="Y61" s="2"/>
      <c r="Z61" s="6">
        <f t="shared" si="19"/>
        <v>0.3307439914333532</v>
      </c>
    </row>
    <row r="62" spans="1:26" s="69" customFormat="1" ht="15" hidden="1" customHeight="1" outlineLevel="2" x14ac:dyDescent="0.25">
      <c r="A62" s="25"/>
      <c r="B62" s="12" t="str">
        <f>CONCATENATE("          ","6314"," - ","LIABILITY INSURANCE")</f>
        <v xml:space="preserve">          6314 - LIABILITY INSURANCE</v>
      </c>
      <c r="C62" s="12"/>
      <c r="D62" s="7">
        <v>5756.21</v>
      </c>
      <c r="E62" s="3"/>
      <c r="F62" s="8">
        <f t="shared" si="12"/>
        <v>4.8392606088048636E-2</v>
      </c>
      <c r="G62" s="3"/>
      <c r="H62" s="7">
        <v>4240.13</v>
      </c>
      <c r="I62" s="3"/>
      <c r="J62" s="8">
        <f t="shared" si="13"/>
        <v>6.8660791275165056E-2</v>
      </c>
      <c r="K62" s="3"/>
      <c r="L62" s="7">
        <f t="shared" si="14"/>
        <v>1516.08</v>
      </c>
      <c r="M62" s="3"/>
      <c r="N62" s="8">
        <f t="shared" si="15"/>
        <v>0.35755507496232425</v>
      </c>
      <c r="O62" s="12"/>
      <c r="P62" s="7">
        <v>70201.31</v>
      </c>
      <c r="Q62" s="3"/>
      <c r="R62" s="8">
        <f t="shared" si="16"/>
        <v>4.6506930002805001E-2</v>
      </c>
      <c r="S62" s="3"/>
      <c r="T62" s="7">
        <v>52753.43</v>
      </c>
      <c r="U62" s="3"/>
      <c r="V62" s="8">
        <f t="shared" si="17"/>
        <v>0.10176691370915877</v>
      </c>
      <c r="W62" s="3"/>
      <c r="X62" s="7">
        <f t="shared" si="18"/>
        <v>17447.879999999997</v>
      </c>
      <c r="Y62" s="3"/>
      <c r="Z62" s="8">
        <f t="shared" si="19"/>
        <v>0.3307439914333532</v>
      </c>
    </row>
    <row r="63" spans="1:26" s="68" customFormat="1" ht="15" customHeight="1" outlineLevel="1" collapsed="1" x14ac:dyDescent="0.25">
      <c r="A63" s="26"/>
      <c r="B63" s="14" t="str">
        <f>CONCATENATE("     ","Interest                                          ")</f>
        <v xml:space="preserve">     Interest                                          </v>
      </c>
      <c r="C63" s="14"/>
      <c r="D63" s="2">
        <f>SUM(OSRRefD22_11x_0)</f>
        <v>7253</v>
      </c>
      <c r="E63" s="2"/>
      <c r="F63" s="6">
        <f t="shared" si="12"/>
        <v>6.0976158263269888E-2</v>
      </c>
      <c r="G63" s="2"/>
      <c r="H63" s="2">
        <f>SUM(OSRRefH22_11x_0)</f>
        <v>7510</v>
      </c>
      <c r="I63" s="2"/>
      <c r="J63" s="6">
        <f t="shared" si="13"/>
        <v>0.12161007857695155</v>
      </c>
      <c r="K63" s="2"/>
      <c r="L63" s="2">
        <f t="shared" si="14"/>
        <v>-257</v>
      </c>
      <c r="M63" s="2"/>
      <c r="N63" s="6">
        <f t="shared" si="15"/>
        <v>-3.4221038615179764E-2</v>
      </c>
      <c r="O63" s="14"/>
      <c r="P63" s="2">
        <f>SUM(OSRRefP22_11x_0)</f>
        <v>77645</v>
      </c>
      <c r="Q63" s="2"/>
      <c r="R63" s="6">
        <f t="shared" si="16"/>
        <v>5.1438222165195981E-2</v>
      </c>
      <c r="S63" s="2"/>
      <c r="T63" s="2">
        <f>SUM(OSRRefT22_11x_0)</f>
        <v>80580.149999999994</v>
      </c>
      <c r="U63" s="2"/>
      <c r="V63" s="6">
        <f t="shared" si="17"/>
        <v>0.15544758268270081</v>
      </c>
      <c r="W63" s="2"/>
      <c r="X63" s="2">
        <f t="shared" si="18"/>
        <v>-2935.1499999999942</v>
      </c>
      <c r="Y63" s="2"/>
      <c r="Z63" s="6">
        <f t="shared" si="19"/>
        <v>-3.6425223829938194E-2</v>
      </c>
    </row>
    <row r="64" spans="1:26" s="69" customFormat="1" ht="15" hidden="1" customHeight="1" outlineLevel="2" x14ac:dyDescent="0.25">
      <c r="A64" s="25"/>
      <c r="B64" s="12" t="str">
        <f>CONCATENATE("          ","6401"," - ","INTEREST EXPENSE")</f>
        <v xml:space="preserve">          6401 - INTEREST EXPENSE</v>
      </c>
      <c r="C64" s="12"/>
      <c r="D64" s="7">
        <v>7253</v>
      </c>
      <c r="E64" s="3"/>
      <c r="F64" s="8">
        <f t="shared" si="12"/>
        <v>6.0976158263269888E-2</v>
      </c>
      <c r="G64" s="3"/>
      <c r="H64" s="7">
        <v>7510</v>
      </c>
      <c r="I64" s="3"/>
      <c r="J64" s="8">
        <f t="shared" si="13"/>
        <v>0.12161007857695155</v>
      </c>
      <c r="K64" s="3"/>
      <c r="L64" s="7">
        <f t="shared" si="14"/>
        <v>-257</v>
      </c>
      <c r="M64" s="3"/>
      <c r="N64" s="8">
        <f t="shared" si="15"/>
        <v>-3.4221038615179764E-2</v>
      </c>
      <c r="O64" s="12"/>
      <c r="P64" s="7">
        <v>77645</v>
      </c>
      <c r="Q64" s="3"/>
      <c r="R64" s="8">
        <f t="shared" si="16"/>
        <v>5.1438222165195981E-2</v>
      </c>
      <c r="S64" s="3"/>
      <c r="T64" s="7">
        <v>80580.149999999994</v>
      </c>
      <c r="U64" s="3"/>
      <c r="V64" s="8">
        <f t="shared" si="17"/>
        <v>0.15544758268270081</v>
      </c>
      <c r="W64" s="3"/>
      <c r="X64" s="7">
        <f t="shared" si="18"/>
        <v>-2935.1499999999942</v>
      </c>
      <c r="Y64" s="3"/>
      <c r="Z64" s="8">
        <f t="shared" si="19"/>
        <v>-3.6425223829938194E-2</v>
      </c>
    </row>
    <row r="65" spans="1:26" s="68" customFormat="1" ht="15" customHeight="1" outlineLevel="1" collapsed="1" x14ac:dyDescent="0.25">
      <c r="A65" s="26"/>
      <c r="B65" s="14" t="str">
        <f>CONCATENATE("     ","Professional Services                             ")</f>
        <v xml:space="preserve">     Professional Services                             </v>
      </c>
      <c r="C65" s="14"/>
      <c r="D65" s="2">
        <f>SUM(OSRRefD22_12x_0)</f>
        <v>511.58</v>
      </c>
      <c r="E65" s="2"/>
      <c r="F65" s="6">
        <f t="shared" si="12"/>
        <v>4.3008662683473881E-3</v>
      </c>
      <c r="G65" s="2"/>
      <c r="H65" s="2">
        <f>SUM(OSRRefH22_12x_0)</f>
        <v>0</v>
      </c>
      <c r="I65" s="2"/>
      <c r="J65" s="6">
        <f t="shared" si="13"/>
        <v>0</v>
      </c>
      <c r="K65" s="2"/>
      <c r="L65" s="2">
        <f t="shared" si="14"/>
        <v>511.58</v>
      </c>
      <c r="M65" s="2"/>
      <c r="N65" s="6">
        <f t="shared" si="15"/>
        <v>0</v>
      </c>
      <c r="O65" s="14"/>
      <c r="P65" s="2">
        <f>SUM(OSRRefP22_12x_0)</f>
        <v>511.58</v>
      </c>
      <c r="Q65" s="2"/>
      <c r="R65" s="6">
        <f t="shared" si="16"/>
        <v>3.3891127175311942E-4</v>
      </c>
      <c r="S65" s="2"/>
      <c r="T65" s="2">
        <f>SUM(OSRRefT22_12x_0)</f>
        <v>0</v>
      </c>
      <c r="U65" s="2"/>
      <c r="V65" s="6">
        <f t="shared" si="17"/>
        <v>0</v>
      </c>
      <c r="W65" s="2"/>
      <c r="X65" s="2">
        <f t="shared" si="18"/>
        <v>511.58</v>
      </c>
      <c r="Y65" s="2"/>
      <c r="Z65" s="6">
        <f t="shared" si="19"/>
        <v>0</v>
      </c>
    </row>
    <row r="66" spans="1:26" s="69" customFormat="1" ht="15" hidden="1" customHeight="1" outlineLevel="2" x14ac:dyDescent="0.25">
      <c r="A66" s="25"/>
      <c r="B66" s="12" t="str">
        <f>CONCATENATE("          ","6336"," - ","PROFESSIONAL SERVICES")</f>
        <v xml:space="preserve">          6336 - PROFESSIONAL SERVICES</v>
      </c>
      <c r="C66" s="12"/>
      <c r="D66" s="7">
        <v>511.58</v>
      </c>
      <c r="E66" s="3"/>
      <c r="F66" s="8">
        <f t="shared" si="12"/>
        <v>4.3008662683473881E-3</v>
      </c>
      <c r="G66" s="3"/>
      <c r="H66" s="7"/>
      <c r="I66" s="3"/>
      <c r="J66" s="8">
        <f t="shared" si="13"/>
        <v>0</v>
      </c>
      <c r="K66" s="3"/>
      <c r="L66" s="7">
        <f t="shared" si="14"/>
        <v>511.58</v>
      </c>
      <c r="M66" s="3"/>
      <c r="N66" s="8">
        <f t="shared" si="15"/>
        <v>0</v>
      </c>
      <c r="O66" s="12"/>
      <c r="P66" s="7">
        <v>511.58</v>
      </c>
      <c r="Q66" s="3"/>
      <c r="R66" s="8">
        <f t="shared" si="16"/>
        <v>3.3891127175311942E-4</v>
      </c>
      <c r="S66" s="3"/>
      <c r="T66" s="7"/>
      <c r="U66" s="3"/>
      <c r="V66" s="8">
        <f t="shared" si="17"/>
        <v>0</v>
      </c>
      <c r="W66" s="3"/>
      <c r="X66" s="7">
        <f t="shared" si="18"/>
        <v>511.58</v>
      </c>
      <c r="Y66" s="3"/>
      <c r="Z66" s="8">
        <f t="shared" si="19"/>
        <v>0</v>
      </c>
    </row>
    <row r="67" spans="1:26" s="68" customFormat="1" ht="15" customHeight="1" outlineLevel="1" collapsed="1" x14ac:dyDescent="0.25">
      <c r="A67" s="26"/>
      <c r="B67" s="14" t="str">
        <f>CONCATENATE("     ","Rent                                              ")</f>
        <v xml:space="preserve">     Rent                                              </v>
      </c>
      <c r="C67" s="14"/>
      <c r="D67" s="2">
        <f>SUM(OSRRefD22_13x_0)</f>
        <v>1850</v>
      </c>
      <c r="E67" s="2"/>
      <c r="F67" s="6">
        <f t="shared" si="12"/>
        <v>1.5552997764655907E-2</v>
      </c>
      <c r="G67" s="2"/>
      <c r="H67" s="2">
        <f>SUM(OSRRefH22_13x_0)</f>
        <v>1850</v>
      </c>
      <c r="I67" s="2"/>
      <c r="J67" s="6">
        <f t="shared" si="13"/>
        <v>2.9957209769288999E-2</v>
      </c>
      <c r="K67" s="2"/>
      <c r="L67" s="2">
        <f t="shared" si="14"/>
        <v>0</v>
      </c>
      <c r="M67" s="2"/>
      <c r="N67" s="6">
        <f t="shared" si="15"/>
        <v>0</v>
      </c>
      <c r="O67" s="14"/>
      <c r="P67" s="2">
        <f>SUM(OSRRefP22_13x_0)</f>
        <v>20350</v>
      </c>
      <c r="Q67" s="2"/>
      <c r="R67" s="6">
        <f t="shared" si="16"/>
        <v>1.3481458188701632E-2</v>
      </c>
      <c r="S67" s="2"/>
      <c r="T67" s="2">
        <f>SUM(OSRRefT22_13x_0)</f>
        <v>14800</v>
      </c>
      <c r="U67" s="2"/>
      <c r="V67" s="6">
        <f t="shared" si="17"/>
        <v>2.8550756280597295E-2</v>
      </c>
      <c r="W67" s="2"/>
      <c r="X67" s="2">
        <f t="shared" si="18"/>
        <v>5550</v>
      </c>
      <c r="Y67" s="2"/>
      <c r="Z67" s="6">
        <f t="shared" si="19"/>
        <v>0.375</v>
      </c>
    </row>
    <row r="68" spans="1:26" s="69" customFormat="1" ht="15" hidden="1" customHeight="1" outlineLevel="2" x14ac:dyDescent="0.25">
      <c r="A68" s="25"/>
      <c r="B68" s="12" t="str">
        <f>CONCATENATE("          ","6273"," - ","RENT")</f>
        <v xml:space="preserve">          6273 - RENT</v>
      </c>
      <c r="C68" s="12"/>
      <c r="D68" s="7">
        <v>1850</v>
      </c>
      <c r="E68" s="3"/>
      <c r="F68" s="8">
        <f t="shared" si="12"/>
        <v>1.5552997764655907E-2</v>
      </c>
      <c r="G68" s="3"/>
      <c r="H68" s="7">
        <v>1850</v>
      </c>
      <c r="I68" s="3"/>
      <c r="J68" s="8">
        <f t="shared" si="13"/>
        <v>2.9957209769288999E-2</v>
      </c>
      <c r="K68" s="3"/>
      <c r="L68" s="7">
        <f t="shared" si="14"/>
        <v>0</v>
      </c>
      <c r="M68" s="3"/>
      <c r="N68" s="8">
        <f t="shared" si="15"/>
        <v>0</v>
      </c>
      <c r="O68" s="12"/>
      <c r="P68" s="7">
        <v>20350</v>
      </c>
      <c r="Q68" s="3"/>
      <c r="R68" s="8">
        <f t="shared" si="16"/>
        <v>1.3481458188701632E-2</v>
      </c>
      <c r="S68" s="3"/>
      <c r="T68" s="7">
        <v>14800</v>
      </c>
      <c r="U68" s="3"/>
      <c r="V68" s="8">
        <f t="shared" si="17"/>
        <v>2.8550756280597295E-2</v>
      </c>
      <c r="W68" s="3"/>
      <c r="X68" s="7">
        <f t="shared" si="18"/>
        <v>5550</v>
      </c>
      <c r="Y68" s="3"/>
      <c r="Z68" s="8">
        <f t="shared" si="19"/>
        <v>0.375</v>
      </c>
    </row>
    <row r="69" spans="1:26" s="68" customFormat="1" ht="15" customHeight="1" outlineLevel="1" collapsed="1" x14ac:dyDescent="0.25">
      <c r="A69" s="26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SUM(OSRRefD22_14x_0)</f>
        <v>8393.4600000000009</v>
      </c>
      <c r="E69" s="2"/>
      <c r="F69" s="6">
        <f t="shared" si="12"/>
        <v>7.0564034928502037E-2</v>
      </c>
      <c r="G69" s="2"/>
      <c r="H69" s="2">
        <f>SUM(OSRRefH22_14x_0)</f>
        <v>8411.0500000000011</v>
      </c>
      <c r="I69" s="2"/>
      <c r="J69" s="6">
        <f t="shared" si="13"/>
        <v>0.13620085904323148</v>
      </c>
      <c r="K69" s="2"/>
      <c r="L69" s="2">
        <f t="shared" si="14"/>
        <v>-17.590000000000146</v>
      </c>
      <c r="M69" s="2"/>
      <c r="N69" s="6">
        <f t="shared" si="15"/>
        <v>-2.0912965682049378E-3</v>
      </c>
      <c r="O69" s="14"/>
      <c r="P69" s="2">
        <f>SUM(OSRRefP22_14x_0)</f>
        <v>92147.3</v>
      </c>
      <c r="Q69" s="2"/>
      <c r="R69" s="6">
        <f t="shared" si="16"/>
        <v>6.1045698877235675E-2</v>
      </c>
      <c r="S69" s="2"/>
      <c r="T69" s="2">
        <f>SUM(OSRRefT22_14x_0)</f>
        <v>52317.709999999992</v>
      </c>
      <c r="U69" s="2"/>
      <c r="V69" s="6">
        <f t="shared" si="17"/>
        <v>0.10092636401141673</v>
      </c>
      <c r="W69" s="2"/>
      <c r="X69" s="2">
        <f t="shared" si="18"/>
        <v>39829.590000000011</v>
      </c>
      <c r="Y69" s="2"/>
      <c r="Z69" s="6">
        <f t="shared" si="19"/>
        <v>0.76130224354238785</v>
      </c>
    </row>
    <row r="70" spans="1:26" s="69" customFormat="1" ht="15" hidden="1" customHeight="1" outlineLevel="2" x14ac:dyDescent="0.25">
      <c r="A70" s="25"/>
      <c r="B70" s="12" t="str">
        <f>CONCATENATE("          ","6371"," - ","COMPUTER SOFTWARE MAINTENANCE")</f>
        <v xml:space="preserve">          6371 - COMPUTER SOFTWARE MAINTENANCE</v>
      </c>
      <c r="C70" s="12"/>
      <c r="D70" s="7"/>
      <c r="E70" s="3"/>
      <c r="F70" s="8">
        <f t="shared" si="12"/>
        <v>0</v>
      </c>
      <c r="G70" s="3"/>
      <c r="H70" s="7">
        <v>8257.2000000000007</v>
      </c>
      <c r="I70" s="3"/>
      <c r="J70" s="8">
        <f t="shared" si="13"/>
        <v>0.13370955270647197</v>
      </c>
      <c r="K70" s="3"/>
      <c r="L70" s="7">
        <f t="shared" si="14"/>
        <v>-8257.2000000000007</v>
      </c>
      <c r="M70" s="3"/>
      <c r="N70" s="8">
        <f t="shared" si="15"/>
        <v>-1</v>
      </c>
      <c r="O70" s="12"/>
      <c r="P70" s="7">
        <v>16567.060000000001</v>
      </c>
      <c r="Q70" s="3"/>
      <c r="R70" s="8">
        <f t="shared" si="16"/>
        <v>1.0975337921361733E-2</v>
      </c>
      <c r="S70" s="3"/>
      <c r="T70" s="7">
        <v>8959.4699999999993</v>
      </c>
      <c r="U70" s="3"/>
      <c r="V70" s="8">
        <f t="shared" si="17"/>
        <v>1.7283759754954258E-2</v>
      </c>
      <c r="W70" s="3"/>
      <c r="X70" s="7">
        <f t="shared" si="18"/>
        <v>7607.590000000002</v>
      </c>
      <c r="Y70" s="3"/>
      <c r="Z70" s="8">
        <f t="shared" si="19"/>
        <v>0.84911161039659744</v>
      </c>
    </row>
    <row r="71" spans="1:26" s="69" customFormat="1" ht="15" hidden="1" customHeight="1" outlineLevel="2" x14ac:dyDescent="0.25">
      <c r="A71" s="25"/>
      <c r="B71" s="12" t="str">
        <f>CONCATENATE("          ","6372"," - ","COMPUTER HARDWARE MAINTENANCE")</f>
        <v xml:space="preserve">          6372 - COMPUTER HARDWARE MAINTENANCE</v>
      </c>
      <c r="C71" s="12"/>
      <c r="D71" s="7"/>
      <c r="E71" s="3"/>
      <c r="F71" s="8">
        <f t="shared" si="12"/>
        <v>0</v>
      </c>
      <c r="G71" s="3"/>
      <c r="H71" s="7"/>
      <c r="I71" s="3"/>
      <c r="J71" s="8">
        <f t="shared" si="13"/>
        <v>0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/>
      <c r="Q71" s="3"/>
      <c r="R71" s="8">
        <f t="shared" si="16"/>
        <v>0</v>
      </c>
      <c r="S71" s="3"/>
      <c r="T71" s="7">
        <v>100</v>
      </c>
      <c r="U71" s="3"/>
      <c r="V71" s="8">
        <f t="shared" si="17"/>
        <v>1.9291051540944119E-4</v>
      </c>
      <c r="W71" s="3"/>
      <c r="X71" s="7">
        <f t="shared" si="18"/>
        <v>-100</v>
      </c>
      <c r="Y71" s="3"/>
      <c r="Z71" s="8">
        <f t="shared" si="19"/>
        <v>-1</v>
      </c>
    </row>
    <row r="72" spans="1:26" s="69" customFormat="1" ht="15" hidden="1" customHeight="1" outlineLevel="2" x14ac:dyDescent="0.25">
      <c r="A72" s="25"/>
      <c r="B72" s="12" t="str">
        <f>CONCATENATE("          ","6373"," - ","MAINTENANCE CONTRACTS")</f>
        <v xml:space="preserve">          6373 - MAINTENANCE CONTRACTS</v>
      </c>
      <c r="C72" s="12"/>
      <c r="D72" s="7">
        <v>4576.2700000000004</v>
      </c>
      <c r="E72" s="3"/>
      <c r="F72" s="8">
        <f t="shared" si="12"/>
        <v>3.8472820043492915E-2</v>
      </c>
      <c r="G72" s="3"/>
      <c r="H72" s="7"/>
      <c r="I72" s="3"/>
      <c r="J72" s="8">
        <f t="shared" si="13"/>
        <v>0</v>
      </c>
      <c r="K72" s="3"/>
      <c r="L72" s="7">
        <f t="shared" si="14"/>
        <v>4576.2700000000004</v>
      </c>
      <c r="M72" s="3"/>
      <c r="N72" s="8">
        <f t="shared" si="15"/>
        <v>0</v>
      </c>
      <c r="O72" s="12"/>
      <c r="P72" s="7">
        <v>21106.07</v>
      </c>
      <c r="Q72" s="3"/>
      <c r="R72" s="8">
        <f t="shared" si="16"/>
        <v>1.3982339077779354E-2</v>
      </c>
      <c r="S72" s="3"/>
      <c r="T72" s="7">
        <v>18223.8</v>
      </c>
      <c r="U72" s="3"/>
      <c r="V72" s="8">
        <f t="shared" si="17"/>
        <v>3.515562650718574E-2</v>
      </c>
      <c r="W72" s="3"/>
      <c r="X72" s="7">
        <f t="shared" si="18"/>
        <v>2882.2700000000004</v>
      </c>
      <c r="Y72" s="3"/>
      <c r="Z72" s="8">
        <f t="shared" si="19"/>
        <v>0.15815965934656881</v>
      </c>
    </row>
    <row r="73" spans="1:26" s="69" customFormat="1" ht="15" hidden="1" customHeight="1" outlineLevel="2" x14ac:dyDescent="0.25">
      <c r="A73" s="25"/>
      <c r="B73" s="12" t="str">
        <f>CONCATENATE("          ","6375"," - ","OUTSIDE REPAIRS &amp; MAINTENANCE")</f>
        <v xml:space="preserve">          6375 - OUTSIDE REPAIRS &amp; MAINTENANCE</v>
      </c>
      <c r="C73" s="12"/>
      <c r="D73" s="7">
        <v>3817.19</v>
      </c>
      <c r="E73" s="3"/>
      <c r="F73" s="8">
        <f t="shared" si="12"/>
        <v>3.2091214885009121E-2</v>
      </c>
      <c r="G73" s="3"/>
      <c r="H73" s="7">
        <v>153.85</v>
      </c>
      <c r="I73" s="3"/>
      <c r="J73" s="8">
        <f t="shared" si="13"/>
        <v>2.49130633675952E-3</v>
      </c>
      <c r="K73" s="3"/>
      <c r="L73" s="7">
        <f t="shared" si="14"/>
        <v>3663.34</v>
      </c>
      <c r="M73" s="3"/>
      <c r="N73" s="8">
        <f t="shared" si="15"/>
        <v>23.811114722131947</v>
      </c>
      <c r="O73" s="12"/>
      <c r="P73" s="7">
        <v>54474.17</v>
      </c>
      <c r="Q73" s="3"/>
      <c r="R73" s="8">
        <f t="shared" si="16"/>
        <v>3.6088021878094581E-2</v>
      </c>
      <c r="S73" s="3"/>
      <c r="T73" s="7">
        <v>25034.44</v>
      </c>
      <c r="U73" s="3"/>
      <c r="V73" s="8">
        <f t="shared" si="17"/>
        <v>4.8294067233867304E-2</v>
      </c>
      <c r="W73" s="3"/>
      <c r="X73" s="7">
        <f t="shared" si="18"/>
        <v>29439.73</v>
      </c>
      <c r="Y73" s="3"/>
      <c r="Z73" s="8">
        <f t="shared" si="19"/>
        <v>1.1759691848509495</v>
      </c>
    </row>
    <row r="74" spans="1:26" s="68" customFormat="1" ht="15" customHeight="1" outlineLevel="1" collapsed="1" x14ac:dyDescent="0.25">
      <c r="A74" s="26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2">
        <f>SUM(OSRRefD22_15x_0)</f>
        <v>123.36</v>
      </c>
      <c r="E74" s="2"/>
      <c r="F74" s="6">
        <f t="shared" si="12"/>
        <v>1.0370907049988933E-3</v>
      </c>
      <c r="G74" s="2"/>
      <c r="H74" s="2">
        <f>SUM(OSRRefH22_15x_0)</f>
        <v>0</v>
      </c>
      <c r="I74" s="2"/>
      <c r="J74" s="6">
        <f t="shared" si="13"/>
        <v>0</v>
      </c>
      <c r="K74" s="2"/>
      <c r="L74" s="2">
        <f t="shared" si="14"/>
        <v>123.36</v>
      </c>
      <c r="M74" s="2"/>
      <c r="N74" s="6">
        <f t="shared" si="15"/>
        <v>0</v>
      </c>
      <c r="O74" s="14"/>
      <c r="P74" s="2">
        <f>SUM(OSRRefP22_15x_0)</f>
        <v>6186.42</v>
      </c>
      <c r="Q74" s="2"/>
      <c r="R74" s="6">
        <f t="shared" si="16"/>
        <v>4.0983765389556535E-3</v>
      </c>
      <c r="S74" s="2"/>
      <c r="T74" s="2">
        <f>SUM(OSRRefT22_15x_0)</f>
        <v>0</v>
      </c>
      <c r="U74" s="2"/>
      <c r="V74" s="6">
        <f t="shared" si="17"/>
        <v>0</v>
      </c>
      <c r="W74" s="2"/>
      <c r="X74" s="2">
        <f t="shared" si="18"/>
        <v>6186.42</v>
      </c>
      <c r="Y74" s="2"/>
      <c r="Z74" s="6">
        <f t="shared" si="19"/>
        <v>0</v>
      </c>
    </row>
    <row r="75" spans="1:26" s="69" customFormat="1" ht="15" hidden="1" customHeight="1" outlineLevel="2" x14ac:dyDescent="0.25">
      <c r="A75" s="25"/>
      <c r="B75" s="12" t="str">
        <f>CONCATENATE("          ","6254"," - ","ROYALTY &amp; COMMISSIONS")</f>
        <v xml:space="preserve">          6254 - ROYALTY &amp; COMMISSIONS</v>
      </c>
      <c r="C75" s="12"/>
      <c r="D75" s="7">
        <v>123.36</v>
      </c>
      <c r="E75" s="3"/>
      <c r="F75" s="8">
        <f t="shared" si="12"/>
        <v>1.0370907049988933E-3</v>
      </c>
      <c r="G75" s="3"/>
      <c r="H75" s="7"/>
      <c r="I75" s="3"/>
      <c r="J75" s="8">
        <f t="shared" si="13"/>
        <v>0</v>
      </c>
      <c r="K75" s="3"/>
      <c r="L75" s="7">
        <f t="shared" si="14"/>
        <v>123.36</v>
      </c>
      <c r="M75" s="3"/>
      <c r="N75" s="8">
        <f t="shared" si="15"/>
        <v>0</v>
      </c>
      <c r="O75" s="12"/>
      <c r="P75" s="7">
        <v>6186.42</v>
      </c>
      <c r="Q75" s="3"/>
      <c r="R75" s="8">
        <f t="shared" si="16"/>
        <v>4.0983765389556535E-3</v>
      </c>
      <c r="S75" s="3"/>
      <c r="T75" s="7"/>
      <c r="U75" s="3"/>
      <c r="V75" s="8">
        <f t="shared" si="17"/>
        <v>0</v>
      </c>
      <c r="W75" s="3"/>
      <c r="X75" s="7">
        <f t="shared" si="18"/>
        <v>6186.42</v>
      </c>
      <c r="Y75" s="3"/>
      <c r="Z75" s="8">
        <f t="shared" si="19"/>
        <v>0</v>
      </c>
    </row>
    <row r="76" spans="1:26" s="68" customFormat="1" ht="15" customHeight="1" outlineLevel="1" collapsed="1" x14ac:dyDescent="0.25">
      <c r="A76" s="26"/>
      <c r="B76" s="14" t="str">
        <f>CONCATENATE("     ","Services                                          ")</f>
        <v xml:space="preserve">     Services                                          </v>
      </c>
      <c r="C76" s="14"/>
      <c r="D76" s="2">
        <f>SUM(OSRRefD22_16x_0)</f>
        <v>5502.4</v>
      </c>
      <c r="E76" s="2"/>
      <c r="F76" s="6">
        <f t="shared" si="12"/>
        <v>4.6258818864996026E-2</v>
      </c>
      <c r="G76" s="2"/>
      <c r="H76" s="2">
        <f>SUM(OSRRefH22_16x_0)</f>
        <v>9165.6200000000008</v>
      </c>
      <c r="I76" s="2"/>
      <c r="J76" s="6">
        <f t="shared" si="13"/>
        <v>0.14841967621923818</v>
      </c>
      <c r="K76" s="2"/>
      <c r="L76" s="2">
        <f t="shared" si="14"/>
        <v>-3663.2200000000012</v>
      </c>
      <c r="M76" s="2"/>
      <c r="N76" s="6">
        <f t="shared" si="15"/>
        <v>-0.3996696350055971</v>
      </c>
      <c r="O76" s="14"/>
      <c r="P76" s="2">
        <f>SUM(OSRRefP22_16x_0)</f>
        <v>73646.33</v>
      </c>
      <c r="Q76" s="2"/>
      <c r="R76" s="6">
        <f t="shared" si="16"/>
        <v>4.8789185191465488E-2</v>
      </c>
      <c r="S76" s="2"/>
      <c r="T76" s="2">
        <f>SUM(OSRRefT22_16x_0)</f>
        <v>64046.85</v>
      </c>
      <c r="U76" s="2"/>
      <c r="V76" s="6">
        <f t="shared" si="17"/>
        <v>0.12355310843851168</v>
      </c>
      <c r="W76" s="2"/>
      <c r="X76" s="2">
        <f t="shared" si="18"/>
        <v>9599.4800000000032</v>
      </c>
      <c r="Y76" s="2"/>
      <c r="Z76" s="6">
        <f t="shared" si="19"/>
        <v>0.14988215657756787</v>
      </c>
    </row>
    <row r="77" spans="1:26" s="69" customFormat="1" ht="15" hidden="1" customHeight="1" outlineLevel="2" x14ac:dyDescent="0.25">
      <c r="A77" s="25"/>
      <c r="B77" s="12" t="str">
        <f>CONCATENATE("          ","6282"," - ","JANITORIAL/EXTERMINATOR EXPENS")</f>
        <v xml:space="preserve">          6282 - JANITORIAL/EXTERMINATOR EXPENS</v>
      </c>
      <c r="C77" s="12"/>
      <c r="D77" s="7">
        <v>737.15</v>
      </c>
      <c r="E77" s="3"/>
      <c r="F77" s="8">
        <f t="shared" si="12"/>
        <v>6.1972390822789738E-3</v>
      </c>
      <c r="G77" s="3"/>
      <c r="H77" s="7">
        <v>650.1</v>
      </c>
      <c r="I77" s="3"/>
      <c r="J77" s="8">
        <f t="shared" si="13"/>
        <v>1.0527125443791772E-2</v>
      </c>
      <c r="K77" s="3"/>
      <c r="L77" s="7">
        <f t="shared" si="14"/>
        <v>87.049999999999955</v>
      </c>
      <c r="M77" s="3"/>
      <c r="N77" s="8">
        <f t="shared" si="15"/>
        <v>0.13390247654207038</v>
      </c>
      <c r="O77" s="12"/>
      <c r="P77" s="7">
        <v>11855.91</v>
      </c>
      <c r="Q77" s="3"/>
      <c r="R77" s="8">
        <f t="shared" si="16"/>
        <v>7.8542975407375707E-3</v>
      </c>
      <c r="S77" s="3"/>
      <c r="T77" s="7">
        <v>10765.53</v>
      </c>
      <c r="U77" s="3"/>
      <c r="V77" s="8">
        <f t="shared" si="17"/>
        <v>2.0767839409558016E-2</v>
      </c>
      <c r="W77" s="3"/>
      <c r="X77" s="7">
        <f t="shared" si="18"/>
        <v>1090.3799999999992</v>
      </c>
      <c r="Y77" s="3"/>
      <c r="Z77" s="8">
        <f t="shared" si="19"/>
        <v>0.10128437708129549</v>
      </c>
    </row>
    <row r="78" spans="1:26" s="69" customFormat="1" ht="15" hidden="1" customHeight="1" outlineLevel="2" x14ac:dyDescent="0.25">
      <c r="A78" s="25"/>
      <c r="B78" s="12" t="str">
        <f>CONCATENATE("          ","6284"," - ","TRASH REMOVAL EXPENSE")</f>
        <v xml:space="preserve">          6284 - TRASH REMOVAL EXPENSE</v>
      </c>
      <c r="C78" s="12"/>
      <c r="D78" s="7"/>
      <c r="E78" s="3"/>
      <c r="F78" s="8">
        <f t="shared" si="12"/>
        <v>0</v>
      </c>
      <c r="G78" s="3"/>
      <c r="H78" s="7">
        <v>5130</v>
      </c>
      <c r="I78" s="3"/>
      <c r="J78" s="8">
        <f t="shared" si="13"/>
        <v>8.307053303592031E-2</v>
      </c>
      <c r="K78" s="3"/>
      <c r="L78" s="7">
        <f t="shared" si="14"/>
        <v>-5130</v>
      </c>
      <c r="M78" s="3"/>
      <c r="N78" s="8">
        <f t="shared" si="15"/>
        <v>-1</v>
      </c>
      <c r="O78" s="12"/>
      <c r="P78" s="7"/>
      <c r="Q78" s="3"/>
      <c r="R78" s="8">
        <f t="shared" si="16"/>
        <v>0</v>
      </c>
      <c r="S78" s="3"/>
      <c r="T78" s="7">
        <v>31142</v>
      </c>
      <c r="U78" s="3"/>
      <c r="V78" s="8">
        <f t="shared" si="17"/>
        <v>6.0076192708808172E-2</v>
      </c>
      <c r="W78" s="3"/>
      <c r="X78" s="7">
        <f t="shared" si="18"/>
        <v>-31142</v>
      </c>
      <c r="Y78" s="3"/>
      <c r="Z78" s="8">
        <f t="shared" si="19"/>
        <v>-1</v>
      </c>
    </row>
    <row r="79" spans="1:26" s="69" customFormat="1" ht="15" hidden="1" customHeight="1" outlineLevel="2" x14ac:dyDescent="0.25">
      <c r="A79" s="25"/>
      <c r="B79" s="12" t="str">
        <f>CONCATENATE("          ","6285"," - ","JANITORIAL SERVICES")</f>
        <v xml:space="preserve">          6285 - JANITORIAL SERVICES</v>
      </c>
      <c r="C79" s="12"/>
      <c r="D79" s="7">
        <v>3385.52</v>
      </c>
      <c r="E79" s="3"/>
      <c r="F79" s="8">
        <f t="shared" si="12"/>
        <v>2.8462154049836683E-2</v>
      </c>
      <c r="G79" s="3"/>
      <c r="H79" s="7">
        <v>3385.52</v>
      </c>
      <c r="I79" s="3"/>
      <c r="J79" s="8">
        <f t="shared" si="13"/>
        <v>5.4822017739526101E-2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>
        <v>55294.9</v>
      </c>
      <c r="Q79" s="3"/>
      <c r="R79" s="8">
        <f t="shared" si="16"/>
        <v>3.6631738692797934E-2</v>
      </c>
      <c r="S79" s="3"/>
      <c r="T79" s="7">
        <v>21234.61</v>
      </c>
      <c r="U79" s="3"/>
      <c r="V79" s="8">
        <f t="shared" si="17"/>
        <v>4.0963795596184738E-2</v>
      </c>
      <c r="W79" s="3"/>
      <c r="X79" s="7">
        <f t="shared" si="18"/>
        <v>34060.29</v>
      </c>
      <c r="Y79" s="3"/>
      <c r="Z79" s="8">
        <f t="shared" si="19"/>
        <v>1.6039988490487935</v>
      </c>
    </row>
    <row r="80" spans="1:26" s="69" customFormat="1" ht="15" hidden="1" customHeight="1" outlineLevel="2" x14ac:dyDescent="0.25">
      <c r="A80" s="25"/>
      <c r="B80" s="12" t="str">
        <f>CONCATENATE("          ","6286"," - ","LAUNDRY EXPENSE")</f>
        <v xml:space="preserve">          6286 - LAUNDRY EXPENSE</v>
      </c>
      <c r="C80" s="12"/>
      <c r="D80" s="7">
        <v>1379.73</v>
      </c>
      <c r="E80" s="3"/>
      <c r="F80" s="8">
        <f t="shared" si="12"/>
        <v>1.1599425732880374E-2</v>
      </c>
      <c r="G80" s="3"/>
      <c r="H80" s="7"/>
      <c r="I80" s="3"/>
      <c r="J80" s="8">
        <f t="shared" si="13"/>
        <v>0</v>
      </c>
      <c r="K80" s="3"/>
      <c r="L80" s="7">
        <f t="shared" si="14"/>
        <v>1379.73</v>
      </c>
      <c r="M80" s="3"/>
      <c r="N80" s="8">
        <f t="shared" si="15"/>
        <v>0</v>
      </c>
      <c r="O80" s="12"/>
      <c r="P80" s="7">
        <v>6495.52</v>
      </c>
      <c r="Q80" s="3"/>
      <c r="R80" s="8">
        <f t="shared" si="16"/>
        <v>4.3031489579299868E-3</v>
      </c>
      <c r="S80" s="3"/>
      <c r="T80" s="7">
        <v>904.71</v>
      </c>
      <c r="U80" s="3"/>
      <c r="V80" s="8">
        <f t="shared" si="17"/>
        <v>1.7452807239607554E-3</v>
      </c>
      <c r="W80" s="3"/>
      <c r="X80" s="7">
        <f t="shared" si="18"/>
        <v>5590.81</v>
      </c>
      <c r="Y80" s="3"/>
      <c r="Z80" s="8">
        <f t="shared" si="19"/>
        <v>6.1796708337478305</v>
      </c>
    </row>
    <row r="81" spans="1:26" s="68" customFormat="1" ht="15" customHeight="1" outlineLevel="1" collapsed="1" x14ac:dyDescent="0.25">
      <c r="A81" s="26"/>
      <c r="B81" s="14" t="str">
        <f>CONCATENATE("     ","Subscriptions &amp; Dues                              ")</f>
        <v xml:space="preserve">     Subscriptions &amp; Dues                              </v>
      </c>
      <c r="C81" s="14"/>
      <c r="D81" s="2">
        <f>SUM(OSRRefD22_17x_0)</f>
        <v>560.5</v>
      </c>
      <c r="E81" s="2"/>
      <c r="F81" s="6">
        <f t="shared" si="12"/>
        <v>4.7121379713998034E-3</v>
      </c>
      <c r="G81" s="2"/>
      <c r="H81" s="2">
        <f>SUM(OSRRefH22_17x_0)</f>
        <v>132.16999999999999</v>
      </c>
      <c r="I81" s="2"/>
      <c r="J81" s="6">
        <f t="shared" si="13"/>
        <v>2.1402402244361765E-3</v>
      </c>
      <c r="K81" s="2"/>
      <c r="L81" s="2">
        <f t="shared" si="14"/>
        <v>428.33000000000004</v>
      </c>
      <c r="M81" s="2"/>
      <c r="N81" s="6">
        <f t="shared" si="15"/>
        <v>3.2407505485359769</v>
      </c>
      <c r="O81" s="14"/>
      <c r="P81" s="2">
        <f>SUM(OSRRefP22_17x_0)</f>
        <v>6967.9</v>
      </c>
      <c r="Q81" s="2"/>
      <c r="R81" s="6">
        <f t="shared" si="16"/>
        <v>4.6160910325825106E-3</v>
      </c>
      <c r="S81" s="2"/>
      <c r="T81" s="2">
        <f>SUM(OSRRefT22_17x_0)</f>
        <v>1048.25</v>
      </c>
      <c r="U81" s="2"/>
      <c r="V81" s="6">
        <f t="shared" si="17"/>
        <v>2.0221844777794673E-3</v>
      </c>
      <c r="W81" s="2"/>
      <c r="X81" s="2">
        <f t="shared" si="18"/>
        <v>5919.65</v>
      </c>
      <c r="Y81" s="2"/>
      <c r="Z81" s="6">
        <f t="shared" si="19"/>
        <v>5.6471738611972331</v>
      </c>
    </row>
    <row r="82" spans="1:26" s="69" customFormat="1" ht="15" hidden="1" customHeight="1" outlineLevel="2" x14ac:dyDescent="0.25">
      <c r="A82" s="25"/>
      <c r="B82" s="12" t="str">
        <f>CONCATENATE("          ","6275"," - ","SUBSCRIPTIONS")</f>
        <v xml:space="preserve">          6275 - SUBSCRIPTIONS</v>
      </c>
      <c r="C82" s="12"/>
      <c r="D82" s="7">
        <v>560.5</v>
      </c>
      <c r="E82" s="3"/>
      <c r="F82" s="8">
        <f t="shared" si="12"/>
        <v>4.7121379713998034E-3</v>
      </c>
      <c r="G82" s="3"/>
      <c r="H82" s="7">
        <v>132.16999999999999</v>
      </c>
      <c r="I82" s="3"/>
      <c r="J82" s="8">
        <f t="shared" si="13"/>
        <v>2.1402402244361765E-3</v>
      </c>
      <c r="K82" s="3"/>
      <c r="L82" s="7">
        <f t="shared" si="14"/>
        <v>428.33000000000004</v>
      </c>
      <c r="M82" s="3"/>
      <c r="N82" s="8">
        <f t="shared" si="15"/>
        <v>3.2407505485359769</v>
      </c>
      <c r="O82" s="12"/>
      <c r="P82" s="7">
        <v>6967.9</v>
      </c>
      <c r="Q82" s="3"/>
      <c r="R82" s="8">
        <f t="shared" si="16"/>
        <v>4.6160910325825106E-3</v>
      </c>
      <c r="S82" s="3"/>
      <c r="T82" s="7">
        <v>1048.25</v>
      </c>
      <c r="U82" s="3"/>
      <c r="V82" s="8">
        <f t="shared" si="17"/>
        <v>2.0221844777794673E-3</v>
      </c>
      <c r="W82" s="3"/>
      <c r="X82" s="7">
        <f t="shared" si="18"/>
        <v>5919.65</v>
      </c>
      <c r="Y82" s="3"/>
      <c r="Z82" s="8">
        <f t="shared" si="19"/>
        <v>5.6471738611972331</v>
      </c>
    </row>
    <row r="83" spans="1:26" s="68" customFormat="1" ht="15" customHeight="1" outlineLevel="1" collapsed="1" x14ac:dyDescent="0.25">
      <c r="A83" s="26"/>
      <c r="B83" s="14" t="str">
        <f>CONCATENATE("     ","Supplies                                          ")</f>
        <v xml:space="preserve">     Supplies                                          </v>
      </c>
      <c r="C83" s="14"/>
      <c r="D83" s="2">
        <f>SUM(OSRRefD22_18x_0)</f>
        <v>2549.1</v>
      </c>
      <c r="E83" s="2"/>
      <c r="F83" s="6">
        <f t="shared" si="12"/>
        <v>2.1430349514532092E-2</v>
      </c>
      <c r="G83" s="2"/>
      <c r="H83" s="2">
        <f>SUM(OSRRefH22_18x_0)</f>
        <v>-27.79</v>
      </c>
      <c r="I83" s="2"/>
      <c r="J83" s="6">
        <f t="shared" si="13"/>
        <v>-4.5000586999380607E-4</v>
      </c>
      <c r="K83" s="2"/>
      <c r="L83" s="2">
        <f t="shared" si="14"/>
        <v>2576.89</v>
      </c>
      <c r="M83" s="2"/>
      <c r="N83" s="6">
        <f t="shared" si="15"/>
        <v>-92.727240014393672</v>
      </c>
      <c r="O83" s="14"/>
      <c r="P83" s="2">
        <f>SUM(OSRRefP22_18x_0)</f>
        <v>36167.799999999996</v>
      </c>
      <c r="Q83" s="2"/>
      <c r="R83" s="6">
        <f t="shared" si="16"/>
        <v>2.396042670650235E-2</v>
      </c>
      <c r="S83" s="2"/>
      <c r="T83" s="2">
        <f>SUM(OSRRefT22_18x_0)</f>
        <v>-20652.39</v>
      </c>
      <c r="U83" s="2"/>
      <c r="V83" s="6">
        <f t="shared" si="17"/>
        <v>-3.9840631993367889E-2</v>
      </c>
      <c r="W83" s="2"/>
      <c r="X83" s="2">
        <f t="shared" si="18"/>
        <v>56820.189999999995</v>
      </c>
      <c r="Y83" s="2"/>
      <c r="Z83" s="6">
        <f t="shared" si="19"/>
        <v>-2.7512646236101488</v>
      </c>
    </row>
    <row r="84" spans="1:26" s="69" customFormat="1" ht="15" hidden="1" customHeight="1" outlineLevel="2" x14ac:dyDescent="0.25">
      <c r="A84" s="25"/>
      <c r="B84" s="12" t="str">
        <f>CONCATENATE("          ","6234"," - ","EXPENDABLE SUPPLIES &amp; EQUIPMEN")</f>
        <v xml:space="preserve">          6234 - EXPENDABLE SUPPLIES &amp; EQUIPMEN</v>
      </c>
      <c r="C84" s="12"/>
      <c r="D84" s="7"/>
      <c r="E84" s="3"/>
      <c r="F84" s="8">
        <f t="shared" si="12"/>
        <v>0</v>
      </c>
      <c r="G84" s="3"/>
      <c r="H84" s="7"/>
      <c r="I84" s="3"/>
      <c r="J84" s="8">
        <f t="shared" si="13"/>
        <v>0</v>
      </c>
      <c r="K84" s="3"/>
      <c r="L84" s="7">
        <f t="shared" si="14"/>
        <v>0</v>
      </c>
      <c r="M84" s="3"/>
      <c r="N84" s="8">
        <f t="shared" si="15"/>
        <v>0</v>
      </c>
      <c r="O84" s="12"/>
      <c r="P84" s="7">
        <v>341.84</v>
      </c>
      <c r="Q84" s="3"/>
      <c r="R84" s="8">
        <f t="shared" si="16"/>
        <v>2.2646199838947251E-4</v>
      </c>
      <c r="S84" s="3"/>
      <c r="T84" s="7">
        <v>337.16</v>
      </c>
      <c r="U84" s="3"/>
      <c r="V84" s="8">
        <f t="shared" si="17"/>
        <v>6.5041709375447199E-4</v>
      </c>
      <c r="W84" s="3"/>
      <c r="X84" s="7">
        <f t="shared" si="18"/>
        <v>4.67999999999995</v>
      </c>
      <c r="Y84" s="3"/>
      <c r="Z84" s="8">
        <f t="shared" si="19"/>
        <v>1.3880650136433591E-2</v>
      </c>
    </row>
    <row r="85" spans="1:26" s="69" customFormat="1" ht="15" hidden="1" customHeight="1" outlineLevel="2" x14ac:dyDescent="0.25">
      <c r="A85" s="25"/>
      <c r="B85" s="12" t="str">
        <f>CONCATENATE("          ","6235"," - ","COVID-19 EXPENSES")</f>
        <v xml:space="preserve">          6235 - COVID-19 EXPENSES</v>
      </c>
      <c r="C85" s="12"/>
      <c r="D85" s="7"/>
      <c r="E85" s="3"/>
      <c r="F85" s="8">
        <f t="shared" si="12"/>
        <v>0</v>
      </c>
      <c r="G85" s="3"/>
      <c r="H85" s="7"/>
      <c r="I85" s="3"/>
      <c r="J85" s="8">
        <f t="shared" si="13"/>
        <v>0</v>
      </c>
      <c r="K85" s="3"/>
      <c r="L85" s="7">
        <f t="shared" si="14"/>
        <v>0</v>
      </c>
      <c r="M85" s="3"/>
      <c r="N85" s="8">
        <f t="shared" si="15"/>
        <v>0</v>
      </c>
      <c r="O85" s="12"/>
      <c r="P85" s="7">
        <v>619.08000000000004</v>
      </c>
      <c r="Q85" s="3"/>
      <c r="R85" s="8">
        <f t="shared" si="16"/>
        <v>4.1012781992439345E-4</v>
      </c>
      <c r="S85" s="3"/>
      <c r="T85" s="7">
        <v>6947.31</v>
      </c>
      <c r="U85" s="3"/>
      <c r="V85" s="8">
        <f t="shared" si="17"/>
        <v>1.340209152809165E-2</v>
      </c>
      <c r="W85" s="3"/>
      <c r="X85" s="7">
        <f t="shared" si="18"/>
        <v>-6328.2300000000005</v>
      </c>
      <c r="Y85" s="3"/>
      <c r="Z85" s="8">
        <f t="shared" si="19"/>
        <v>-0.9108892506596078</v>
      </c>
    </row>
    <row r="86" spans="1:26" s="69" customFormat="1" ht="15" hidden="1" customHeight="1" outlineLevel="2" x14ac:dyDescent="0.25">
      <c r="A86" s="25"/>
      <c r="B86" s="12" t="str">
        <f>CONCATENATE("          ","6237"," - ","JANITORIAL SUPPLIES")</f>
        <v xml:space="preserve">          6237 - JANITORIAL SUPPLIES</v>
      </c>
      <c r="C86" s="12"/>
      <c r="D86" s="7">
        <v>955.97</v>
      </c>
      <c r="E86" s="3"/>
      <c r="F86" s="8">
        <f t="shared" si="12"/>
        <v>8.0368644719341128E-3</v>
      </c>
      <c r="G86" s="3"/>
      <c r="H86" s="7">
        <v>-30</v>
      </c>
      <c r="I86" s="3"/>
      <c r="J86" s="8">
        <f t="shared" si="13"/>
        <v>-4.8579259085333509E-4</v>
      </c>
      <c r="K86" s="3"/>
      <c r="L86" s="7">
        <f t="shared" si="14"/>
        <v>985.97</v>
      </c>
      <c r="M86" s="3"/>
      <c r="N86" s="8">
        <f t="shared" si="15"/>
        <v>-32.865666666666669</v>
      </c>
      <c r="O86" s="12"/>
      <c r="P86" s="7">
        <v>8783.73</v>
      </c>
      <c r="Q86" s="3"/>
      <c r="R86" s="8">
        <f t="shared" si="16"/>
        <v>5.8190412155205984E-3</v>
      </c>
      <c r="S86" s="3"/>
      <c r="T86" s="7">
        <v>328.91</v>
      </c>
      <c r="U86" s="3"/>
      <c r="V86" s="8">
        <f t="shared" si="17"/>
        <v>6.3450197623319301E-4</v>
      </c>
      <c r="W86" s="3"/>
      <c r="X86" s="7">
        <f t="shared" si="18"/>
        <v>8454.82</v>
      </c>
      <c r="Y86" s="3"/>
      <c r="Z86" s="8">
        <f t="shared" si="19"/>
        <v>25.705572953087469</v>
      </c>
    </row>
    <row r="87" spans="1:26" s="69" customFormat="1" ht="15" hidden="1" customHeight="1" outlineLevel="2" x14ac:dyDescent="0.25">
      <c r="A87" s="25"/>
      <c r="B87" s="12" t="str">
        <f>CONCATENATE("          ","6239"," - ","KITCHEN SUPPLIES")</f>
        <v xml:space="preserve">          6239 - KITCHEN SUPPLIES</v>
      </c>
      <c r="C87" s="12"/>
      <c r="D87" s="7">
        <v>498.34</v>
      </c>
      <c r="E87" s="3"/>
      <c r="F87" s="8">
        <f t="shared" si="12"/>
        <v>4.189557246507364E-3</v>
      </c>
      <c r="G87" s="3"/>
      <c r="H87" s="7"/>
      <c r="I87" s="3"/>
      <c r="J87" s="8">
        <f t="shared" si="13"/>
        <v>0</v>
      </c>
      <c r="K87" s="3"/>
      <c r="L87" s="7">
        <f t="shared" si="14"/>
        <v>498.34</v>
      </c>
      <c r="M87" s="3"/>
      <c r="N87" s="8">
        <f t="shared" si="15"/>
        <v>0</v>
      </c>
      <c r="O87" s="12"/>
      <c r="P87" s="7">
        <v>9426.49</v>
      </c>
      <c r="Q87" s="3"/>
      <c r="R87" s="8">
        <f t="shared" si="16"/>
        <v>6.2448565504282082E-3</v>
      </c>
      <c r="S87" s="3"/>
      <c r="T87" s="7">
        <v>19.829999999999998</v>
      </c>
      <c r="U87" s="3"/>
      <c r="V87" s="8">
        <f t="shared" si="17"/>
        <v>3.8254155205692187E-5</v>
      </c>
      <c r="W87" s="3"/>
      <c r="X87" s="7">
        <f t="shared" si="18"/>
        <v>9406.66</v>
      </c>
      <c r="Y87" s="3"/>
      <c r="Z87" s="8">
        <f t="shared" si="19"/>
        <v>474.36510337871914</v>
      </c>
    </row>
    <row r="88" spans="1:26" s="69" customFormat="1" ht="15" hidden="1" customHeight="1" outlineLevel="2" x14ac:dyDescent="0.25">
      <c r="A88" s="25"/>
      <c r="B88" s="12" t="str">
        <f>CONCATENATE("          ","6241"," - ","OFFICE EXPENSE")</f>
        <v xml:space="preserve">          6241 - OFFICE EXPENSE</v>
      </c>
      <c r="C88" s="12"/>
      <c r="D88" s="7"/>
      <c r="E88" s="3"/>
      <c r="F88" s="8">
        <f t="shared" si="12"/>
        <v>0</v>
      </c>
      <c r="G88" s="3"/>
      <c r="H88" s="7">
        <v>2.21</v>
      </c>
      <c r="I88" s="3"/>
      <c r="J88" s="8">
        <f t="shared" si="13"/>
        <v>3.5786720859529016E-5</v>
      </c>
      <c r="K88" s="3"/>
      <c r="L88" s="7">
        <f t="shared" si="14"/>
        <v>-2.21</v>
      </c>
      <c r="M88" s="3"/>
      <c r="N88" s="8">
        <f t="shared" si="15"/>
        <v>-1</v>
      </c>
      <c r="O88" s="12"/>
      <c r="P88" s="7">
        <v>7613.4</v>
      </c>
      <c r="Q88" s="3"/>
      <c r="R88" s="8">
        <f t="shared" si="16"/>
        <v>5.0437215613690911E-3</v>
      </c>
      <c r="S88" s="3"/>
      <c r="T88" s="7">
        <v>-28540.93</v>
      </c>
      <c r="U88" s="3"/>
      <c r="V88" s="8">
        <f t="shared" si="17"/>
        <v>-5.5058455165647821E-2</v>
      </c>
      <c r="W88" s="3"/>
      <c r="X88" s="7">
        <f t="shared" si="18"/>
        <v>36154.33</v>
      </c>
      <c r="Y88" s="3"/>
      <c r="Z88" s="8">
        <f t="shared" si="19"/>
        <v>-1.2667537462864735</v>
      </c>
    </row>
    <row r="89" spans="1:26" s="69" customFormat="1" ht="15" hidden="1" customHeight="1" outlineLevel="2" x14ac:dyDescent="0.25">
      <c r="A89" s="25"/>
      <c r="B89" s="12" t="str">
        <f>CONCATENATE("          ","6243"," - ","PAPER SUPPLIES")</f>
        <v xml:space="preserve">          6243 - PAPER SUPPLIES</v>
      </c>
      <c r="C89" s="12"/>
      <c r="D89" s="7">
        <v>210.79</v>
      </c>
      <c r="E89" s="3"/>
      <c r="F89" s="8">
        <f t="shared" si="12"/>
        <v>1.7721169723307127E-3</v>
      </c>
      <c r="G89" s="3"/>
      <c r="H89" s="7"/>
      <c r="I89" s="3"/>
      <c r="J89" s="8">
        <f t="shared" si="13"/>
        <v>0</v>
      </c>
      <c r="K89" s="3"/>
      <c r="L89" s="7">
        <f t="shared" si="14"/>
        <v>210.79</v>
      </c>
      <c r="M89" s="3"/>
      <c r="N89" s="8">
        <f t="shared" si="15"/>
        <v>0</v>
      </c>
      <c r="O89" s="12"/>
      <c r="P89" s="7">
        <v>3482.22</v>
      </c>
      <c r="Q89" s="3"/>
      <c r="R89" s="8">
        <f t="shared" si="16"/>
        <v>2.3068994267253363E-3</v>
      </c>
      <c r="S89" s="3"/>
      <c r="T89" s="7">
        <v>255.33</v>
      </c>
      <c r="U89" s="3"/>
      <c r="V89" s="8">
        <f t="shared" si="17"/>
        <v>4.9255841899492625E-4</v>
      </c>
      <c r="W89" s="3"/>
      <c r="X89" s="7">
        <f t="shared" si="18"/>
        <v>3226.89</v>
      </c>
      <c r="Y89" s="3"/>
      <c r="Z89" s="8">
        <f t="shared" si="19"/>
        <v>12.638115380096345</v>
      </c>
    </row>
    <row r="90" spans="1:26" s="69" customFormat="1" ht="15" hidden="1" customHeight="1" outlineLevel="2" x14ac:dyDescent="0.25">
      <c r="A90" s="25"/>
      <c r="B90" s="12" t="str">
        <f>CONCATENATE("          ","6245"," - ","PRINTING")</f>
        <v xml:space="preserve">          6245 - PRINTING</v>
      </c>
      <c r="C90" s="12"/>
      <c r="D90" s="7"/>
      <c r="E90" s="3"/>
      <c r="F90" s="8">
        <f t="shared" ref="F90:F101" si="20">IF(D$12=0,0,D90/D$12)</f>
        <v>0</v>
      </c>
      <c r="G90" s="3"/>
      <c r="H90" s="7"/>
      <c r="I90" s="3"/>
      <c r="J90" s="8">
        <f t="shared" ref="J90:J101" si="21">IF(H$12=0,0,H90/H$12)</f>
        <v>0</v>
      </c>
      <c r="K90" s="3"/>
      <c r="L90" s="7">
        <f t="shared" ref="L90:L101" si="22">+D90-H90</f>
        <v>0</v>
      </c>
      <c r="M90" s="3"/>
      <c r="N90" s="8">
        <f t="shared" ref="N90:N101" si="23">IF(H90=0,0,L90/H90)</f>
        <v>0</v>
      </c>
      <c r="O90" s="12"/>
      <c r="P90" s="7">
        <v>1071</v>
      </c>
      <c r="Q90" s="3"/>
      <c r="R90" s="8">
        <f t="shared" ref="R90:R101" si="24">IF(P$12=0,0,P90/P$12)</f>
        <v>7.0951556364125051E-4</v>
      </c>
      <c r="S90" s="3"/>
      <c r="T90" s="7"/>
      <c r="U90" s="3"/>
      <c r="V90" s="8">
        <f t="shared" ref="V90:V101" si="25">IF(T$12=0,0,T90/T$12)</f>
        <v>0</v>
      </c>
      <c r="W90" s="3"/>
      <c r="X90" s="7">
        <f t="shared" ref="X90:X101" si="26">+P90-T90</f>
        <v>1071</v>
      </c>
      <c r="Y90" s="3"/>
      <c r="Z90" s="8">
        <f t="shared" ref="Z90:Z101" si="27">IF(T90=0,0,X90/T90)</f>
        <v>0</v>
      </c>
    </row>
    <row r="91" spans="1:26" s="69" customFormat="1" ht="15" hidden="1" customHeight="1" outlineLevel="2" x14ac:dyDescent="0.25">
      <c r="A91" s="25"/>
      <c r="B91" s="12" t="str">
        <f>CONCATENATE("          ","6247"," - ","STORE SUPPLIES")</f>
        <v xml:space="preserve">          6247 - STORE SUPPLIES</v>
      </c>
      <c r="C91" s="12"/>
      <c r="D91" s="7">
        <v>884</v>
      </c>
      <c r="E91" s="3"/>
      <c r="F91" s="8">
        <f t="shared" si="20"/>
        <v>7.4318108237599037E-3</v>
      </c>
      <c r="G91" s="3"/>
      <c r="H91" s="7"/>
      <c r="I91" s="3"/>
      <c r="J91" s="8">
        <f t="shared" si="21"/>
        <v>0</v>
      </c>
      <c r="K91" s="3"/>
      <c r="L91" s="7">
        <f t="shared" si="22"/>
        <v>884</v>
      </c>
      <c r="M91" s="3"/>
      <c r="N91" s="8">
        <f t="shared" si="23"/>
        <v>0</v>
      </c>
      <c r="O91" s="12"/>
      <c r="P91" s="7">
        <v>1841.59</v>
      </c>
      <c r="Q91" s="3"/>
      <c r="R91" s="8">
        <f t="shared" si="24"/>
        <v>1.2200156553184786E-3</v>
      </c>
      <c r="S91" s="3"/>
      <c r="T91" s="7"/>
      <c r="U91" s="3"/>
      <c r="V91" s="8">
        <f t="shared" si="25"/>
        <v>0</v>
      </c>
      <c r="W91" s="3"/>
      <c r="X91" s="7">
        <f t="shared" si="26"/>
        <v>1841.59</v>
      </c>
      <c r="Y91" s="3"/>
      <c r="Z91" s="8">
        <f t="shared" si="27"/>
        <v>0</v>
      </c>
    </row>
    <row r="92" spans="1:26" s="69" customFormat="1" ht="15" hidden="1" customHeight="1" outlineLevel="2" x14ac:dyDescent="0.25">
      <c r="A92" s="25"/>
      <c r="B92" s="12" t="str">
        <f>CONCATENATE("          ","6248"," - ","UNIFORMS")</f>
        <v xml:space="preserve">          6248 - UNIFORMS</v>
      </c>
      <c r="C92" s="12"/>
      <c r="D92" s="7"/>
      <c r="E92" s="3"/>
      <c r="F92" s="8">
        <f t="shared" si="20"/>
        <v>0</v>
      </c>
      <c r="G92" s="3"/>
      <c r="H92" s="7"/>
      <c r="I92" s="3"/>
      <c r="J92" s="8">
        <f t="shared" si="21"/>
        <v>0</v>
      </c>
      <c r="K92" s="3"/>
      <c r="L92" s="7">
        <f t="shared" si="22"/>
        <v>0</v>
      </c>
      <c r="M92" s="3"/>
      <c r="N92" s="8">
        <f t="shared" si="23"/>
        <v>0</v>
      </c>
      <c r="O92" s="12"/>
      <c r="P92" s="7">
        <v>2988.45</v>
      </c>
      <c r="Q92" s="3"/>
      <c r="R92" s="8">
        <f t="shared" si="24"/>
        <v>1.9797869151855227E-3</v>
      </c>
      <c r="S92" s="3"/>
      <c r="T92" s="7"/>
      <c r="U92" s="3"/>
      <c r="V92" s="8">
        <f t="shared" si="25"/>
        <v>0</v>
      </c>
      <c r="W92" s="3"/>
      <c r="X92" s="7">
        <f t="shared" si="26"/>
        <v>2988.45</v>
      </c>
      <c r="Y92" s="3"/>
      <c r="Z92" s="8">
        <f t="shared" si="27"/>
        <v>0</v>
      </c>
    </row>
    <row r="93" spans="1:26" s="68" customFormat="1" ht="15" customHeight="1" outlineLevel="1" collapsed="1" x14ac:dyDescent="0.25">
      <c r="A93" s="26"/>
      <c r="B93" s="14" t="str">
        <f>CONCATENATE("     ","Telephone/Data Lines                              ")</f>
        <v xml:space="preserve">     Telephone/Data Lines                              </v>
      </c>
      <c r="C93" s="14"/>
      <c r="D93" s="2">
        <f>SUM(OSRRefD22_19x_0)</f>
        <v>661.85</v>
      </c>
      <c r="E93" s="2"/>
      <c r="F93" s="6">
        <f t="shared" si="20"/>
        <v>5.5641900381283851E-3</v>
      </c>
      <c r="G93" s="2"/>
      <c r="H93" s="2">
        <f>SUM(OSRRefH22_19x_0)</f>
        <v>399.1</v>
      </c>
      <c r="I93" s="2"/>
      <c r="J93" s="6">
        <f t="shared" si="21"/>
        <v>6.4626607669855353E-3</v>
      </c>
      <c r="K93" s="2"/>
      <c r="L93" s="2">
        <f t="shared" si="22"/>
        <v>262.75</v>
      </c>
      <c r="M93" s="2"/>
      <c r="N93" s="6">
        <f t="shared" si="23"/>
        <v>0.65835630167877723</v>
      </c>
      <c r="O93" s="14"/>
      <c r="P93" s="2">
        <f>SUM(OSRRefP22_19x_0)</f>
        <v>7588.39</v>
      </c>
      <c r="Q93" s="2"/>
      <c r="R93" s="6">
        <f t="shared" si="24"/>
        <v>5.0271529486271048E-3</v>
      </c>
      <c r="S93" s="2"/>
      <c r="T93" s="2">
        <f>SUM(OSRRefT22_19x_0)</f>
        <v>6245.11</v>
      </c>
      <c r="U93" s="2"/>
      <c r="V93" s="6">
        <f t="shared" si="25"/>
        <v>1.2047473888886552E-2</v>
      </c>
      <c r="W93" s="2"/>
      <c r="X93" s="2">
        <f t="shared" si="26"/>
        <v>1343.2800000000007</v>
      </c>
      <c r="Y93" s="2"/>
      <c r="Z93" s="6">
        <f t="shared" si="27"/>
        <v>0.21509308883270281</v>
      </c>
    </row>
    <row r="94" spans="1:26" s="69" customFormat="1" ht="15" hidden="1" customHeight="1" outlineLevel="2" x14ac:dyDescent="0.25">
      <c r="A94" s="25"/>
      <c r="B94" s="12" t="str">
        <f>CONCATENATE("          ","6309"," - ","TELEPHONE")</f>
        <v xml:space="preserve">          6309 - TELEPHONE</v>
      </c>
      <c r="C94" s="12"/>
      <c r="D94" s="7">
        <v>661.85</v>
      </c>
      <c r="E94" s="3"/>
      <c r="F94" s="8">
        <f t="shared" si="20"/>
        <v>5.5641900381283851E-3</v>
      </c>
      <c r="G94" s="3"/>
      <c r="H94" s="7">
        <v>399.1</v>
      </c>
      <c r="I94" s="3"/>
      <c r="J94" s="8">
        <f t="shared" si="21"/>
        <v>6.4626607669855353E-3</v>
      </c>
      <c r="K94" s="3"/>
      <c r="L94" s="7">
        <f t="shared" si="22"/>
        <v>262.75</v>
      </c>
      <c r="M94" s="3"/>
      <c r="N94" s="8">
        <f t="shared" si="23"/>
        <v>0.65835630167877723</v>
      </c>
      <c r="O94" s="12"/>
      <c r="P94" s="7">
        <v>7588.39</v>
      </c>
      <c r="Q94" s="3"/>
      <c r="R94" s="8">
        <f t="shared" si="24"/>
        <v>5.0271529486271048E-3</v>
      </c>
      <c r="S94" s="3"/>
      <c r="T94" s="7">
        <v>6245.11</v>
      </c>
      <c r="U94" s="3"/>
      <c r="V94" s="8">
        <f t="shared" si="25"/>
        <v>1.2047473888886552E-2</v>
      </c>
      <c r="W94" s="3"/>
      <c r="X94" s="7">
        <f t="shared" si="26"/>
        <v>1343.2800000000007</v>
      </c>
      <c r="Y94" s="3"/>
      <c r="Z94" s="8">
        <f t="shared" si="27"/>
        <v>0.21509308883270281</v>
      </c>
    </row>
    <row r="95" spans="1:26" s="68" customFormat="1" ht="15" customHeight="1" outlineLevel="1" collapsed="1" x14ac:dyDescent="0.25">
      <c r="A95" s="26"/>
      <c r="B95" s="14" t="str">
        <f>CONCATENATE("     ","Training                                          ")</f>
        <v xml:space="preserve">     Training                                          </v>
      </c>
      <c r="C95" s="14"/>
      <c r="D95" s="2">
        <f>SUM(OSRRefD22_20x_0)</f>
        <v>0</v>
      </c>
      <c r="E95" s="2"/>
      <c r="F95" s="6">
        <f t="shared" si="20"/>
        <v>0</v>
      </c>
      <c r="G95" s="2"/>
      <c r="H95" s="2">
        <f>SUM(OSRRefH22_20x_0)</f>
        <v>0</v>
      </c>
      <c r="I95" s="2"/>
      <c r="J95" s="6">
        <f t="shared" si="21"/>
        <v>0</v>
      </c>
      <c r="K95" s="2"/>
      <c r="L95" s="2">
        <f t="shared" si="22"/>
        <v>0</v>
      </c>
      <c r="M95" s="2"/>
      <c r="N95" s="6">
        <f t="shared" si="23"/>
        <v>0</v>
      </c>
      <c r="O95" s="14"/>
      <c r="P95" s="2">
        <f>SUM(OSRRefP22_20x_0)</f>
        <v>495.95</v>
      </c>
      <c r="Q95" s="2"/>
      <c r="R95" s="6">
        <f t="shared" si="24"/>
        <v>3.2855671688877515E-4</v>
      </c>
      <c r="S95" s="2"/>
      <c r="T95" s="2">
        <f>SUM(OSRRefT22_20x_0)</f>
        <v>400</v>
      </c>
      <c r="U95" s="2"/>
      <c r="V95" s="6">
        <f t="shared" si="25"/>
        <v>7.7164206163776478E-4</v>
      </c>
      <c r="W95" s="2"/>
      <c r="X95" s="2">
        <f t="shared" si="26"/>
        <v>95.949999999999989</v>
      </c>
      <c r="Y95" s="2"/>
      <c r="Z95" s="6">
        <f t="shared" si="27"/>
        <v>0.23987499999999998</v>
      </c>
    </row>
    <row r="96" spans="1:26" s="69" customFormat="1" ht="15" hidden="1" customHeight="1" outlineLevel="2" x14ac:dyDescent="0.25">
      <c r="A96" s="25"/>
      <c r="B96" s="12" t="str">
        <f>CONCATENATE("          ","6376"," - ","TRAINING")</f>
        <v xml:space="preserve">          6376 - TRAINING</v>
      </c>
      <c r="C96" s="12"/>
      <c r="D96" s="7"/>
      <c r="E96" s="3"/>
      <c r="F96" s="8">
        <f t="shared" si="20"/>
        <v>0</v>
      </c>
      <c r="G96" s="3"/>
      <c r="H96" s="7"/>
      <c r="I96" s="3"/>
      <c r="J96" s="8">
        <f t="shared" si="21"/>
        <v>0</v>
      </c>
      <c r="K96" s="3"/>
      <c r="L96" s="7">
        <f t="shared" si="22"/>
        <v>0</v>
      </c>
      <c r="M96" s="3"/>
      <c r="N96" s="8">
        <f t="shared" si="23"/>
        <v>0</v>
      </c>
      <c r="O96" s="12"/>
      <c r="P96" s="7">
        <v>495.95</v>
      </c>
      <c r="Q96" s="3"/>
      <c r="R96" s="8">
        <f t="shared" si="24"/>
        <v>3.2855671688877515E-4</v>
      </c>
      <c r="S96" s="3"/>
      <c r="T96" s="7">
        <v>400</v>
      </c>
      <c r="U96" s="3"/>
      <c r="V96" s="8">
        <f t="shared" si="25"/>
        <v>7.7164206163776478E-4</v>
      </c>
      <c r="W96" s="3"/>
      <c r="X96" s="7">
        <f t="shared" si="26"/>
        <v>95.949999999999989</v>
      </c>
      <c r="Y96" s="3"/>
      <c r="Z96" s="8">
        <f t="shared" si="27"/>
        <v>0.23987499999999998</v>
      </c>
    </row>
    <row r="97" spans="1:26" s="68" customFormat="1" ht="15" customHeight="1" outlineLevel="1" collapsed="1" x14ac:dyDescent="0.25">
      <c r="A97" s="26"/>
      <c r="B97" s="14" t="str">
        <f>CONCATENATE("     ","Travel                                            ")</f>
        <v xml:space="preserve">     Travel                                            </v>
      </c>
      <c r="C97" s="14"/>
      <c r="D97" s="2">
        <f>SUM(OSRRefD22_21x_0)</f>
        <v>0</v>
      </c>
      <c r="E97" s="2"/>
      <c r="F97" s="6">
        <f t="shared" si="20"/>
        <v>0</v>
      </c>
      <c r="G97" s="2"/>
      <c r="H97" s="2">
        <f>SUM(OSRRefH22_21x_0)</f>
        <v>0</v>
      </c>
      <c r="I97" s="2"/>
      <c r="J97" s="6">
        <f t="shared" si="21"/>
        <v>0</v>
      </c>
      <c r="K97" s="2"/>
      <c r="L97" s="2">
        <f t="shared" si="22"/>
        <v>0</v>
      </c>
      <c r="M97" s="2"/>
      <c r="N97" s="6">
        <f t="shared" si="23"/>
        <v>0</v>
      </c>
      <c r="O97" s="14"/>
      <c r="P97" s="2">
        <f>SUM(OSRRefP22_21x_0)</f>
        <v>141.24</v>
      </c>
      <c r="Q97" s="2"/>
      <c r="R97" s="6">
        <f t="shared" si="24"/>
        <v>9.3568607104285934E-5</v>
      </c>
      <c r="S97" s="2"/>
      <c r="T97" s="2">
        <f>SUM(OSRRefT22_21x_0)</f>
        <v>332.21</v>
      </c>
      <c r="U97" s="2"/>
      <c r="V97" s="6">
        <f t="shared" si="25"/>
        <v>6.4086802324170452E-4</v>
      </c>
      <c r="W97" s="2"/>
      <c r="X97" s="2">
        <f t="shared" si="26"/>
        <v>-190.96999999999997</v>
      </c>
      <c r="Y97" s="2"/>
      <c r="Z97" s="6">
        <f t="shared" si="27"/>
        <v>-0.5748472351825652</v>
      </c>
    </row>
    <row r="98" spans="1:26" s="69" customFormat="1" ht="15" hidden="1" customHeight="1" outlineLevel="2" x14ac:dyDescent="0.25">
      <c r="A98" s="25"/>
      <c r="B98" s="12" t="str">
        <f>CONCATENATE("          ","6292"," - ","TRAVEL/CONFERENCE")</f>
        <v xml:space="preserve">          6292 - TRAVEL/CONFERENCE</v>
      </c>
      <c r="C98" s="12"/>
      <c r="D98" s="7"/>
      <c r="E98" s="3"/>
      <c r="F98" s="8">
        <f t="shared" si="20"/>
        <v>0</v>
      </c>
      <c r="G98" s="3"/>
      <c r="H98" s="7"/>
      <c r="I98" s="3"/>
      <c r="J98" s="8">
        <f t="shared" si="21"/>
        <v>0</v>
      </c>
      <c r="K98" s="3"/>
      <c r="L98" s="7">
        <f t="shared" si="22"/>
        <v>0</v>
      </c>
      <c r="M98" s="3"/>
      <c r="N98" s="8">
        <f t="shared" si="23"/>
        <v>0</v>
      </c>
      <c r="O98" s="12"/>
      <c r="P98" s="7">
        <v>18.59</v>
      </c>
      <c r="Q98" s="3"/>
      <c r="R98" s="8">
        <f t="shared" si="24"/>
        <v>1.2315494237246356E-5</v>
      </c>
      <c r="S98" s="3"/>
      <c r="T98" s="7"/>
      <c r="U98" s="3"/>
      <c r="V98" s="8">
        <f t="shared" si="25"/>
        <v>0</v>
      </c>
      <c r="W98" s="3"/>
      <c r="X98" s="7">
        <f t="shared" si="26"/>
        <v>18.59</v>
      </c>
      <c r="Y98" s="3"/>
      <c r="Z98" s="8">
        <f t="shared" si="27"/>
        <v>0</v>
      </c>
    </row>
    <row r="99" spans="1:26" s="69" customFormat="1" ht="15" hidden="1" customHeight="1" outlineLevel="2" x14ac:dyDescent="0.25">
      <c r="A99" s="25"/>
      <c r="B99" s="12" t="str">
        <f>CONCATENATE("          ","6298"," - ","VEHICLE MILEAGE")</f>
        <v xml:space="preserve">          6298 - VEHICLE MILEAGE</v>
      </c>
      <c r="C99" s="12"/>
      <c r="D99" s="7"/>
      <c r="E99" s="3"/>
      <c r="F99" s="8">
        <f t="shared" si="20"/>
        <v>0</v>
      </c>
      <c r="G99" s="3"/>
      <c r="H99" s="7"/>
      <c r="I99" s="3"/>
      <c r="J99" s="8">
        <f t="shared" si="21"/>
        <v>0</v>
      </c>
      <c r="K99" s="3"/>
      <c r="L99" s="7">
        <f t="shared" si="22"/>
        <v>0</v>
      </c>
      <c r="M99" s="3"/>
      <c r="N99" s="8">
        <f t="shared" si="23"/>
        <v>0</v>
      </c>
      <c r="O99" s="12"/>
      <c r="P99" s="7">
        <v>122.65</v>
      </c>
      <c r="Q99" s="3"/>
      <c r="R99" s="8">
        <f t="shared" si="24"/>
        <v>8.125311286703957E-5</v>
      </c>
      <c r="S99" s="3"/>
      <c r="T99" s="7">
        <v>332.21</v>
      </c>
      <c r="U99" s="3"/>
      <c r="V99" s="8">
        <f t="shared" si="25"/>
        <v>6.4086802324170452E-4</v>
      </c>
      <c r="W99" s="3"/>
      <c r="X99" s="7">
        <f t="shared" si="26"/>
        <v>-209.55999999999997</v>
      </c>
      <c r="Y99" s="3"/>
      <c r="Z99" s="8">
        <f t="shared" si="27"/>
        <v>-0.63080581559856708</v>
      </c>
    </row>
    <row r="100" spans="1:26" s="68" customFormat="1" ht="15" customHeight="1" outlineLevel="1" collapsed="1" x14ac:dyDescent="0.25">
      <c r="A100" s="26"/>
      <c r="B100" s="14" t="str">
        <f>CONCATENATE("     ","Utilities                                         ")</f>
        <v xml:space="preserve">     Utilities                                         </v>
      </c>
      <c r="C100" s="14"/>
      <c r="D100" s="2">
        <f>SUM(OSRRefD22_22x_0)</f>
        <v>29161.68</v>
      </c>
      <c r="E100" s="2"/>
      <c r="F100" s="6">
        <f t="shared" si="20"/>
        <v>0.24516299667762748</v>
      </c>
      <c r="G100" s="2"/>
      <c r="H100" s="2">
        <f>SUM(OSRRefH22_22x_0)</f>
        <v>3648</v>
      </c>
      <c r="I100" s="2"/>
      <c r="J100" s="6">
        <f t="shared" si="21"/>
        <v>5.907237904776555E-2</v>
      </c>
      <c r="K100" s="2"/>
      <c r="L100" s="2">
        <f t="shared" si="22"/>
        <v>25513.68</v>
      </c>
      <c r="M100" s="2"/>
      <c r="N100" s="6">
        <f t="shared" si="23"/>
        <v>6.9938815789473683</v>
      </c>
      <c r="O100" s="14"/>
      <c r="P100" s="2">
        <f>SUM(OSRRefP22_22x_0)</f>
        <v>108261.68</v>
      </c>
      <c r="Q100" s="2"/>
      <c r="R100" s="6">
        <f t="shared" si="24"/>
        <v>7.1721145570446954E-2</v>
      </c>
      <c r="S100" s="2"/>
      <c r="T100" s="2">
        <f>SUM(OSRRefT22_22x_0)</f>
        <v>5836</v>
      </c>
      <c r="U100" s="2"/>
      <c r="V100" s="6">
        <f t="shared" si="25"/>
        <v>1.1258257679294987E-2</v>
      </c>
      <c r="W100" s="2"/>
      <c r="X100" s="2">
        <f t="shared" si="26"/>
        <v>102425.68</v>
      </c>
      <c r="Y100" s="2"/>
      <c r="Z100" s="6">
        <f t="shared" si="27"/>
        <v>17.550664838930775</v>
      </c>
    </row>
    <row r="101" spans="1:26" s="69" customFormat="1" ht="15" hidden="1" customHeight="1" outlineLevel="2" x14ac:dyDescent="0.25">
      <c r="A101" s="25"/>
      <c r="B101" s="12" t="str">
        <f>CONCATENATE("          ","6274"," - ","UTILITIES")</f>
        <v xml:space="preserve">          6274 - UTILITIES</v>
      </c>
      <c r="C101" s="12"/>
      <c r="D101" s="7">
        <v>29161.68</v>
      </c>
      <c r="E101" s="3"/>
      <c r="F101" s="8">
        <f t="shared" si="20"/>
        <v>0.24516299667762748</v>
      </c>
      <c r="G101" s="3"/>
      <c r="H101" s="7">
        <v>3648</v>
      </c>
      <c r="I101" s="3"/>
      <c r="J101" s="8">
        <f t="shared" si="21"/>
        <v>5.907237904776555E-2</v>
      </c>
      <c r="K101" s="3"/>
      <c r="L101" s="7">
        <f t="shared" si="22"/>
        <v>25513.68</v>
      </c>
      <c r="M101" s="3"/>
      <c r="N101" s="8">
        <f t="shared" si="23"/>
        <v>6.9938815789473683</v>
      </c>
      <c r="O101" s="12"/>
      <c r="P101" s="7">
        <v>108261.68</v>
      </c>
      <c r="Q101" s="3"/>
      <c r="R101" s="8">
        <f t="shared" si="24"/>
        <v>7.1721145570446954E-2</v>
      </c>
      <c r="S101" s="3"/>
      <c r="T101" s="7">
        <v>5836</v>
      </c>
      <c r="U101" s="3"/>
      <c r="V101" s="8">
        <f t="shared" si="25"/>
        <v>1.1258257679294987E-2</v>
      </c>
      <c r="W101" s="3"/>
      <c r="X101" s="7">
        <f t="shared" si="26"/>
        <v>102425.68</v>
      </c>
      <c r="Y101" s="3"/>
      <c r="Z101" s="8">
        <f t="shared" si="27"/>
        <v>17.550664838930775</v>
      </c>
    </row>
    <row r="102" spans="1:26" s="64" customFormat="1" ht="15" customHeight="1" x14ac:dyDescent="0.25">
      <c r="A102" s="36"/>
      <c r="B102" s="36"/>
      <c r="C102" s="36"/>
      <c r="D102" s="2"/>
      <c r="E102" s="2"/>
      <c r="F102" s="6"/>
      <c r="G102" s="2"/>
      <c r="H102" s="2"/>
      <c r="I102" s="2"/>
      <c r="J102" s="6"/>
      <c r="K102" s="2"/>
      <c r="L102" s="2"/>
      <c r="M102" s="2"/>
      <c r="N102" s="6"/>
      <c r="O102" s="36"/>
      <c r="P102" s="2"/>
      <c r="Q102" s="2"/>
      <c r="R102" s="6"/>
      <c r="S102" s="2"/>
      <c r="T102" s="2"/>
      <c r="U102" s="2"/>
      <c r="V102" s="6"/>
      <c r="W102" s="2"/>
      <c r="X102" s="2"/>
      <c r="Y102" s="2"/>
      <c r="Z102" s="6"/>
    </row>
    <row r="103" spans="1:26" s="62" customFormat="1" ht="15" customHeight="1" collapsed="1" x14ac:dyDescent="0.25">
      <c r="A103" s="11"/>
      <c r="B103" s="28" t="s">
        <v>290</v>
      </c>
      <c r="C103" s="11"/>
      <c r="D103" s="5">
        <f>SUM(OSRRefD25x_0)</f>
        <v>32749.34</v>
      </c>
      <c r="E103" s="5"/>
      <c r="F103" s="13">
        <f>IF(D$12=0,0,D103/D$12)</f>
        <v>0.27532454692646285</v>
      </c>
      <c r="G103" s="5"/>
      <c r="H103" s="5">
        <f>SUM(OSRRefH25x_0)</f>
        <v>41.26</v>
      </c>
      <c r="I103" s="5"/>
      <c r="J103" s="13">
        <f>IF(H$12=0,0,H103/H$12)</f>
        <v>6.6812674328695348E-4</v>
      </c>
      <c r="K103" s="5"/>
      <c r="L103" s="5">
        <f>+D103-H103</f>
        <v>32708.080000000002</v>
      </c>
      <c r="M103" s="5"/>
      <c r="N103" s="13">
        <f>IF(H103=0,0,L103/H103)</f>
        <v>792.73097430925839</v>
      </c>
      <c r="O103" s="11"/>
      <c r="P103" s="5">
        <f>SUM(OSRRefP25x_0)</f>
        <v>207885.38</v>
      </c>
      <c r="Q103" s="5"/>
      <c r="R103" s="13">
        <f>IF(P$12=0,0,P103/P$12)</f>
        <v>0.13771980631510322</v>
      </c>
      <c r="S103" s="5"/>
      <c r="T103" s="5">
        <f>SUM(OSRRefT25x_0)</f>
        <v>22486.66</v>
      </c>
      <c r="U103" s="5"/>
      <c r="V103" s="13">
        <f>IF(T$12=0,0,T103/T$12)</f>
        <v>4.3379131704368648E-2</v>
      </c>
      <c r="W103" s="5"/>
      <c r="X103" s="5">
        <f>+P103-T103</f>
        <v>185398.72</v>
      </c>
      <c r="Y103" s="5"/>
      <c r="Z103" s="13">
        <f>IF(T103=0,0,X103/T103)</f>
        <v>8.244831380027092</v>
      </c>
    </row>
    <row r="104" spans="1:26" s="69" customFormat="1" ht="15" hidden="1" customHeight="1" outlineLevel="1" x14ac:dyDescent="0.25">
      <c r="A104" s="42"/>
      <c r="B104" s="12" t="str">
        <f>CONCATENATE("          ","9150"," - ","MISC. INCOME")</f>
        <v xml:space="preserve">          9150 - MISC. INCOME</v>
      </c>
      <c r="C104" s="12"/>
      <c r="D104" s="3">
        <f>--32749.34</f>
        <v>32749.34</v>
      </c>
      <c r="E104" s="3"/>
      <c r="F104" s="20">
        <f>IF(D$12=0,0,D104/D$12)</f>
        <v>0.27532454692646285</v>
      </c>
      <c r="G104" s="3"/>
      <c r="H104" s="3">
        <f>--8.44</f>
        <v>8.44</v>
      </c>
      <c r="I104" s="3"/>
      <c r="J104" s="20">
        <f>IF(H$12=0,0,H104/H$12)</f>
        <v>1.3666964889340493E-4</v>
      </c>
      <c r="K104" s="3"/>
      <c r="L104" s="3">
        <f>+D104-H104</f>
        <v>32740.9</v>
      </c>
      <c r="M104" s="3"/>
      <c r="N104" s="20">
        <f>IF(H104=0,0,L104/H104)</f>
        <v>3879.2535545023702</v>
      </c>
      <c r="O104" s="12"/>
      <c r="P104" s="3">
        <f>--207885.38</f>
        <v>207885.38</v>
      </c>
      <c r="Q104" s="3"/>
      <c r="R104" s="20">
        <f>IF(P$12=0,0,P104/P$12)</f>
        <v>0.13771980631510322</v>
      </c>
      <c r="S104" s="3"/>
      <c r="T104" s="3">
        <f>--5349.92</f>
        <v>5349.92</v>
      </c>
      <c r="U104" s="3"/>
      <c r="V104" s="20">
        <f>IF(T$12=0,0,T104/T$12)</f>
        <v>1.0320558245992777E-2</v>
      </c>
      <c r="W104" s="3"/>
      <c r="X104" s="3">
        <f>+P104-T104</f>
        <v>202535.46</v>
      </c>
      <c r="Y104" s="3"/>
      <c r="Z104" s="20">
        <f>IF(T104=0,0,X104/T104)</f>
        <v>37.857661422974545</v>
      </c>
    </row>
    <row r="105" spans="1:26" s="69" customFormat="1" ht="15" hidden="1" customHeight="1" outlineLevel="1" x14ac:dyDescent="0.25">
      <c r="A105" s="42"/>
      <c r="B105" s="12" t="str">
        <f>CONCATENATE("          ","9160"," - ","MISC. INCOME")</f>
        <v xml:space="preserve">          9160 - MISC. INCOME</v>
      </c>
      <c r="C105" s="12"/>
      <c r="D105" s="3">
        <f>0</f>
        <v>0</v>
      </c>
      <c r="E105" s="3"/>
      <c r="F105" s="20">
        <f>IF(D$12=0,0,D105/D$12)</f>
        <v>0</v>
      </c>
      <c r="G105" s="3"/>
      <c r="H105" s="3">
        <f>0</f>
        <v>0</v>
      </c>
      <c r="I105" s="3"/>
      <c r="J105" s="20">
        <f>IF(H$12=0,0,H105/H$12)</f>
        <v>0</v>
      </c>
      <c r="K105" s="3"/>
      <c r="L105" s="3">
        <f>+D105-H105</f>
        <v>0</v>
      </c>
      <c r="M105" s="3"/>
      <c r="N105" s="20">
        <f>IF(H105=0,0,L105/H105)</f>
        <v>0</v>
      </c>
      <c r="O105" s="12"/>
      <c r="P105" s="3">
        <f>0</f>
        <v>0</v>
      </c>
      <c r="Q105" s="3"/>
      <c r="R105" s="20">
        <f>IF(P$12=0,0,P105/P$12)</f>
        <v>0</v>
      </c>
      <c r="S105" s="3"/>
      <c r="T105" s="3">
        <f>--13615.06</f>
        <v>13615.06</v>
      </c>
      <c r="U105" s="3"/>
      <c r="V105" s="20">
        <f>IF(T$12=0,0,T105/T$12)</f>
        <v>2.6264882419304664E-2</v>
      </c>
      <c r="W105" s="3"/>
      <c r="X105" s="3">
        <f>+P105-T105</f>
        <v>-13615.06</v>
      </c>
      <c r="Y105" s="3"/>
      <c r="Z105" s="20">
        <f>IF(T105=0,0,X105/T105)</f>
        <v>-1</v>
      </c>
    </row>
    <row r="106" spans="1:26" s="69" customFormat="1" ht="15" hidden="1" customHeight="1" outlineLevel="1" x14ac:dyDescent="0.25">
      <c r="A106" s="42"/>
      <c r="B106" s="12" t="str">
        <f>CONCATENATE("          ","9165"," - ","OTHER INCOME")</f>
        <v xml:space="preserve">          9165 - OTHER INCOME</v>
      </c>
      <c r="C106" s="12"/>
      <c r="D106" s="3">
        <f>0</f>
        <v>0</v>
      </c>
      <c r="E106" s="3"/>
      <c r="F106" s="20">
        <f>IF(D$12=0,0,D106/D$12)</f>
        <v>0</v>
      </c>
      <c r="G106" s="3"/>
      <c r="H106" s="3">
        <f>--32.82</f>
        <v>32.82</v>
      </c>
      <c r="I106" s="3"/>
      <c r="J106" s="20">
        <f>IF(H$12=0,0,H106/H$12)</f>
        <v>5.3145709439354858E-4</v>
      </c>
      <c r="K106" s="3"/>
      <c r="L106" s="3">
        <f>+D106-H106</f>
        <v>-32.82</v>
      </c>
      <c r="M106" s="3"/>
      <c r="N106" s="20">
        <f>IF(H106=0,0,L106/H106)</f>
        <v>-1</v>
      </c>
      <c r="O106" s="12"/>
      <c r="P106" s="3">
        <f>0</f>
        <v>0</v>
      </c>
      <c r="Q106" s="3"/>
      <c r="R106" s="20">
        <f>IF(P$12=0,0,P106/P$12)</f>
        <v>0</v>
      </c>
      <c r="S106" s="3"/>
      <c r="T106" s="3">
        <f>--3521.68</f>
        <v>3521.68</v>
      </c>
      <c r="U106" s="3"/>
      <c r="V106" s="20">
        <f>IF(T$12=0,0,T106/T$12)</f>
        <v>6.7936910390712082E-3</v>
      </c>
      <c r="W106" s="3"/>
      <c r="X106" s="3">
        <f>+P106-T106</f>
        <v>-3521.68</v>
      </c>
      <c r="Y106" s="3"/>
      <c r="Z106" s="20">
        <f>IF(T106=0,0,X106/T106)</f>
        <v>-1</v>
      </c>
    </row>
    <row r="107" spans="1:26" ht="15" customHeight="1" x14ac:dyDescent="0.25">
      <c r="A107" s="10"/>
      <c r="B107" s="11"/>
      <c r="C107" s="11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O107" s="11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s="62" customFormat="1" ht="15" customHeight="1" x14ac:dyDescent="0.25">
      <c r="A108" s="11"/>
      <c r="B108" s="27" t="s">
        <v>291</v>
      </c>
      <c r="C108" s="27"/>
      <c r="D108" s="22">
        <f>+D24-D26+D103</f>
        <v>-146708.36999999997</v>
      </c>
      <c r="E108" s="15"/>
      <c r="F108" s="23">
        <f>IF(D$12=0,0,D108/D$12)</f>
        <v>-1.2333810544142223</v>
      </c>
      <c r="G108" s="15"/>
      <c r="H108" s="22">
        <f>+H24-H26+H103</f>
        <v>-62136.580000000031</v>
      </c>
      <c r="I108" s="15"/>
      <c r="J108" s="23">
        <f>IF(H$12=0,0,H108/H$12)</f>
        <v>-1.0061830061655179</v>
      </c>
      <c r="K108" s="16"/>
      <c r="L108" s="22">
        <f>+D108-H108</f>
        <v>-84571.789999999935</v>
      </c>
      <c r="M108" s="16"/>
      <c r="N108" s="23">
        <f>IF(H108=0,0,L108/H108)</f>
        <v>1.3610628393130084</v>
      </c>
      <c r="O108" s="28"/>
      <c r="P108" s="22">
        <f>+P24-P26+P103</f>
        <v>-991837.91</v>
      </c>
      <c r="Q108" s="15"/>
      <c r="R108" s="23">
        <f>IF(P$12=0,0,P108/P$12)</f>
        <v>-0.65707230042428566</v>
      </c>
      <c r="S108" s="15"/>
      <c r="T108" s="22">
        <f>+T24-T26+T103</f>
        <v>-710632.8600000001</v>
      </c>
      <c r="U108" s="15"/>
      <c r="V108" s="23">
        <f>IF(T$12=0,0,T108/T$12)</f>
        <v>-1.3708855128948527</v>
      </c>
      <c r="W108" s="16"/>
      <c r="X108" s="22">
        <f>+P108-T108</f>
        <v>-281205.04999999993</v>
      </c>
      <c r="Y108" s="16"/>
      <c r="Z108" s="23">
        <f>IF(T108=0,0,X108/T108)</f>
        <v>0.39571073310626231</v>
      </c>
    </row>
    <row r="109" spans="1:26" ht="15" customHeight="1" x14ac:dyDescent="0.25">
      <c r="A109" s="10"/>
      <c r="B109" s="11"/>
      <c r="C109" s="10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25">
      <c r="A110" s="48"/>
      <c r="B110" s="11" t="s">
        <v>292</v>
      </c>
      <c r="C110" s="11"/>
      <c r="D110" s="5">
        <v>12178.97</v>
      </c>
      <c r="E110" s="5"/>
      <c r="F110" s="13">
        <f>IF(D$12=0,0,D110/D$12)</f>
        <v>0.1023889152355737</v>
      </c>
      <c r="G110" s="5"/>
      <c r="H110" s="5">
        <v>15245.01</v>
      </c>
      <c r="I110" s="5"/>
      <c r="J110" s="13">
        <f>IF(H$12=0,0,H110/H$12)</f>
        <v>0.24686376351616673</v>
      </c>
      <c r="K110" s="5"/>
      <c r="L110" s="5">
        <f>+D110-H110</f>
        <v>-3066.0400000000009</v>
      </c>
      <c r="M110" s="5"/>
      <c r="N110" s="13">
        <f>IF(H110=0,0,L110/H110)</f>
        <v>-0.20111761159881172</v>
      </c>
      <c r="O110" s="11"/>
      <c r="P110" s="5">
        <v>169703.89</v>
      </c>
      <c r="Q110" s="5"/>
      <c r="R110" s="13">
        <f>IF(P$12=0,0,P110/P$12)</f>
        <v>0.11242535122825657</v>
      </c>
      <c r="S110" s="5"/>
      <c r="T110" s="5">
        <v>110771.83</v>
      </c>
      <c r="U110" s="5"/>
      <c r="V110" s="13">
        <f>IF(T$12=0,0,T110/T$12)</f>
        <v>0.21369050818147001</v>
      </c>
      <c r="W110" s="5"/>
      <c r="X110" s="5">
        <f>+P110-T110</f>
        <v>58932.060000000012</v>
      </c>
      <c r="Y110" s="5"/>
      <c r="Z110" s="13">
        <f>IF(T110=0,0,X110/T110)</f>
        <v>0.53201305783248332</v>
      </c>
    </row>
    <row r="111" spans="1:26" ht="15" customHeight="1" x14ac:dyDescent="0.25">
      <c r="A111" s="10"/>
      <c r="B111" s="11"/>
      <c r="C111" s="11"/>
      <c r="D111" s="4"/>
      <c r="E111" s="4"/>
      <c r="F111" s="9"/>
      <c r="G111" s="4"/>
      <c r="H111" s="4"/>
      <c r="I111" s="4"/>
      <c r="J111" s="9"/>
      <c r="K111" s="4"/>
      <c r="L111" s="4"/>
      <c r="M111" s="4"/>
      <c r="N111" s="9"/>
      <c r="O111" s="11"/>
      <c r="P111" s="4"/>
      <c r="Q111" s="4"/>
      <c r="R111" s="9"/>
      <c r="S111" s="4"/>
      <c r="T111" s="4"/>
      <c r="U111" s="4"/>
      <c r="V111" s="9"/>
      <c r="W111" s="4"/>
      <c r="X111" s="4"/>
      <c r="Y111" s="4"/>
      <c r="Z111" s="9"/>
    </row>
    <row r="112" spans="1:26" s="62" customFormat="1" ht="15" customHeight="1" x14ac:dyDescent="0.25">
      <c r="A112" s="11"/>
      <c r="B112" s="27" t="s">
        <v>293</v>
      </c>
      <c r="C112" s="27"/>
      <c r="D112" s="35">
        <f>+D108-D110</f>
        <v>-158887.33999999997</v>
      </c>
      <c r="E112" s="15"/>
      <c r="F112" s="30">
        <f>IF(D$12=0,0,D112/D$12)</f>
        <v>-1.335769969649796</v>
      </c>
      <c r="G112" s="15"/>
      <c r="H112" s="35">
        <f>+H108-H110</f>
        <v>-77381.590000000026</v>
      </c>
      <c r="I112" s="15"/>
      <c r="J112" s="30">
        <f>IF(H$12=0,0,H112/H$12)</f>
        <v>-1.2530467696816847</v>
      </c>
      <c r="K112" s="16"/>
      <c r="L112" s="35">
        <f>D112-H112</f>
        <v>-81505.749999999942</v>
      </c>
      <c r="M112" s="16"/>
      <c r="N112" s="30">
        <f>IF(H112=0,0,L112/H112)</f>
        <v>1.0532963977607583</v>
      </c>
      <c r="O112" s="28"/>
      <c r="P112" s="35">
        <f>+P108-P110</f>
        <v>-1161541.8</v>
      </c>
      <c r="Q112" s="15"/>
      <c r="R112" s="30">
        <f>IF(P$12=0,0,P112/P$12)</f>
        <v>-0.76949765165254225</v>
      </c>
      <c r="S112" s="15"/>
      <c r="T112" s="35">
        <f>+T108-T110</f>
        <v>-821404.69000000006</v>
      </c>
      <c r="U112" s="15"/>
      <c r="V112" s="30">
        <f>IF(T$12=0,0,T112/T$12)</f>
        <v>-1.5845760210763227</v>
      </c>
      <c r="W112" s="16"/>
      <c r="X112" s="35">
        <f>P112-T112</f>
        <v>-340137.11</v>
      </c>
      <c r="Y112" s="16"/>
      <c r="Z112" s="30">
        <f>IF(T112=0,0,X112/T112)</f>
        <v>0.4140919989146884</v>
      </c>
    </row>
    <row r="113" spans="1:26" ht="15" customHeight="1" x14ac:dyDescent="0.25">
      <c r="A113" s="10"/>
      <c r="B113" s="10"/>
      <c r="C113" s="10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ht="15" customHeight="1" x14ac:dyDescent="0.25">
      <c r="A114" s="10"/>
      <c r="B114" s="10"/>
      <c r="C114" s="10"/>
      <c r="D114" s="4"/>
      <c r="E114" s="4"/>
      <c r="F114" s="9"/>
      <c r="G114" s="4"/>
      <c r="H114" s="4"/>
      <c r="I114" s="4"/>
      <c r="J114" s="9"/>
      <c r="K114" s="4"/>
      <c r="L114" s="4"/>
      <c r="M114" s="4"/>
      <c r="N114" s="9"/>
      <c r="P114" s="4"/>
      <c r="Q114" s="4"/>
      <c r="R114" s="9"/>
      <c r="S114" s="4"/>
      <c r="T114" s="4"/>
      <c r="U114" s="4"/>
      <c r="V114" s="9"/>
      <c r="W114" s="4"/>
      <c r="X114" s="4"/>
      <c r="Y114" s="4"/>
      <c r="Z114" s="9"/>
    </row>
    <row r="115" spans="1:26" s="62" customFormat="1" ht="15" customHeight="1" x14ac:dyDescent="0.25">
      <c r="A115" s="11"/>
      <c r="B115" s="27" t="s">
        <v>296</v>
      </c>
      <c r="C115" s="27"/>
      <c r="D115" s="32">
        <f>SUM(D112:D114)</f>
        <v>-158887.33999999997</v>
      </c>
      <c r="E115" s="15"/>
      <c r="F115" s="34">
        <f>IF(D$12=0,0,D115/D$12)</f>
        <v>-1.335769969649796</v>
      </c>
      <c r="G115" s="15"/>
      <c r="H115" s="32">
        <f>SUM(H112:H114)</f>
        <v>-77381.590000000026</v>
      </c>
      <c r="I115" s="15"/>
      <c r="J115" s="34">
        <f>IF(H$12=0,0,H115/H$12)</f>
        <v>-1.2530467696816847</v>
      </c>
      <c r="K115" s="16"/>
      <c r="L115" s="32">
        <f>+D115-H115</f>
        <v>-81505.749999999942</v>
      </c>
      <c r="M115" s="16"/>
      <c r="N115" s="34">
        <f>IF(H115=0,0,L115/H115)</f>
        <v>1.0532963977607583</v>
      </c>
      <c r="O115" s="28"/>
      <c r="P115" s="32">
        <f>SUM(P112:P114)</f>
        <v>-1161541.8</v>
      </c>
      <c r="Q115" s="15"/>
      <c r="R115" s="34">
        <f>IF(P$12=0,0,P115/P$12)</f>
        <v>-0.76949765165254225</v>
      </c>
      <c r="S115" s="15"/>
      <c r="T115" s="32">
        <f>SUM(T112:T114)</f>
        <v>-821404.69000000006</v>
      </c>
      <c r="U115" s="15"/>
      <c r="V115" s="34">
        <f>IF(T$12=0,0,T115/T$12)</f>
        <v>-1.5845760210763227</v>
      </c>
      <c r="W115" s="16"/>
      <c r="X115" s="32">
        <f>+P115-T115</f>
        <v>-340137.11</v>
      </c>
      <c r="Y115" s="16"/>
      <c r="Z115" s="34">
        <f>IF(T115=0,0,X115/T115)</f>
        <v>0.4140919989146884</v>
      </c>
    </row>
    <row r="116" spans="1:26" ht="15" customHeight="1" x14ac:dyDescent="0.25">
      <c r="A116" s="10"/>
      <c r="C116" s="10"/>
      <c r="D116" s="18"/>
      <c r="E116" s="18"/>
      <c r="G116" s="18"/>
      <c r="H116" s="18"/>
      <c r="I116" s="18"/>
      <c r="J116" s="41"/>
      <c r="K116" s="18"/>
      <c r="L116" s="18"/>
      <c r="M116" s="18"/>
      <c r="P116" s="18"/>
      <c r="Q116" s="18"/>
      <c r="R116" s="41"/>
      <c r="S116" s="18"/>
      <c r="T116" s="18"/>
      <c r="U116" s="18"/>
      <c r="V116" s="41"/>
      <c r="W116" s="18"/>
      <c r="X116" s="18"/>
    </row>
    <row r="117" spans="1:26" ht="15" customHeight="1" x14ac:dyDescent="0.25">
      <c r="A117" s="10"/>
      <c r="B117" s="50">
        <v>44727.879636458332</v>
      </c>
      <c r="D117" s="18"/>
      <c r="E117" s="18"/>
      <c r="G117" s="18"/>
      <c r="H117" s="18"/>
      <c r="I117" s="18"/>
      <c r="J117" s="41"/>
      <c r="K117" s="18"/>
      <c r="L117" s="18"/>
      <c r="M117" s="18"/>
      <c r="P117" s="18"/>
      <c r="Q117" s="18"/>
      <c r="R117" s="41"/>
      <c r="S117" s="18"/>
      <c r="T117" s="18"/>
      <c r="U117" s="18"/>
      <c r="V117" s="41"/>
      <c r="W117" s="18"/>
      <c r="X117" s="18"/>
    </row>
    <row r="118" spans="1:26" ht="15" customHeight="1" x14ac:dyDescent="0.25">
      <c r="A118" s="10"/>
      <c r="B118" s="53" t="s">
        <v>297</v>
      </c>
      <c r="D118" s="18"/>
      <c r="E118" s="18"/>
      <c r="G118" s="18"/>
      <c r="H118" s="18"/>
      <c r="I118" s="18"/>
      <c r="J118" s="41"/>
      <c r="K118" s="18"/>
      <c r="L118" s="18"/>
      <c r="M118" s="18"/>
      <c r="P118" s="18"/>
      <c r="Q118" s="18"/>
      <c r="R118" s="41"/>
      <c r="S118" s="18"/>
      <c r="T118" s="18"/>
      <c r="U118" s="18"/>
      <c r="V118" s="41"/>
      <c r="W118" s="18"/>
      <c r="X118" s="18"/>
    </row>
    <row r="119" spans="1:26" ht="15" customHeight="1" x14ac:dyDescent="0.25">
      <c r="A119" s="10"/>
      <c r="B119" s="55"/>
      <c r="D119" s="18"/>
      <c r="E119" s="18"/>
      <c r="G119" s="18"/>
      <c r="H119" s="18"/>
      <c r="I119" s="18"/>
      <c r="J119" s="41"/>
      <c r="K119" s="18"/>
      <c r="L119" s="18"/>
      <c r="M119" s="18"/>
      <c r="P119" s="18"/>
      <c r="Q119" s="18"/>
      <c r="R119" s="41"/>
      <c r="S119" s="18"/>
      <c r="T119" s="18"/>
      <c r="U119" s="18"/>
      <c r="V119" s="41"/>
      <c r="W119" s="18"/>
      <c r="X119" s="18"/>
    </row>
    <row r="120" spans="1:26" ht="15" customHeight="1" x14ac:dyDescent="0.25">
      <c r="D120" s="18"/>
      <c r="E120" s="18"/>
      <c r="G120" s="18"/>
      <c r="H120" s="18"/>
      <c r="I120" s="18"/>
      <c r="J120" s="41"/>
      <c r="K120" s="18"/>
      <c r="L120" s="18"/>
      <c r="M120" s="18"/>
      <c r="P120" s="18"/>
      <c r="Q120" s="18"/>
      <c r="R120" s="41"/>
      <c r="S120" s="18"/>
      <c r="T120" s="18"/>
      <c r="U120" s="18"/>
      <c r="V120" s="41"/>
      <c r="W120" s="18"/>
      <c r="X12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3194F-8472-2CDF-A51D-8EE042E32E57}">
  <sheetPr>
    <tabColor rgb="FF92D050"/>
    <outlinePr summaryBelow="0" summaryRight="0"/>
  </sheetPr>
  <dimension ref="A2:Z9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","405"," - ","Caffeine Lab")</f>
        <v>Department 405 - Caffeine Lab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72732.92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72732.92</v>
      </c>
      <c r="M12" s="5"/>
      <c r="N12" s="13">
        <f>IF(H12=0,0,L12/H12)</f>
        <v>0</v>
      </c>
      <c r="O12" s="11"/>
      <c r="P12" s="5">
        <f>SUM(OSRRefP13x_0)</f>
        <v>673570.45000000007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673570.45000000007</v>
      </c>
      <c r="Y12" s="5"/>
      <c r="Z12" s="13">
        <f>IF(T12=0,0,X12/T12)</f>
        <v>0</v>
      </c>
    </row>
    <row r="13" spans="1:26" s="69" customFormat="1" ht="15" hidden="1" customHeight="1" outlineLevel="1" x14ac:dyDescent="0.25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--7038.55</f>
        <v>7038.55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7038.55</v>
      </c>
      <c r="M13" s="3"/>
      <c r="N13" s="20">
        <f>IF(H13=0,0,L13/H13)</f>
        <v>0</v>
      </c>
      <c r="O13" s="12"/>
      <c r="P13" s="3">
        <f>--64401.93</f>
        <v>64401.93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64401.93</v>
      </c>
      <c r="Y13" s="3"/>
      <c r="Z13" s="20">
        <f>IF(T13=0,0,X13/T13)</f>
        <v>0</v>
      </c>
    </row>
    <row r="14" spans="1:26" s="69" customFormat="1" ht="15" hidden="1" customHeight="1" outlineLevel="1" x14ac:dyDescent="0.25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--65694.37</f>
        <v>65694.37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65694.37</v>
      </c>
      <c r="M14" s="3"/>
      <c r="N14" s="20">
        <f>IF(H14=0,0,L14/H14)</f>
        <v>0</v>
      </c>
      <c r="O14" s="12"/>
      <c r="P14" s="3">
        <f>--609168.52</f>
        <v>609168.52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609168.52</v>
      </c>
      <c r="Y14" s="3"/>
      <c r="Z14" s="20">
        <f>IF(T14=0,0,X14/T14)</f>
        <v>0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25">
      <c r="A16" s="11"/>
      <c r="B16" s="28" t="s">
        <v>287</v>
      </c>
      <c r="C16" s="11"/>
      <c r="D16" s="5">
        <f>SUM(OSRRefD16x_0)</f>
        <v>33769.75</v>
      </c>
      <c r="E16" s="5"/>
      <c r="F16" s="13">
        <f>IF(D$12=0,0,D16/D$12)</f>
        <v>0.46429800975954216</v>
      </c>
      <c r="G16" s="5"/>
      <c r="H16" s="5">
        <f>SUM(OSRRefH16x_0)</f>
        <v>0</v>
      </c>
      <c r="I16" s="5"/>
      <c r="J16" s="13">
        <f>IF(H$12=0,0,H16/H$12)</f>
        <v>0</v>
      </c>
      <c r="K16" s="5"/>
      <c r="L16" s="5">
        <f>+D16-H16</f>
        <v>33769.75</v>
      </c>
      <c r="M16" s="5"/>
      <c r="N16" s="13">
        <f>IF(H16=0,0,L16/H16)</f>
        <v>0</v>
      </c>
      <c r="O16" s="11"/>
      <c r="P16" s="5">
        <f>SUM(OSRRefP16x_0)</f>
        <v>295056.99</v>
      </c>
      <c r="Q16" s="5"/>
      <c r="R16" s="13">
        <f>IF(P$12=0,0,P16/P$12)</f>
        <v>0.43804918995481462</v>
      </c>
      <c r="S16" s="5"/>
      <c r="T16" s="5">
        <f>SUM(OSRRefT16x_0)</f>
        <v>-2369.5500000000002</v>
      </c>
      <c r="U16" s="5"/>
      <c r="V16" s="13">
        <f>IF(T$12=0,0,T16/T$12)</f>
        <v>0</v>
      </c>
      <c r="W16" s="5"/>
      <c r="X16" s="5">
        <f>+P16-T16</f>
        <v>297426.53999999998</v>
      </c>
      <c r="Y16" s="5"/>
      <c r="Z16" s="13">
        <f>IF(T16=0,0,X16/T16)</f>
        <v>-125.5202633411407</v>
      </c>
    </row>
    <row r="17" spans="1:26" s="69" customFormat="1" ht="15" hidden="1" customHeight="1" outlineLevel="1" x14ac:dyDescent="0.25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24316.44</v>
      </c>
      <c r="E17" s="3"/>
      <c r="F17" s="20">
        <f>IF(D$12=0,0,D17/D$12)</f>
        <v>0.33432508965678814</v>
      </c>
      <c r="G17" s="3"/>
      <c r="H17" s="3"/>
      <c r="I17" s="3"/>
      <c r="J17" s="20">
        <f>IF(H$12=0,0,H17/H$12)</f>
        <v>0</v>
      </c>
      <c r="K17" s="3"/>
      <c r="L17" s="3">
        <f>+D17-H17</f>
        <v>24316.44</v>
      </c>
      <c r="M17" s="3"/>
      <c r="N17" s="20">
        <f>IF(H17=0,0,L17/H17)</f>
        <v>0</v>
      </c>
      <c r="O17" s="12"/>
      <c r="P17" s="3">
        <v>210496.34</v>
      </c>
      <c r="Q17" s="3"/>
      <c r="R17" s="20">
        <f>IF(P$12=0,0,P17/P$12)</f>
        <v>0.31250827586037955</v>
      </c>
      <c r="S17" s="3"/>
      <c r="T17" s="3">
        <v>-2369.5500000000002</v>
      </c>
      <c r="U17" s="3"/>
      <c r="V17" s="20">
        <f>IF(T$12=0,0,T17/T$12)</f>
        <v>0</v>
      </c>
      <c r="W17" s="3"/>
      <c r="X17" s="3">
        <f>+P17-T17</f>
        <v>212865.88999999998</v>
      </c>
      <c r="Y17" s="3"/>
      <c r="Z17" s="20">
        <f>IF(T17=0,0,X17/T17)</f>
        <v>-89.833888291025715</v>
      </c>
    </row>
    <row r="18" spans="1:26" s="69" customFormat="1" ht="15" hidden="1" customHeight="1" outlineLevel="1" x14ac:dyDescent="0.25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9453.31</v>
      </c>
      <c r="E18" s="3"/>
      <c r="F18" s="20">
        <f>IF(D$12=0,0,D18/D$12)</f>
        <v>0.12997292010275402</v>
      </c>
      <c r="G18" s="3"/>
      <c r="H18" s="3"/>
      <c r="I18" s="3"/>
      <c r="J18" s="20">
        <f>IF(H$12=0,0,H18/H$12)</f>
        <v>0</v>
      </c>
      <c r="K18" s="3"/>
      <c r="L18" s="3">
        <f>+D18-H18</f>
        <v>9453.31</v>
      </c>
      <c r="M18" s="3"/>
      <c r="N18" s="20">
        <f>IF(H18=0,0,L18/H18)</f>
        <v>0</v>
      </c>
      <c r="O18" s="12"/>
      <c r="P18" s="3">
        <v>84560.65</v>
      </c>
      <c r="Q18" s="3"/>
      <c r="R18" s="20">
        <f>IF(P$12=0,0,P18/P$12)</f>
        <v>0.1255409140944351</v>
      </c>
      <c r="S18" s="3"/>
      <c r="T18" s="3"/>
      <c r="U18" s="3"/>
      <c r="V18" s="20">
        <f>IF(T$12=0,0,T18/T$12)</f>
        <v>0</v>
      </c>
      <c r="W18" s="3"/>
      <c r="X18" s="3">
        <f>+P18-T18</f>
        <v>84560.65</v>
      </c>
      <c r="Y18" s="3"/>
      <c r="Z18" s="20">
        <f>IF(T18=0,0,X18/T18)</f>
        <v>0</v>
      </c>
    </row>
    <row r="19" spans="1:26" ht="15" customHeight="1" x14ac:dyDescent="0.25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25">
      <c r="A20" s="11"/>
      <c r="B20" s="27" t="s">
        <v>288</v>
      </c>
      <c r="C20" s="27"/>
      <c r="D20" s="22">
        <f>D12-D16</f>
        <v>38963.17</v>
      </c>
      <c r="E20" s="15"/>
      <c r="F20" s="23">
        <f>IF(D$12=0,0,D20/D$12)</f>
        <v>0.53570199024045784</v>
      </c>
      <c r="G20" s="15"/>
      <c r="H20" s="22">
        <f>H12-H16</f>
        <v>0</v>
      </c>
      <c r="I20" s="15"/>
      <c r="J20" s="23">
        <f>IF(H$12=0,0,H20/H$12)</f>
        <v>0</v>
      </c>
      <c r="K20" s="16"/>
      <c r="L20" s="22">
        <f>+D20-H20</f>
        <v>38963.17</v>
      </c>
      <c r="M20" s="16"/>
      <c r="N20" s="23">
        <f>IF(H20=0,0,L20/H20)</f>
        <v>0</v>
      </c>
      <c r="O20" s="28"/>
      <c r="P20" s="22">
        <f>P12-P16</f>
        <v>378513.46000000008</v>
      </c>
      <c r="Q20" s="15"/>
      <c r="R20" s="23">
        <f>IF(P$12=0,0,P20/P$12)</f>
        <v>0.56195081004518543</v>
      </c>
      <c r="S20" s="15"/>
      <c r="T20" s="22">
        <f>T12-T16</f>
        <v>2369.5500000000002</v>
      </c>
      <c r="U20" s="15"/>
      <c r="V20" s="23">
        <f>IF(T$12=0,0,T20/T$12)</f>
        <v>0</v>
      </c>
      <c r="W20" s="16"/>
      <c r="X20" s="22">
        <f>+P20-T20</f>
        <v>376143.91000000009</v>
      </c>
      <c r="Y20" s="16"/>
      <c r="Z20" s="23">
        <f>IF(T20=0,0,X20/T20)</f>
        <v>158.74065117849383</v>
      </c>
    </row>
    <row r="21" spans="1:26" ht="15" customHeight="1" x14ac:dyDescent="0.25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25">
      <c r="A22" s="11"/>
      <c r="B22" s="28" t="s">
        <v>289</v>
      </c>
      <c r="C22" s="11"/>
      <c r="D22" s="21" cm="1">
        <f t="array" ref="D22">SUM(OSRRefD22x_0)</f>
        <v>39969.349999999991</v>
      </c>
      <c r="E22" s="21"/>
      <c r="F22" s="31">
        <f t="shared" ref="F22:F53" si="0">IF(D$12=0,0,D22/D$12)</f>
        <v>0.54953589103806078</v>
      </c>
      <c r="G22" s="21"/>
      <c r="H22" s="21" cm="1">
        <f t="array" ref="H22">SUM(OSRRefH22x_0)</f>
        <v>7546.01</v>
      </c>
      <c r="I22" s="21"/>
      <c r="J22" s="31">
        <f t="shared" ref="J22:J53" si="1">IF(H$12=0,0,H22/H$12)</f>
        <v>0</v>
      </c>
      <c r="K22" s="5"/>
      <c r="L22" s="21">
        <f t="shared" ref="L22:L53" si="2">+D22-H22</f>
        <v>32423.339999999989</v>
      </c>
      <c r="M22" s="5"/>
      <c r="N22" s="31">
        <f t="shared" ref="N22:N53" si="3">IF(H22=0,0,L22/H22)</f>
        <v>4.296752853494759</v>
      </c>
      <c r="O22" s="11"/>
      <c r="P22" s="21" cm="1">
        <f t="array" ref="P22">SUM(OSRRefP22x_0)</f>
        <v>411249.7900000001</v>
      </c>
      <c r="Q22" s="21"/>
      <c r="R22" s="31">
        <f t="shared" ref="R22:R53" si="4">IF(P$12=0,0,P22/P$12)</f>
        <v>0.61055200684649991</v>
      </c>
      <c r="S22" s="21"/>
      <c r="T22" s="21" cm="1">
        <f t="array" ref="T22">SUM(OSRRefT22x_0)</f>
        <v>81930.439999999988</v>
      </c>
      <c r="U22" s="21"/>
      <c r="V22" s="31">
        <f t="shared" ref="V22:V53" si="5">IF(T$12=0,0,T22/T$12)</f>
        <v>0</v>
      </c>
      <c r="W22" s="5"/>
      <c r="X22" s="21">
        <f t="shared" ref="X22:X53" si="6">+P22-T22</f>
        <v>329319.35000000009</v>
      </c>
      <c r="Y22" s="5"/>
      <c r="Z22" s="31">
        <f t="shared" ref="Z22:Z53" si="7">IF(T22=0,0,X22/T22)</f>
        <v>4.0194993460306101</v>
      </c>
    </row>
    <row r="23" spans="1:26" s="68" customFormat="1" ht="15" customHeight="1" outlineLevel="1" collapsed="1" x14ac:dyDescent="0.25">
      <c r="A23" s="26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5953.1699999999992</v>
      </c>
      <c r="E23" s="2"/>
      <c r="F23" s="6">
        <f t="shared" si="0"/>
        <v>8.1849731868320411E-2</v>
      </c>
      <c r="G23" s="2"/>
      <c r="H23" s="2">
        <f>SUM(OSRRefH22_0x_0)</f>
        <v>0</v>
      </c>
      <c r="I23" s="2"/>
      <c r="J23" s="6">
        <f t="shared" si="1"/>
        <v>0</v>
      </c>
      <c r="K23" s="2"/>
      <c r="L23" s="2">
        <f t="shared" si="2"/>
        <v>5953.1699999999992</v>
      </c>
      <c r="M23" s="2"/>
      <c r="N23" s="6">
        <f t="shared" si="3"/>
        <v>0</v>
      </c>
      <c r="O23" s="14"/>
      <c r="P23" s="2">
        <f>SUM(OSRRefP22_0x_0)</f>
        <v>53144.770000000004</v>
      </c>
      <c r="Q23" s="2"/>
      <c r="R23" s="6">
        <f t="shared" si="4"/>
        <v>7.8900091297057343E-2</v>
      </c>
      <c r="S23" s="2"/>
      <c r="T23" s="2">
        <f>SUM(OSRRefT22_0x_0)</f>
        <v>0.83</v>
      </c>
      <c r="U23" s="2"/>
      <c r="V23" s="6">
        <f t="shared" si="5"/>
        <v>0</v>
      </c>
      <c r="W23" s="2"/>
      <c r="X23" s="2">
        <f t="shared" si="6"/>
        <v>53143.94</v>
      </c>
      <c r="Y23" s="2"/>
      <c r="Z23" s="6">
        <f t="shared" si="7"/>
        <v>64028.843373493983</v>
      </c>
    </row>
    <row r="24" spans="1:26" s="69" customFormat="1" ht="15" hidden="1" customHeight="1" outlineLevel="2" x14ac:dyDescent="0.25">
      <c r="A24" s="25"/>
      <c r="B24" s="12" t="str">
        <f>CONCATENATE("          ","6111"," - ","F.I.C.A.")</f>
        <v xml:space="preserve">          6111 - F.I.C.A.</v>
      </c>
      <c r="C24" s="12"/>
      <c r="D24" s="7">
        <v>872.51</v>
      </c>
      <c r="E24" s="3"/>
      <c r="F24" s="8">
        <f t="shared" si="0"/>
        <v>1.1996081004310016E-2</v>
      </c>
      <c r="G24" s="3"/>
      <c r="H24" s="7"/>
      <c r="I24" s="3"/>
      <c r="J24" s="8">
        <f t="shared" si="1"/>
        <v>0</v>
      </c>
      <c r="K24" s="3"/>
      <c r="L24" s="7">
        <f t="shared" si="2"/>
        <v>872.51</v>
      </c>
      <c r="M24" s="3"/>
      <c r="N24" s="8">
        <f t="shared" si="3"/>
        <v>0</v>
      </c>
      <c r="O24" s="12"/>
      <c r="P24" s="7">
        <v>9390.69</v>
      </c>
      <c r="Q24" s="3"/>
      <c r="R24" s="8">
        <f t="shared" si="4"/>
        <v>1.3941659703153544E-2</v>
      </c>
      <c r="S24" s="3"/>
      <c r="T24" s="7">
        <v>0.83</v>
      </c>
      <c r="U24" s="3"/>
      <c r="V24" s="8">
        <f t="shared" si="5"/>
        <v>0</v>
      </c>
      <c r="W24" s="3"/>
      <c r="X24" s="7">
        <f t="shared" si="6"/>
        <v>9389.86</v>
      </c>
      <c r="Y24" s="3"/>
      <c r="Z24" s="8">
        <f t="shared" si="7"/>
        <v>11313.084337349399</v>
      </c>
    </row>
    <row r="25" spans="1:26" s="69" customFormat="1" ht="15" hidden="1" customHeight="1" outlineLevel="2" x14ac:dyDescent="0.25">
      <c r="A25" s="25"/>
      <c r="B25" s="12" t="str">
        <f>CONCATENATE("          ","6112"," - ","COMPENSATION INSURANCE")</f>
        <v xml:space="preserve">          6112 - COMPENSATION INSURANCE</v>
      </c>
      <c r="C25" s="12"/>
      <c r="D25" s="7">
        <v>1354.1</v>
      </c>
      <c r="E25" s="3"/>
      <c r="F25" s="8">
        <f t="shared" si="0"/>
        <v>1.8617429356610458E-2</v>
      </c>
      <c r="G25" s="3"/>
      <c r="H25" s="7"/>
      <c r="I25" s="3"/>
      <c r="J25" s="8">
        <f t="shared" si="1"/>
        <v>0</v>
      </c>
      <c r="K25" s="3"/>
      <c r="L25" s="7">
        <f t="shared" si="2"/>
        <v>1354.1</v>
      </c>
      <c r="M25" s="3"/>
      <c r="N25" s="8">
        <f t="shared" si="3"/>
        <v>0</v>
      </c>
      <c r="O25" s="12"/>
      <c r="P25" s="7">
        <v>8314.1</v>
      </c>
      <c r="Q25" s="3"/>
      <c r="R25" s="8">
        <f t="shared" si="4"/>
        <v>1.2343326522118064E-2</v>
      </c>
      <c r="S25" s="3"/>
      <c r="T25" s="7"/>
      <c r="U25" s="3"/>
      <c r="V25" s="8">
        <f t="shared" si="5"/>
        <v>0</v>
      </c>
      <c r="W25" s="3"/>
      <c r="X25" s="7">
        <f t="shared" si="6"/>
        <v>8314.1</v>
      </c>
      <c r="Y25" s="3"/>
      <c r="Z25" s="8">
        <f t="shared" si="7"/>
        <v>0</v>
      </c>
    </row>
    <row r="26" spans="1:26" s="69" customFormat="1" ht="15" hidden="1" customHeight="1" outlineLevel="2" x14ac:dyDescent="0.25">
      <c r="A26" s="25"/>
      <c r="B26" s="12" t="str">
        <f>CONCATENATE("          ","6113"," - ","GROUP INSURANCE")</f>
        <v xml:space="preserve">          6113 - GROUP INSURANCE</v>
      </c>
      <c r="C26" s="12"/>
      <c r="D26" s="7">
        <v>2033.2</v>
      </c>
      <c r="E26" s="3"/>
      <c r="F26" s="8">
        <f t="shared" si="0"/>
        <v>2.7954329346326259E-2</v>
      </c>
      <c r="G26" s="3"/>
      <c r="H26" s="7"/>
      <c r="I26" s="3"/>
      <c r="J26" s="8">
        <f t="shared" si="1"/>
        <v>0</v>
      </c>
      <c r="K26" s="3"/>
      <c r="L26" s="7">
        <f t="shared" si="2"/>
        <v>2033.2</v>
      </c>
      <c r="M26" s="3"/>
      <c r="N26" s="8">
        <f t="shared" si="3"/>
        <v>0</v>
      </c>
      <c r="O26" s="12"/>
      <c r="P26" s="7">
        <v>17765.830000000002</v>
      </c>
      <c r="Q26" s="3"/>
      <c r="R26" s="8">
        <f t="shared" si="4"/>
        <v>2.6375607777924342E-2</v>
      </c>
      <c r="S26" s="3"/>
      <c r="T26" s="7"/>
      <c r="U26" s="3"/>
      <c r="V26" s="8">
        <f t="shared" si="5"/>
        <v>0</v>
      </c>
      <c r="W26" s="3"/>
      <c r="X26" s="7">
        <f t="shared" si="6"/>
        <v>17765.830000000002</v>
      </c>
      <c r="Y26" s="3"/>
      <c r="Z26" s="8">
        <f t="shared" si="7"/>
        <v>0</v>
      </c>
    </row>
    <row r="27" spans="1:26" s="69" customFormat="1" ht="15" hidden="1" customHeight="1" outlineLevel="2" x14ac:dyDescent="0.25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7">
        <v>97.8</v>
      </c>
      <c r="E27" s="3"/>
      <c r="F27" s="8">
        <f t="shared" si="0"/>
        <v>1.3446455882700709E-3</v>
      </c>
      <c r="G27" s="3"/>
      <c r="H27" s="7"/>
      <c r="I27" s="3"/>
      <c r="J27" s="8">
        <f t="shared" si="1"/>
        <v>0</v>
      </c>
      <c r="K27" s="3"/>
      <c r="L27" s="7">
        <f t="shared" si="2"/>
        <v>97.8</v>
      </c>
      <c r="M27" s="3"/>
      <c r="N27" s="8">
        <f t="shared" si="3"/>
        <v>0</v>
      </c>
      <c r="O27" s="12"/>
      <c r="P27" s="7">
        <v>600.47</v>
      </c>
      <c r="Q27" s="3"/>
      <c r="R27" s="8">
        <f t="shared" si="4"/>
        <v>8.914731933385735E-4</v>
      </c>
      <c r="S27" s="3"/>
      <c r="T27" s="7"/>
      <c r="U27" s="3"/>
      <c r="V27" s="8">
        <f t="shared" si="5"/>
        <v>0</v>
      </c>
      <c r="W27" s="3"/>
      <c r="X27" s="7">
        <f t="shared" si="6"/>
        <v>600.47</v>
      </c>
      <c r="Y27" s="3"/>
      <c r="Z27" s="8">
        <f t="shared" si="7"/>
        <v>0</v>
      </c>
    </row>
    <row r="28" spans="1:26" s="69" customFormat="1" ht="15" hidden="1" customHeight="1" outlineLevel="2" x14ac:dyDescent="0.25">
      <c r="A28" s="25"/>
      <c r="B28" s="12" t="str">
        <f>CONCATENATE("          ","6115"," - ","P.E.R.S.")</f>
        <v xml:space="preserve">          6115 - P.E.R.S.</v>
      </c>
      <c r="C28" s="12"/>
      <c r="D28" s="7">
        <v>372.94</v>
      </c>
      <c r="E28" s="3"/>
      <c r="F28" s="8">
        <f t="shared" si="0"/>
        <v>5.1275268475402883E-3</v>
      </c>
      <c r="G28" s="3"/>
      <c r="H28" s="7"/>
      <c r="I28" s="3"/>
      <c r="J28" s="8">
        <f t="shared" si="1"/>
        <v>0</v>
      </c>
      <c r="K28" s="3"/>
      <c r="L28" s="7">
        <f t="shared" si="2"/>
        <v>372.94</v>
      </c>
      <c r="M28" s="3"/>
      <c r="N28" s="8">
        <f t="shared" si="3"/>
        <v>0</v>
      </c>
      <c r="O28" s="12"/>
      <c r="P28" s="7">
        <v>4582.46</v>
      </c>
      <c r="Q28" s="3"/>
      <c r="R28" s="8">
        <f t="shared" si="4"/>
        <v>6.8032378795714679E-3</v>
      </c>
      <c r="S28" s="3"/>
      <c r="T28" s="7"/>
      <c r="U28" s="3"/>
      <c r="V28" s="8">
        <f t="shared" si="5"/>
        <v>0</v>
      </c>
      <c r="W28" s="3"/>
      <c r="X28" s="7">
        <f t="shared" si="6"/>
        <v>4582.46</v>
      </c>
      <c r="Y28" s="3"/>
      <c r="Z28" s="8">
        <f t="shared" si="7"/>
        <v>0</v>
      </c>
    </row>
    <row r="29" spans="1:26" s="69" customFormat="1" ht="15" hidden="1" customHeight="1" outlineLevel="2" x14ac:dyDescent="0.25">
      <c r="A29" s="25"/>
      <c r="B29" s="12" t="str">
        <f>CONCATENATE("          ","6118"," - ","VACATION")</f>
        <v xml:space="preserve">          6118 - VACATION</v>
      </c>
      <c r="C29" s="12"/>
      <c r="D29" s="7">
        <v>339.74</v>
      </c>
      <c r="E29" s="3"/>
      <c r="F29" s="8">
        <f t="shared" si="0"/>
        <v>4.671062292013025E-3</v>
      </c>
      <c r="G29" s="3"/>
      <c r="H29" s="7"/>
      <c r="I29" s="3"/>
      <c r="J29" s="8">
        <f t="shared" si="1"/>
        <v>0</v>
      </c>
      <c r="K29" s="3"/>
      <c r="L29" s="7">
        <f t="shared" si="2"/>
        <v>339.74</v>
      </c>
      <c r="M29" s="3"/>
      <c r="N29" s="8">
        <f t="shared" si="3"/>
        <v>0</v>
      </c>
      <c r="O29" s="12"/>
      <c r="P29" s="7">
        <v>3802.2</v>
      </c>
      <c r="Q29" s="3"/>
      <c r="R29" s="8">
        <f t="shared" si="4"/>
        <v>5.6448438318515894E-3</v>
      </c>
      <c r="S29" s="3"/>
      <c r="T29" s="7"/>
      <c r="U29" s="3"/>
      <c r="V29" s="8">
        <f t="shared" si="5"/>
        <v>0</v>
      </c>
      <c r="W29" s="3"/>
      <c r="X29" s="7">
        <f t="shared" si="6"/>
        <v>3802.2</v>
      </c>
      <c r="Y29" s="3"/>
      <c r="Z29" s="8">
        <f t="shared" si="7"/>
        <v>0</v>
      </c>
    </row>
    <row r="30" spans="1:26" s="69" customFormat="1" ht="15" hidden="1" customHeight="1" outlineLevel="2" x14ac:dyDescent="0.25">
      <c r="A30" s="25"/>
      <c r="B30" s="12" t="str">
        <f>CONCATENATE("          ","6119"," - ","SICK LEAVE")</f>
        <v xml:space="preserve">          6119 - SICK LEAVE</v>
      </c>
      <c r="C30" s="12"/>
      <c r="D30" s="7">
        <v>407.04</v>
      </c>
      <c r="E30" s="3"/>
      <c r="F30" s="8">
        <f t="shared" si="0"/>
        <v>5.5963654422234114E-3</v>
      </c>
      <c r="G30" s="3"/>
      <c r="H30" s="7"/>
      <c r="I30" s="3"/>
      <c r="J30" s="8">
        <f t="shared" si="1"/>
        <v>0</v>
      </c>
      <c r="K30" s="3"/>
      <c r="L30" s="7">
        <f t="shared" si="2"/>
        <v>407.04</v>
      </c>
      <c r="M30" s="3"/>
      <c r="N30" s="8">
        <f t="shared" si="3"/>
        <v>0</v>
      </c>
      <c r="O30" s="12"/>
      <c r="P30" s="7">
        <v>4464.93</v>
      </c>
      <c r="Q30" s="3"/>
      <c r="R30" s="8">
        <f t="shared" si="4"/>
        <v>6.6287498211953918E-3</v>
      </c>
      <c r="S30" s="3"/>
      <c r="T30" s="7"/>
      <c r="U30" s="3"/>
      <c r="V30" s="8">
        <f t="shared" si="5"/>
        <v>0</v>
      </c>
      <c r="W30" s="3"/>
      <c r="X30" s="7">
        <f t="shared" si="6"/>
        <v>4464.93</v>
      </c>
      <c r="Y30" s="3"/>
      <c r="Z30" s="8">
        <f t="shared" si="7"/>
        <v>0</v>
      </c>
    </row>
    <row r="31" spans="1:26" s="69" customFormat="1" ht="15" hidden="1" customHeight="1" outlineLevel="2" x14ac:dyDescent="0.25">
      <c r="A31" s="25"/>
      <c r="B31" s="12" t="str">
        <f>CONCATENATE("          ","6156"," - ","EMPLOYEE MEALS")</f>
        <v xml:space="preserve">          6156 - EMPLOYEE MEALS</v>
      </c>
      <c r="C31" s="12"/>
      <c r="D31" s="7">
        <v>475.84</v>
      </c>
      <c r="E31" s="3"/>
      <c r="F31" s="8">
        <f t="shared" si="0"/>
        <v>6.5422919910268964E-3</v>
      </c>
      <c r="G31" s="3"/>
      <c r="H31" s="7"/>
      <c r="I31" s="3"/>
      <c r="J31" s="8">
        <f t="shared" si="1"/>
        <v>0</v>
      </c>
      <c r="K31" s="3"/>
      <c r="L31" s="7">
        <f t="shared" si="2"/>
        <v>475.84</v>
      </c>
      <c r="M31" s="3"/>
      <c r="N31" s="8">
        <f t="shared" si="3"/>
        <v>0</v>
      </c>
      <c r="O31" s="12"/>
      <c r="P31" s="7">
        <v>4224.09</v>
      </c>
      <c r="Q31" s="3"/>
      <c r="R31" s="8">
        <f t="shared" si="4"/>
        <v>6.2711925679043668E-3</v>
      </c>
      <c r="S31" s="3"/>
      <c r="T31" s="7"/>
      <c r="U31" s="3"/>
      <c r="V31" s="8">
        <f t="shared" si="5"/>
        <v>0</v>
      </c>
      <c r="W31" s="3"/>
      <c r="X31" s="7">
        <f t="shared" si="6"/>
        <v>4224.09</v>
      </c>
      <c r="Y31" s="3"/>
      <c r="Z31" s="8">
        <f t="shared" si="7"/>
        <v>0</v>
      </c>
    </row>
    <row r="32" spans="1:26" s="68" customFormat="1" ht="15" customHeight="1" outlineLevel="1" collapsed="1" x14ac:dyDescent="0.25">
      <c r="A32" s="26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21867.96</v>
      </c>
      <c r="E32" s="2"/>
      <c r="F32" s="6">
        <f t="shared" si="0"/>
        <v>0.30066110366530041</v>
      </c>
      <c r="G32" s="2"/>
      <c r="H32" s="2">
        <f>SUM(OSRRefH22_1x_0)</f>
        <v>0</v>
      </c>
      <c r="I32" s="2"/>
      <c r="J32" s="6">
        <f t="shared" si="1"/>
        <v>0</v>
      </c>
      <c r="K32" s="2"/>
      <c r="L32" s="2">
        <f t="shared" si="2"/>
        <v>21867.96</v>
      </c>
      <c r="M32" s="2"/>
      <c r="N32" s="6">
        <f t="shared" si="3"/>
        <v>0</v>
      </c>
      <c r="O32" s="14"/>
      <c r="P32" s="2">
        <f>SUM(OSRRefP22_1x_0)</f>
        <v>226276.33000000002</v>
      </c>
      <c r="Q32" s="2"/>
      <c r="R32" s="6">
        <f t="shared" si="4"/>
        <v>0.3359356545406646</v>
      </c>
      <c r="S32" s="2"/>
      <c r="T32" s="2">
        <f>SUM(OSRRefT22_1x_0)</f>
        <v>0</v>
      </c>
      <c r="U32" s="2"/>
      <c r="V32" s="6">
        <f t="shared" si="5"/>
        <v>0</v>
      </c>
      <c r="W32" s="2"/>
      <c r="X32" s="2">
        <f t="shared" si="6"/>
        <v>226276.33000000002</v>
      </c>
      <c r="Y32" s="2"/>
      <c r="Z32" s="6">
        <f t="shared" si="7"/>
        <v>0</v>
      </c>
    </row>
    <row r="33" spans="1:26" s="69" customFormat="1" ht="15" hidden="1" customHeight="1" outlineLevel="2" x14ac:dyDescent="0.25">
      <c r="A33" s="25"/>
      <c r="B33" s="12" t="str">
        <f>CONCATENATE("          ","6002"," - ","STAFF SALARIES")</f>
        <v xml:space="preserve">          6002 - STAFF SALARIES</v>
      </c>
      <c r="C33" s="12"/>
      <c r="D33" s="7">
        <v>4913.47</v>
      </c>
      <c r="E33" s="3"/>
      <c r="F33" s="8">
        <f t="shared" si="0"/>
        <v>6.7554966856823578E-2</v>
      </c>
      <c r="G33" s="3"/>
      <c r="H33" s="7"/>
      <c r="I33" s="3"/>
      <c r="J33" s="8">
        <f t="shared" si="1"/>
        <v>0</v>
      </c>
      <c r="K33" s="3"/>
      <c r="L33" s="7">
        <f t="shared" si="2"/>
        <v>4913.47</v>
      </c>
      <c r="M33" s="3"/>
      <c r="N33" s="8">
        <f t="shared" si="3"/>
        <v>0</v>
      </c>
      <c r="O33" s="12"/>
      <c r="P33" s="7">
        <v>59567.360000000001</v>
      </c>
      <c r="Q33" s="3"/>
      <c r="R33" s="8">
        <f t="shared" si="4"/>
        <v>8.8435233463700788E-2</v>
      </c>
      <c r="S33" s="3"/>
      <c r="T33" s="7"/>
      <c r="U33" s="3"/>
      <c r="V33" s="8">
        <f t="shared" si="5"/>
        <v>0</v>
      </c>
      <c r="W33" s="3"/>
      <c r="X33" s="7">
        <f t="shared" si="6"/>
        <v>59567.360000000001</v>
      </c>
      <c r="Y33" s="3"/>
      <c r="Z33" s="8">
        <f t="shared" si="7"/>
        <v>0</v>
      </c>
    </row>
    <row r="34" spans="1:26" s="69" customFormat="1" ht="15" hidden="1" customHeight="1" outlineLevel="2" x14ac:dyDescent="0.25">
      <c r="A34" s="25"/>
      <c r="B34" s="12" t="str">
        <f>CONCATENATE("          ","6004"," - ","STAFF HOURLY")</f>
        <v xml:space="preserve">          6004 - STAFF HOURLY</v>
      </c>
      <c r="C34" s="12"/>
      <c r="D34" s="7">
        <v>2497.87</v>
      </c>
      <c r="E34" s="3"/>
      <c r="F34" s="8">
        <f t="shared" si="0"/>
        <v>3.4343045762496541E-2</v>
      </c>
      <c r="G34" s="3"/>
      <c r="H34" s="7"/>
      <c r="I34" s="3"/>
      <c r="J34" s="8">
        <f t="shared" si="1"/>
        <v>0</v>
      </c>
      <c r="K34" s="3"/>
      <c r="L34" s="7">
        <f t="shared" si="2"/>
        <v>2497.87</v>
      </c>
      <c r="M34" s="3"/>
      <c r="N34" s="8">
        <f t="shared" si="3"/>
        <v>0</v>
      </c>
      <c r="O34" s="12"/>
      <c r="P34" s="7">
        <v>26458.94</v>
      </c>
      <c r="Q34" s="3"/>
      <c r="R34" s="8">
        <f t="shared" si="4"/>
        <v>3.9281622286132051E-2</v>
      </c>
      <c r="S34" s="3"/>
      <c r="T34" s="7"/>
      <c r="U34" s="3"/>
      <c r="V34" s="8">
        <f t="shared" si="5"/>
        <v>0</v>
      </c>
      <c r="W34" s="3"/>
      <c r="X34" s="7">
        <f t="shared" si="6"/>
        <v>26458.94</v>
      </c>
      <c r="Y34" s="3"/>
      <c r="Z34" s="8">
        <f t="shared" si="7"/>
        <v>0</v>
      </c>
    </row>
    <row r="35" spans="1:26" s="69" customFormat="1" ht="15" hidden="1" customHeight="1" outlineLevel="2" x14ac:dyDescent="0.25">
      <c r="A35" s="25"/>
      <c r="B35" s="12" t="str">
        <f>CONCATENATE("          ","6005"," - ","TEMPORARY WAGES-HOURLY")</f>
        <v xml:space="preserve">          6005 - TEMPORARY WAGES-HOURLY</v>
      </c>
      <c r="C35" s="12"/>
      <c r="D35" s="7">
        <v>1382.76</v>
      </c>
      <c r="E35" s="3"/>
      <c r="F35" s="8">
        <f t="shared" si="0"/>
        <v>1.9011473759062609E-2</v>
      </c>
      <c r="G35" s="3"/>
      <c r="H35" s="7"/>
      <c r="I35" s="3"/>
      <c r="J35" s="8">
        <f t="shared" si="1"/>
        <v>0</v>
      </c>
      <c r="K35" s="3"/>
      <c r="L35" s="7">
        <f t="shared" si="2"/>
        <v>1382.76</v>
      </c>
      <c r="M35" s="3"/>
      <c r="N35" s="8">
        <f t="shared" si="3"/>
        <v>0</v>
      </c>
      <c r="O35" s="12"/>
      <c r="P35" s="7">
        <v>26631.23</v>
      </c>
      <c r="Q35" s="3"/>
      <c r="R35" s="8">
        <f t="shared" si="4"/>
        <v>3.9537408447772607E-2</v>
      </c>
      <c r="S35" s="3"/>
      <c r="T35" s="7"/>
      <c r="U35" s="3"/>
      <c r="V35" s="8">
        <f t="shared" si="5"/>
        <v>0</v>
      </c>
      <c r="W35" s="3"/>
      <c r="X35" s="7">
        <f t="shared" si="6"/>
        <v>26631.23</v>
      </c>
      <c r="Y35" s="3"/>
      <c r="Z35" s="8">
        <f t="shared" si="7"/>
        <v>0</v>
      </c>
    </row>
    <row r="36" spans="1:26" s="69" customFormat="1" ht="15" hidden="1" customHeight="1" outlineLevel="2" x14ac:dyDescent="0.25">
      <c r="A36" s="25"/>
      <c r="B36" s="12" t="str">
        <f>CONCATENATE("          ","6007"," - ","STUDENT HOURLY")</f>
        <v xml:space="preserve">          6007 - STUDENT HOURLY</v>
      </c>
      <c r="C36" s="12"/>
      <c r="D36" s="7">
        <v>13073.86</v>
      </c>
      <c r="E36" s="3"/>
      <c r="F36" s="8">
        <f t="shared" si="0"/>
        <v>0.17975161728691769</v>
      </c>
      <c r="G36" s="3"/>
      <c r="H36" s="7"/>
      <c r="I36" s="3"/>
      <c r="J36" s="8">
        <f t="shared" si="1"/>
        <v>0</v>
      </c>
      <c r="K36" s="3"/>
      <c r="L36" s="7">
        <f t="shared" si="2"/>
        <v>13073.86</v>
      </c>
      <c r="M36" s="3"/>
      <c r="N36" s="8">
        <f t="shared" si="3"/>
        <v>0</v>
      </c>
      <c r="O36" s="12"/>
      <c r="P36" s="7">
        <v>113618.8</v>
      </c>
      <c r="Q36" s="3"/>
      <c r="R36" s="8">
        <f t="shared" si="4"/>
        <v>0.16868139034305912</v>
      </c>
      <c r="S36" s="3"/>
      <c r="T36" s="7"/>
      <c r="U36" s="3"/>
      <c r="V36" s="8">
        <f t="shared" si="5"/>
        <v>0</v>
      </c>
      <c r="W36" s="3"/>
      <c r="X36" s="7">
        <f t="shared" si="6"/>
        <v>113618.8</v>
      </c>
      <c r="Y36" s="3"/>
      <c r="Z36" s="8">
        <f t="shared" si="7"/>
        <v>0</v>
      </c>
    </row>
    <row r="37" spans="1:26" s="68" customFormat="1" ht="15" customHeight="1" outlineLevel="1" collapsed="1" x14ac:dyDescent="0.25">
      <c r="A37" s="26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3.97</v>
      </c>
      <c r="E37" s="2"/>
      <c r="F37" s="6">
        <f t="shared" si="0"/>
        <v>5.4583261609736006E-5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3.97</v>
      </c>
      <c r="M37" s="2"/>
      <c r="N37" s="6">
        <f t="shared" si="3"/>
        <v>0</v>
      </c>
      <c r="O37" s="14"/>
      <c r="P37" s="2">
        <f>SUM(OSRRefP22_2x_0)</f>
        <v>312.85000000000002</v>
      </c>
      <c r="Q37" s="2"/>
      <c r="R37" s="6">
        <f t="shared" si="4"/>
        <v>4.6446514985923148E-4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312.85000000000002</v>
      </c>
      <c r="Y37" s="2"/>
      <c r="Z37" s="6">
        <f t="shared" si="7"/>
        <v>0</v>
      </c>
    </row>
    <row r="38" spans="1:26" s="69" customFormat="1" ht="15" hidden="1" customHeight="1" outlineLevel="2" x14ac:dyDescent="0.25">
      <c r="A38" s="25"/>
      <c r="B38" s="12" t="str">
        <f>CONCATENATE("          ","6362"," - ","ADVERTISING EXPENSE")</f>
        <v xml:space="preserve">          6362 - ADVERTISING EXPENSE</v>
      </c>
      <c r="C38" s="12"/>
      <c r="D38" s="7">
        <v>3.97</v>
      </c>
      <c r="E38" s="3"/>
      <c r="F38" s="8">
        <f t="shared" si="0"/>
        <v>5.4583261609736006E-5</v>
      </c>
      <c r="G38" s="3"/>
      <c r="H38" s="7"/>
      <c r="I38" s="3"/>
      <c r="J38" s="8">
        <f t="shared" si="1"/>
        <v>0</v>
      </c>
      <c r="K38" s="3"/>
      <c r="L38" s="7">
        <f t="shared" si="2"/>
        <v>3.97</v>
      </c>
      <c r="M38" s="3"/>
      <c r="N38" s="8">
        <f t="shared" si="3"/>
        <v>0</v>
      </c>
      <c r="O38" s="12"/>
      <c r="P38" s="7">
        <v>312.85000000000002</v>
      </c>
      <c r="Q38" s="3"/>
      <c r="R38" s="8">
        <f t="shared" si="4"/>
        <v>4.6446514985923148E-4</v>
      </c>
      <c r="S38" s="3"/>
      <c r="T38" s="7"/>
      <c r="U38" s="3"/>
      <c r="V38" s="8">
        <f t="shared" si="5"/>
        <v>0</v>
      </c>
      <c r="W38" s="3"/>
      <c r="X38" s="7">
        <f t="shared" si="6"/>
        <v>312.85000000000002</v>
      </c>
      <c r="Y38" s="3"/>
      <c r="Z38" s="8">
        <f t="shared" si="7"/>
        <v>0</v>
      </c>
    </row>
    <row r="39" spans="1:26" s="68" customFormat="1" ht="15" customHeight="1" outlineLevel="1" collapsed="1" x14ac:dyDescent="0.25">
      <c r="A39" s="26"/>
      <c r="B39" s="14" t="str">
        <f>CONCATENATE("     ","Bad Debts/Over/Short                              ")</f>
        <v xml:space="preserve">     Bad Debts/Over/Short                              </v>
      </c>
      <c r="C39" s="14"/>
      <c r="D39" s="2">
        <f>SUM(OSRRefD22_3x_0)</f>
        <v>5</v>
      </c>
      <c r="E39" s="2"/>
      <c r="F39" s="6">
        <f t="shared" si="0"/>
        <v>6.8744661976997487E-5</v>
      </c>
      <c r="G39" s="2"/>
      <c r="H39" s="2">
        <f>SUM(OSRRefH22_3x_0)</f>
        <v>0</v>
      </c>
      <c r="I39" s="2"/>
      <c r="J39" s="6">
        <f t="shared" si="1"/>
        <v>0</v>
      </c>
      <c r="K39" s="2"/>
      <c r="L39" s="2">
        <f t="shared" si="2"/>
        <v>5</v>
      </c>
      <c r="M39" s="2"/>
      <c r="N39" s="6">
        <f t="shared" si="3"/>
        <v>0</v>
      </c>
      <c r="O39" s="14"/>
      <c r="P39" s="2">
        <f>SUM(OSRRefP22_3x_0)</f>
        <v>-10.17</v>
      </c>
      <c r="Q39" s="2"/>
      <c r="R39" s="6">
        <f t="shared" si="4"/>
        <v>-1.5098643356459593E-5</v>
      </c>
      <c r="S39" s="2"/>
      <c r="T39" s="2">
        <f>SUM(OSRRefT22_3x_0)</f>
        <v>0</v>
      </c>
      <c r="U39" s="2"/>
      <c r="V39" s="6">
        <f t="shared" si="5"/>
        <v>0</v>
      </c>
      <c r="W39" s="2"/>
      <c r="X39" s="2">
        <f t="shared" si="6"/>
        <v>-10.17</v>
      </c>
      <c r="Y39" s="2"/>
      <c r="Z39" s="6">
        <f t="shared" si="7"/>
        <v>0</v>
      </c>
    </row>
    <row r="40" spans="1:26" s="69" customFormat="1" ht="15" hidden="1" customHeight="1" outlineLevel="2" x14ac:dyDescent="0.25">
      <c r="A40" s="25"/>
      <c r="B40" s="12" t="str">
        <f>CONCATENATE("          ","6272"," - ","CASH (OVER/SHORT)")</f>
        <v xml:space="preserve">          6272 - CASH (OVER/SHORT)</v>
      </c>
      <c r="C40" s="12"/>
      <c r="D40" s="7">
        <v>5</v>
      </c>
      <c r="E40" s="3"/>
      <c r="F40" s="8">
        <f t="shared" si="0"/>
        <v>6.8744661976997487E-5</v>
      </c>
      <c r="G40" s="3"/>
      <c r="H40" s="7"/>
      <c r="I40" s="3"/>
      <c r="J40" s="8">
        <f t="shared" si="1"/>
        <v>0</v>
      </c>
      <c r="K40" s="3"/>
      <c r="L40" s="7">
        <f t="shared" si="2"/>
        <v>5</v>
      </c>
      <c r="M40" s="3"/>
      <c r="N40" s="8">
        <f t="shared" si="3"/>
        <v>0</v>
      </c>
      <c r="O40" s="12"/>
      <c r="P40" s="7">
        <v>-10.17</v>
      </c>
      <c r="Q40" s="3"/>
      <c r="R40" s="8">
        <f t="shared" si="4"/>
        <v>-1.5098643356459593E-5</v>
      </c>
      <c r="S40" s="3"/>
      <c r="T40" s="7"/>
      <c r="U40" s="3"/>
      <c r="V40" s="8">
        <f t="shared" si="5"/>
        <v>0</v>
      </c>
      <c r="W40" s="3"/>
      <c r="X40" s="7">
        <f t="shared" si="6"/>
        <v>-10.17</v>
      </c>
      <c r="Y40" s="3"/>
      <c r="Z40" s="8">
        <f t="shared" si="7"/>
        <v>0</v>
      </c>
    </row>
    <row r="41" spans="1:26" s="68" customFormat="1" ht="15" customHeight="1" outlineLevel="1" collapsed="1" x14ac:dyDescent="0.25">
      <c r="A41" s="26"/>
      <c r="B41" s="14" t="str">
        <f>CONCATENATE("     ","Bank/card Fees                                    ")</f>
        <v xml:space="preserve">     Bank/card Fees                                    </v>
      </c>
      <c r="C41" s="14"/>
      <c r="D41" s="2">
        <f>SUM(OSRRefD22_4x_0)</f>
        <v>2675.9</v>
      </c>
      <c r="E41" s="2"/>
      <c r="F41" s="6">
        <f t="shared" si="0"/>
        <v>3.6790768196849517E-2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2675.9</v>
      </c>
      <c r="M41" s="2"/>
      <c r="N41" s="6">
        <f t="shared" si="3"/>
        <v>0</v>
      </c>
      <c r="O41" s="14"/>
      <c r="P41" s="2">
        <f>SUM(OSRRefP22_4x_0)</f>
        <v>23368.39</v>
      </c>
      <c r="Q41" s="2"/>
      <c r="R41" s="6">
        <f t="shared" si="4"/>
        <v>3.4693312332807945E-2</v>
      </c>
      <c r="S41" s="2"/>
      <c r="T41" s="2">
        <f>SUM(OSRRefT22_4x_0)</f>
        <v>0</v>
      </c>
      <c r="U41" s="2"/>
      <c r="V41" s="6">
        <f t="shared" si="5"/>
        <v>0</v>
      </c>
      <c r="W41" s="2"/>
      <c r="X41" s="2">
        <f t="shared" si="6"/>
        <v>23368.39</v>
      </c>
      <c r="Y41" s="2"/>
      <c r="Z41" s="6">
        <f t="shared" si="7"/>
        <v>0</v>
      </c>
    </row>
    <row r="42" spans="1:26" s="69" customFormat="1" ht="15" hidden="1" customHeight="1" outlineLevel="2" x14ac:dyDescent="0.25">
      <c r="A42" s="25"/>
      <c r="B42" s="12" t="str">
        <f>CONCATENATE("          ","6381"," - ","BANK/CREDIT CARD FEES")</f>
        <v xml:space="preserve">          6381 - BANK/CREDIT CARD FEES</v>
      </c>
      <c r="C42" s="12"/>
      <c r="D42" s="7">
        <v>2675.9</v>
      </c>
      <c r="E42" s="3"/>
      <c r="F42" s="8">
        <f t="shared" si="0"/>
        <v>3.6790768196849517E-2</v>
      </c>
      <c r="G42" s="3"/>
      <c r="H42" s="7"/>
      <c r="I42" s="3"/>
      <c r="J42" s="8">
        <f t="shared" si="1"/>
        <v>0</v>
      </c>
      <c r="K42" s="3"/>
      <c r="L42" s="7">
        <f t="shared" si="2"/>
        <v>2675.9</v>
      </c>
      <c r="M42" s="3"/>
      <c r="N42" s="8">
        <f t="shared" si="3"/>
        <v>0</v>
      </c>
      <c r="O42" s="12"/>
      <c r="P42" s="7">
        <v>23368.39</v>
      </c>
      <c r="Q42" s="3"/>
      <c r="R42" s="8">
        <f t="shared" si="4"/>
        <v>3.4693312332807945E-2</v>
      </c>
      <c r="S42" s="3"/>
      <c r="T42" s="7"/>
      <c r="U42" s="3"/>
      <c r="V42" s="8">
        <f t="shared" si="5"/>
        <v>0</v>
      </c>
      <c r="W42" s="3"/>
      <c r="X42" s="7">
        <f t="shared" si="6"/>
        <v>23368.39</v>
      </c>
      <c r="Y42" s="3"/>
      <c r="Z42" s="8">
        <f t="shared" si="7"/>
        <v>0</v>
      </c>
    </row>
    <row r="43" spans="1:26" s="68" customFormat="1" ht="15" customHeight="1" outlineLevel="1" collapsed="1" x14ac:dyDescent="0.25">
      <c r="A43" s="26"/>
      <c r="B43" s="14" t="str">
        <f>CONCATENATE("     ","Depreciation                                      ")</f>
        <v xml:space="preserve">     Depreciation                                      </v>
      </c>
      <c r="C43" s="14"/>
      <c r="D43" s="2">
        <f>SUM(OSRRefD22_5x_0)</f>
        <v>5231.5</v>
      </c>
      <c r="E43" s="2"/>
      <c r="F43" s="6">
        <f t="shared" si="0"/>
        <v>7.1927539826532466E-2</v>
      </c>
      <c r="G43" s="2"/>
      <c r="H43" s="2">
        <f>SUM(OSRRefH22_5x_0)</f>
        <v>5233.01</v>
      </c>
      <c r="I43" s="2"/>
      <c r="J43" s="6">
        <f t="shared" si="1"/>
        <v>0</v>
      </c>
      <c r="K43" s="2"/>
      <c r="L43" s="2">
        <f t="shared" si="2"/>
        <v>-1.5100000000002183</v>
      </c>
      <c r="M43" s="2"/>
      <c r="N43" s="6">
        <f t="shared" si="3"/>
        <v>-2.8855285963531852E-4</v>
      </c>
      <c r="O43" s="14"/>
      <c r="P43" s="2">
        <f>SUM(OSRRefP22_5x_0)</f>
        <v>52015.07</v>
      </c>
      <c r="Q43" s="2"/>
      <c r="R43" s="6">
        <f t="shared" si="4"/>
        <v>7.7222909645160348E-2</v>
      </c>
      <c r="S43" s="2"/>
      <c r="T43" s="2">
        <f>SUM(OSRRefT22_5x_0)</f>
        <v>57854.229999999996</v>
      </c>
      <c r="U43" s="2"/>
      <c r="V43" s="6">
        <f t="shared" si="5"/>
        <v>0</v>
      </c>
      <c r="W43" s="2"/>
      <c r="X43" s="2">
        <f t="shared" si="6"/>
        <v>-5839.1599999999962</v>
      </c>
      <c r="Y43" s="2"/>
      <c r="Z43" s="6">
        <f t="shared" si="7"/>
        <v>-0.10092883441712035</v>
      </c>
    </row>
    <row r="44" spans="1:26" s="69" customFormat="1" ht="15" hidden="1" customHeight="1" outlineLevel="2" x14ac:dyDescent="0.25">
      <c r="A44" s="25"/>
      <c r="B44" s="12" t="str">
        <f>CONCATENATE("          ","6321"," - ","BUILDING DEPRECIATION")</f>
        <v xml:space="preserve">          6321 - BUILDING DEPRECIATION</v>
      </c>
      <c r="C44" s="12"/>
      <c r="D44" s="7">
        <v>4626.5</v>
      </c>
      <c r="E44" s="3"/>
      <c r="F44" s="8">
        <f t="shared" si="0"/>
        <v>6.3609435727315769E-2</v>
      </c>
      <c r="G44" s="3"/>
      <c r="H44" s="7">
        <v>4626.5</v>
      </c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50891.5</v>
      </c>
      <c r="Q44" s="3"/>
      <c r="R44" s="8">
        <f t="shared" si="4"/>
        <v>7.5554828748796793E-2</v>
      </c>
      <c r="S44" s="3"/>
      <c r="T44" s="7">
        <v>50891.5</v>
      </c>
      <c r="U44" s="3"/>
      <c r="V44" s="8">
        <f t="shared" si="5"/>
        <v>0</v>
      </c>
      <c r="W44" s="3"/>
      <c r="X44" s="7">
        <f t="shared" si="6"/>
        <v>0</v>
      </c>
      <c r="Y44" s="3"/>
      <c r="Z44" s="8">
        <f t="shared" si="7"/>
        <v>0</v>
      </c>
    </row>
    <row r="45" spans="1:26" s="69" customFormat="1" ht="15" hidden="1" customHeight="1" outlineLevel="2" x14ac:dyDescent="0.25">
      <c r="A45" s="25"/>
      <c r="B45" s="12" t="str">
        <f>CONCATENATE("          ","6322"," - ","EQUIPMENT DEPRECIATION EXPENSE")</f>
        <v xml:space="preserve">          6322 - EQUIPMENT DEPRECIATION EXPENSE</v>
      </c>
      <c r="C45" s="12"/>
      <c r="D45" s="7">
        <v>605</v>
      </c>
      <c r="E45" s="3"/>
      <c r="F45" s="8">
        <f t="shared" si="0"/>
        <v>8.3181040992166954E-3</v>
      </c>
      <c r="G45" s="3"/>
      <c r="H45" s="7">
        <v>606.51</v>
      </c>
      <c r="I45" s="3"/>
      <c r="J45" s="8">
        <f t="shared" si="1"/>
        <v>0</v>
      </c>
      <c r="K45" s="3"/>
      <c r="L45" s="7">
        <f t="shared" si="2"/>
        <v>-1.5099999999999909</v>
      </c>
      <c r="M45" s="3"/>
      <c r="N45" s="8">
        <f t="shared" si="3"/>
        <v>-2.4896539216171061E-3</v>
      </c>
      <c r="O45" s="12"/>
      <c r="P45" s="7">
        <v>1123.57</v>
      </c>
      <c r="Q45" s="3"/>
      <c r="R45" s="8">
        <f t="shared" si="4"/>
        <v>1.6680808963635502E-3</v>
      </c>
      <c r="S45" s="3"/>
      <c r="T45" s="7">
        <v>6962.73</v>
      </c>
      <c r="U45" s="3"/>
      <c r="V45" s="8">
        <f t="shared" si="5"/>
        <v>0</v>
      </c>
      <c r="W45" s="3"/>
      <c r="X45" s="7">
        <f t="shared" si="6"/>
        <v>-5839.16</v>
      </c>
      <c r="Y45" s="3"/>
      <c r="Z45" s="8">
        <f t="shared" si="7"/>
        <v>-0.83863082440364634</v>
      </c>
    </row>
    <row r="46" spans="1:26" s="68" customFormat="1" ht="15" customHeight="1" outlineLevel="1" collapsed="1" x14ac:dyDescent="0.25">
      <c r="A46" s="26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SUM(OSRRefD22_6x_0)</f>
        <v>0</v>
      </c>
      <c r="E46" s="2"/>
      <c r="F46" s="6">
        <f t="shared" si="0"/>
        <v>0</v>
      </c>
      <c r="G46" s="2"/>
      <c r="H46" s="2">
        <f>SUM(OSRRefH22_6x_0)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246.92</v>
      </c>
      <c r="Q46" s="2"/>
      <c r="R46" s="6">
        <f t="shared" si="4"/>
        <v>3.6658377753952828E-4</v>
      </c>
      <c r="S46" s="2"/>
      <c r="T46" s="2">
        <f>SUM(OSRRefT22_6x_0)</f>
        <v>0</v>
      </c>
      <c r="U46" s="2"/>
      <c r="V46" s="6">
        <f t="shared" si="5"/>
        <v>0</v>
      </c>
      <c r="W46" s="2"/>
      <c r="X46" s="2">
        <f t="shared" si="6"/>
        <v>246.92</v>
      </c>
      <c r="Y46" s="2"/>
      <c r="Z46" s="6">
        <f t="shared" si="7"/>
        <v>0</v>
      </c>
    </row>
    <row r="47" spans="1:26" s="69" customFormat="1" ht="15" hidden="1" customHeight="1" outlineLevel="2" x14ac:dyDescent="0.25">
      <c r="A47" s="25"/>
      <c r="B47" s="12" t="str">
        <f>CONCATENATE("          ","6277"," - ","EMPLOYEE APPRECIATION")</f>
        <v xml:space="preserve">          6277 - EMPLOYEE APPRECIATION</v>
      </c>
      <c r="C47" s="12"/>
      <c r="D47" s="7"/>
      <c r="E47" s="3"/>
      <c r="F47" s="8">
        <f t="shared" si="0"/>
        <v>0</v>
      </c>
      <c r="G47" s="3"/>
      <c r="H47" s="7"/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>
        <v>246.92</v>
      </c>
      <c r="Q47" s="3"/>
      <c r="R47" s="8">
        <f t="shared" si="4"/>
        <v>3.6658377753952828E-4</v>
      </c>
      <c r="S47" s="3"/>
      <c r="T47" s="7"/>
      <c r="U47" s="3"/>
      <c r="V47" s="8">
        <f t="shared" si="5"/>
        <v>0</v>
      </c>
      <c r="W47" s="3"/>
      <c r="X47" s="7">
        <f t="shared" si="6"/>
        <v>246.92</v>
      </c>
      <c r="Y47" s="3"/>
      <c r="Z47" s="8">
        <f t="shared" si="7"/>
        <v>0</v>
      </c>
    </row>
    <row r="48" spans="1:26" s="68" customFormat="1" ht="15" customHeight="1" outlineLevel="1" collapsed="1" x14ac:dyDescent="0.25">
      <c r="A48" s="26"/>
      <c r="B48" s="14" t="str">
        <f>CONCATENATE("     ","Equipment Rental                                  ")</f>
        <v xml:space="preserve">     Equipment Rental      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SUM(OSRRefP22_7x_0)</f>
        <v>0</v>
      </c>
      <c r="Q48" s="2"/>
      <c r="R48" s="6">
        <f t="shared" si="4"/>
        <v>0</v>
      </c>
      <c r="S48" s="2"/>
      <c r="T48" s="2">
        <f>SUM(OSRRefT22_7x_0)</f>
        <v>96.3</v>
      </c>
      <c r="U48" s="2"/>
      <c r="V48" s="6">
        <f t="shared" si="5"/>
        <v>0</v>
      </c>
      <c r="W48" s="2"/>
      <c r="X48" s="2">
        <f t="shared" si="6"/>
        <v>-96.3</v>
      </c>
      <c r="Y48" s="2"/>
      <c r="Z48" s="6">
        <f t="shared" si="7"/>
        <v>-1</v>
      </c>
    </row>
    <row r="49" spans="1:26" s="69" customFormat="1" ht="15" hidden="1" customHeight="1" outlineLevel="2" x14ac:dyDescent="0.25">
      <c r="A49" s="25"/>
      <c r="B49" s="12" t="str">
        <f>CONCATENATE("          ","6351"," - ","EQUIPMENT RENTAL")</f>
        <v xml:space="preserve">          6351 - EQUIPMENT RENTAL</v>
      </c>
      <c r="C49" s="12"/>
      <c r="D49" s="7"/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0</v>
      </c>
      <c r="M49" s="3"/>
      <c r="N49" s="8">
        <f t="shared" si="3"/>
        <v>0</v>
      </c>
      <c r="O49" s="12"/>
      <c r="P49" s="7"/>
      <c r="Q49" s="3"/>
      <c r="R49" s="8">
        <f t="shared" si="4"/>
        <v>0</v>
      </c>
      <c r="S49" s="3"/>
      <c r="T49" s="7">
        <v>96.3</v>
      </c>
      <c r="U49" s="3"/>
      <c r="V49" s="8">
        <f t="shared" si="5"/>
        <v>0</v>
      </c>
      <c r="W49" s="3"/>
      <c r="X49" s="7">
        <f t="shared" si="6"/>
        <v>-96.3</v>
      </c>
      <c r="Y49" s="3"/>
      <c r="Z49" s="8">
        <f t="shared" si="7"/>
        <v>-1</v>
      </c>
    </row>
    <row r="50" spans="1:26" s="68" customFormat="1" ht="15" customHeight="1" outlineLevel="1" collapsed="1" x14ac:dyDescent="0.25">
      <c r="A50" s="26"/>
      <c r="B50" s="14" t="str">
        <f>CONCATENATE("     ","General                                           ")</f>
        <v xml:space="preserve">     General                                           </v>
      </c>
      <c r="C50" s="14"/>
      <c r="D50" s="2">
        <f>SUM(OSRRefD22_8x_0)</f>
        <v>41.35</v>
      </c>
      <c r="E50" s="2"/>
      <c r="F50" s="6">
        <f t="shared" si="0"/>
        <v>5.6851835454976927E-4</v>
      </c>
      <c r="G50" s="2"/>
      <c r="H50" s="2">
        <f>SUM(OSRRefH22_8x_0)</f>
        <v>0</v>
      </c>
      <c r="I50" s="2"/>
      <c r="J50" s="6">
        <f t="shared" si="1"/>
        <v>0</v>
      </c>
      <c r="K50" s="2"/>
      <c r="L50" s="2">
        <f t="shared" si="2"/>
        <v>41.35</v>
      </c>
      <c r="M50" s="2"/>
      <c r="N50" s="6">
        <f t="shared" si="3"/>
        <v>0</v>
      </c>
      <c r="O50" s="14"/>
      <c r="P50" s="2">
        <f>SUM(OSRRefP22_8x_0)</f>
        <v>1343.25</v>
      </c>
      <c r="Q50" s="2"/>
      <c r="R50" s="6">
        <f t="shared" si="4"/>
        <v>1.9942234698686677E-3</v>
      </c>
      <c r="S50" s="2"/>
      <c r="T50" s="2">
        <f>SUM(OSRRefT22_8x_0)</f>
        <v>0</v>
      </c>
      <c r="U50" s="2"/>
      <c r="V50" s="6">
        <f t="shared" si="5"/>
        <v>0</v>
      </c>
      <c r="W50" s="2"/>
      <c r="X50" s="2">
        <f t="shared" si="6"/>
        <v>1343.25</v>
      </c>
      <c r="Y50" s="2"/>
      <c r="Z50" s="6">
        <f t="shared" si="7"/>
        <v>0</v>
      </c>
    </row>
    <row r="51" spans="1:26" s="69" customFormat="1" ht="15" hidden="1" customHeight="1" outlineLevel="2" x14ac:dyDescent="0.25">
      <c r="A51" s="25"/>
      <c r="B51" s="12" t="str">
        <f>CONCATENATE("          ","6279"," - ","GENERAL EXPENSE")</f>
        <v xml:space="preserve">          6279 - GENERAL EXPENSE</v>
      </c>
      <c r="C51" s="12"/>
      <c r="D51" s="7">
        <v>41.35</v>
      </c>
      <c r="E51" s="3"/>
      <c r="F51" s="8">
        <f t="shared" si="0"/>
        <v>5.6851835454976927E-4</v>
      </c>
      <c r="G51" s="3"/>
      <c r="H51" s="7"/>
      <c r="I51" s="3"/>
      <c r="J51" s="8">
        <f t="shared" si="1"/>
        <v>0</v>
      </c>
      <c r="K51" s="3"/>
      <c r="L51" s="7">
        <f t="shared" si="2"/>
        <v>41.35</v>
      </c>
      <c r="M51" s="3"/>
      <c r="N51" s="8">
        <f t="shared" si="3"/>
        <v>0</v>
      </c>
      <c r="O51" s="12"/>
      <c r="P51" s="7">
        <v>1343.25</v>
      </c>
      <c r="Q51" s="3"/>
      <c r="R51" s="8">
        <f t="shared" si="4"/>
        <v>1.9942234698686677E-3</v>
      </c>
      <c r="S51" s="3"/>
      <c r="T51" s="7">
        <v>0</v>
      </c>
      <c r="U51" s="3"/>
      <c r="V51" s="8">
        <f t="shared" si="5"/>
        <v>0</v>
      </c>
      <c r="W51" s="3"/>
      <c r="X51" s="7">
        <f t="shared" si="6"/>
        <v>1343.25</v>
      </c>
      <c r="Y51" s="3"/>
      <c r="Z51" s="8">
        <f t="shared" si="7"/>
        <v>0</v>
      </c>
    </row>
    <row r="52" spans="1:26" s="68" customFormat="1" ht="15" customHeight="1" outlineLevel="1" collapsed="1" x14ac:dyDescent="0.25">
      <c r="A52" s="26"/>
      <c r="B52" s="14" t="str">
        <f>CONCATENATE("     ","Rent                                              ")</f>
        <v xml:space="preserve">     Rent                                              </v>
      </c>
      <c r="C52" s="14"/>
      <c r="D52" s="2">
        <f>SUM(OSRRefD22_9x_0)</f>
        <v>1850</v>
      </c>
      <c r="E52" s="2"/>
      <c r="F52" s="6">
        <f t="shared" si="0"/>
        <v>2.5435524931489071E-2</v>
      </c>
      <c r="G52" s="2"/>
      <c r="H52" s="2">
        <f>SUM(OSRRefH22_9x_0)</f>
        <v>1850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SUM(OSRRefP22_9x_0)</f>
        <v>20350</v>
      </c>
      <c r="Q52" s="2"/>
      <c r="R52" s="6">
        <f t="shared" si="4"/>
        <v>3.0212132969906855E-2</v>
      </c>
      <c r="S52" s="2"/>
      <c r="T52" s="2">
        <f>SUM(OSRRefT22_9x_0)</f>
        <v>14800</v>
      </c>
      <c r="U52" s="2"/>
      <c r="V52" s="6">
        <f t="shared" si="5"/>
        <v>0</v>
      </c>
      <c r="W52" s="2"/>
      <c r="X52" s="2">
        <f t="shared" si="6"/>
        <v>5550</v>
      </c>
      <c r="Y52" s="2"/>
      <c r="Z52" s="6">
        <f t="shared" si="7"/>
        <v>0.375</v>
      </c>
    </row>
    <row r="53" spans="1:26" s="69" customFormat="1" ht="15" hidden="1" customHeight="1" outlineLevel="2" x14ac:dyDescent="0.25">
      <c r="A53" s="25"/>
      <c r="B53" s="12" t="str">
        <f>CONCATENATE("          ","6273"," - ","RENT")</f>
        <v xml:space="preserve">          6273 - RENT</v>
      </c>
      <c r="C53" s="12"/>
      <c r="D53" s="7">
        <v>1850</v>
      </c>
      <c r="E53" s="3"/>
      <c r="F53" s="8">
        <f t="shared" si="0"/>
        <v>2.5435524931489071E-2</v>
      </c>
      <c r="G53" s="3"/>
      <c r="H53" s="7">
        <v>1850</v>
      </c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>
        <v>20350</v>
      </c>
      <c r="Q53" s="3"/>
      <c r="R53" s="8">
        <f t="shared" si="4"/>
        <v>3.0212132969906855E-2</v>
      </c>
      <c r="S53" s="3"/>
      <c r="T53" s="7">
        <v>14800</v>
      </c>
      <c r="U53" s="3"/>
      <c r="V53" s="8">
        <f t="shared" si="5"/>
        <v>0</v>
      </c>
      <c r="W53" s="3"/>
      <c r="X53" s="7">
        <f t="shared" si="6"/>
        <v>5550</v>
      </c>
      <c r="Y53" s="3"/>
      <c r="Z53" s="8">
        <f t="shared" si="7"/>
        <v>0.375</v>
      </c>
    </row>
    <row r="54" spans="1:26" s="68" customFormat="1" ht="15" customHeight="1" outlineLevel="1" collapsed="1" x14ac:dyDescent="0.25">
      <c r="A54" s="26"/>
      <c r="B54" s="14" t="str">
        <f>CONCATENATE("     ","Repair and Maintenance                            ")</f>
        <v xml:space="preserve">     Repair and Maintenance                            </v>
      </c>
      <c r="C54" s="14"/>
      <c r="D54" s="2">
        <f>SUM(OSRRefD22_10x_0)</f>
        <v>65.63</v>
      </c>
      <c r="E54" s="2"/>
      <c r="F54" s="6">
        <f t="shared" ref="F54:F79" si="8">IF(D$12=0,0,D54/D$12)</f>
        <v>9.0234243311006896E-4</v>
      </c>
      <c r="G54" s="2"/>
      <c r="H54" s="2">
        <f>SUM(OSRRefH22_10x_0)</f>
        <v>0</v>
      </c>
      <c r="I54" s="2"/>
      <c r="J54" s="6">
        <f t="shared" ref="J54:J79" si="9">IF(H$12=0,0,H54/H$12)</f>
        <v>0</v>
      </c>
      <c r="K54" s="2"/>
      <c r="L54" s="2">
        <f t="shared" ref="L54:L79" si="10">+D54-H54</f>
        <v>65.63</v>
      </c>
      <c r="M54" s="2"/>
      <c r="N54" s="6">
        <f t="shared" ref="N54:N79" si="11">IF(H54=0,0,L54/H54)</f>
        <v>0</v>
      </c>
      <c r="O54" s="14"/>
      <c r="P54" s="2">
        <f>SUM(OSRRefP22_10x_0)</f>
        <v>8563.7199999999993</v>
      </c>
      <c r="Q54" s="2"/>
      <c r="R54" s="6">
        <f t="shared" ref="R54:R79" si="12">IF(P$12=0,0,P54/P$12)</f>
        <v>1.2713918789044262E-2</v>
      </c>
      <c r="S54" s="2"/>
      <c r="T54" s="2">
        <f>SUM(OSRRefT22_10x_0)</f>
        <v>6387.65</v>
      </c>
      <c r="U54" s="2"/>
      <c r="V54" s="6">
        <f t="shared" ref="V54:V79" si="13">IF(T$12=0,0,T54/T$12)</f>
        <v>0</v>
      </c>
      <c r="W54" s="2"/>
      <c r="X54" s="2">
        <f t="shared" ref="X54:X79" si="14">+P54-T54</f>
        <v>2176.0699999999997</v>
      </c>
      <c r="Y54" s="2"/>
      <c r="Z54" s="6">
        <f t="shared" ref="Z54:Z79" si="15">IF(T54=0,0,X54/T54)</f>
        <v>0.34066832090048765</v>
      </c>
    </row>
    <row r="55" spans="1:26" s="69" customFormat="1" ht="15" hidden="1" customHeight="1" outlineLevel="2" x14ac:dyDescent="0.25">
      <c r="A55" s="25"/>
      <c r="B55" s="12" t="str">
        <f>CONCATENATE("          ","6373"," - ","MAINTENANCE CONTRACTS")</f>
        <v xml:space="preserve">          6373 - MAINTENANCE CONTRACTS</v>
      </c>
      <c r="C55" s="12"/>
      <c r="D55" s="7"/>
      <c r="E55" s="3"/>
      <c r="F55" s="8">
        <f t="shared" si="8"/>
        <v>0</v>
      </c>
      <c r="G55" s="3"/>
      <c r="H55" s="7"/>
      <c r="I55" s="3"/>
      <c r="J55" s="8">
        <f t="shared" si="9"/>
        <v>0</v>
      </c>
      <c r="K55" s="3"/>
      <c r="L55" s="7">
        <f t="shared" si="10"/>
        <v>0</v>
      </c>
      <c r="M55" s="3"/>
      <c r="N55" s="8">
        <f t="shared" si="11"/>
        <v>0</v>
      </c>
      <c r="O55" s="12"/>
      <c r="P55" s="7">
        <v>221.64</v>
      </c>
      <c r="Q55" s="3"/>
      <c r="R55" s="8">
        <f t="shared" si="12"/>
        <v>3.290524398747005E-4</v>
      </c>
      <c r="S55" s="3"/>
      <c r="T55" s="7">
        <v>5845.65</v>
      </c>
      <c r="U55" s="3"/>
      <c r="V55" s="8">
        <f t="shared" si="13"/>
        <v>0</v>
      </c>
      <c r="W55" s="3"/>
      <c r="X55" s="7">
        <f t="shared" si="14"/>
        <v>-5624.0099999999993</v>
      </c>
      <c r="Y55" s="3"/>
      <c r="Z55" s="8">
        <f t="shared" si="15"/>
        <v>-0.9620846270303558</v>
      </c>
    </row>
    <row r="56" spans="1:26" s="69" customFormat="1" ht="15" hidden="1" customHeight="1" outlineLevel="2" x14ac:dyDescent="0.25">
      <c r="A56" s="25"/>
      <c r="B56" s="12" t="str">
        <f>CONCATENATE("          ","6375"," - ","OUTSIDE REPAIRS &amp; MAINTENANCE")</f>
        <v xml:space="preserve">          6375 - OUTSIDE REPAIRS &amp; MAINTENANCE</v>
      </c>
      <c r="C56" s="12"/>
      <c r="D56" s="7">
        <v>65.63</v>
      </c>
      <c r="E56" s="3"/>
      <c r="F56" s="8">
        <f t="shared" si="8"/>
        <v>9.0234243311006896E-4</v>
      </c>
      <c r="G56" s="3"/>
      <c r="H56" s="7"/>
      <c r="I56" s="3"/>
      <c r="J56" s="8">
        <f t="shared" si="9"/>
        <v>0</v>
      </c>
      <c r="K56" s="3"/>
      <c r="L56" s="7">
        <f t="shared" si="10"/>
        <v>65.63</v>
      </c>
      <c r="M56" s="3"/>
      <c r="N56" s="8">
        <f t="shared" si="11"/>
        <v>0</v>
      </c>
      <c r="O56" s="12"/>
      <c r="P56" s="7">
        <v>8342.08</v>
      </c>
      <c r="Q56" s="3"/>
      <c r="R56" s="8">
        <f t="shared" si="12"/>
        <v>1.2384866349169563E-2</v>
      </c>
      <c r="S56" s="3"/>
      <c r="T56" s="7">
        <v>542</v>
      </c>
      <c r="U56" s="3"/>
      <c r="V56" s="8">
        <f t="shared" si="13"/>
        <v>0</v>
      </c>
      <c r="W56" s="3"/>
      <c r="X56" s="7">
        <f t="shared" si="14"/>
        <v>7800.08</v>
      </c>
      <c r="Y56" s="3"/>
      <c r="Z56" s="8">
        <f t="shared" si="15"/>
        <v>14.39129151291513</v>
      </c>
    </row>
    <row r="57" spans="1:26" s="68" customFormat="1" ht="15" customHeight="1" outlineLevel="1" collapsed="1" x14ac:dyDescent="0.25">
      <c r="A57" s="26"/>
      <c r="B57" s="14" t="str">
        <f>CONCATENATE("     ","Services                                          ")</f>
        <v xml:space="preserve">     Services                                          </v>
      </c>
      <c r="C57" s="14"/>
      <c r="D57" s="2">
        <f>SUM(OSRRefD22_11x_0)</f>
        <v>1136.5999999999999</v>
      </c>
      <c r="E57" s="2"/>
      <c r="F57" s="6">
        <f t="shared" si="8"/>
        <v>1.5627036560611068E-2</v>
      </c>
      <c r="G57" s="2"/>
      <c r="H57" s="2">
        <f>SUM(OSRRefH22_11x_0)</f>
        <v>115</v>
      </c>
      <c r="I57" s="2"/>
      <c r="J57" s="6">
        <f t="shared" si="9"/>
        <v>0</v>
      </c>
      <c r="K57" s="2"/>
      <c r="L57" s="2">
        <f t="shared" si="10"/>
        <v>1021.5999999999999</v>
      </c>
      <c r="M57" s="2"/>
      <c r="N57" s="6">
        <f t="shared" si="11"/>
        <v>8.8834782608695644</v>
      </c>
      <c r="O57" s="14"/>
      <c r="P57" s="2">
        <f>SUM(OSRRefP22_11x_0)</f>
        <v>7574.7</v>
      </c>
      <c r="Q57" s="2"/>
      <c r="R57" s="6">
        <f t="shared" si="12"/>
        <v>1.1245594280449802E-2</v>
      </c>
      <c r="S57" s="2"/>
      <c r="T57" s="2">
        <f>SUM(OSRRefT22_11x_0)</f>
        <v>692</v>
      </c>
      <c r="U57" s="2"/>
      <c r="V57" s="6">
        <f t="shared" si="13"/>
        <v>0</v>
      </c>
      <c r="W57" s="2"/>
      <c r="X57" s="2">
        <f t="shared" si="14"/>
        <v>6882.7</v>
      </c>
      <c r="Y57" s="2"/>
      <c r="Z57" s="6">
        <f t="shared" si="15"/>
        <v>9.9460982658959534</v>
      </c>
    </row>
    <row r="58" spans="1:26" s="69" customFormat="1" ht="15" hidden="1" customHeight="1" outlineLevel="2" x14ac:dyDescent="0.25">
      <c r="A58" s="25"/>
      <c r="B58" s="12" t="str">
        <f>CONCATENATE("          ","6282"," - ","JANITORIAL/EXTERMINATOR EXPENS")</f>
        <v xml:space="preserve">          6282 - JANITORIAL/EXTERMINATOR EXPENS</v>
      </c>
      <c r="C58" s="12"/>
      <c r="D58" s="7"/>
      <c r="E58" s="3"/>
      <c r="F58" s="8">
        <f t="shared" si="8"/>
        <v>0</v>
      </c>
      <c r="G58" s="3"/>
      <c r="H58" s="7"/>
      <c r="I58" s="3"/>
      <c r="J58" s="8">
        <f t="shared" si="9"/>
        <v>0</v>
      </c>
      <c r="K58" s="3"/>
      <c r="L58" s="7">
        <f t="shared" si="10"/>
        <v>0</v>
      </c>
      <c r="M58" s="3"/>
      <c r="N58" s="8">
        <f t="shared" si="11"/>
        <v>0</v>
      </c>
      <c r="O58" s="12"/>
      <c r="P58" s="7">
        <v>831.86</v>
      </c>
      <c r="Q58" s="3"/>
      <c r="R58" s="8">
        <f t="shared" si="12"/>
        <v>1.2350007337762516E-3</v>
      </c>
      <c r="S58" s="3"/>
      <c r="T58" s="7"/>
      <c r="U58" s="3"/>
      <c r="V58" s="8">
        <f t="shared" si="13"/>
        <v>0</v>
      </c>
      <c r="W58" s="3"/>
      <c r="X58" s="7">
        <f t="shared" si="14"/>
        <v>831.86</v>
      </c>
      <c r="Y58" s="3"/>
      <c r="Z58" s="8">
        <f t="shared" si="15"/>
        <v>0</v>
      </c>
    </row>
    <row r="59" spans="1:26" s="69" customFormat="1" ht="15" hidden="1" customHeight="1" outlineLevel="2" x14ac:dyDescent="0.25">
      <c r="A59" s="25"/>
      <c r="B59" s="12" t="str">
        <f>CONCATENATE("          ","6284"," - ","TRASH REMOVAL EXPENSE")</f>
        <v xml:space="preserve">          6284 - TRASH REMOVAL EXPENSE</v>
      </c>
      <c r="C59" s="12"/>
      <c r="D59" s="7"/>
      <c r="E59" s="3"/>
      <c r="F59" s="8">
        <f t="shared" si="8"/>
        <v>0</v>
      </c>
      <c r="G59" s="3"/>
      <c r="H59" s="7">
        <v>115</v>
      </c>
      <c r="I59" s="3"/>
      <c r="J59" s="8">
        <f t="shared" si="9"/>
        <v>0</v>
      </c>
      <c r="K59" s="3"/>
      <c r="L59" s="7">
        <f t="shared" si="10"/>
        <v>-115</v>
      </c>
      <c r="M59" s="3"/>
      <c r="N59" s="8">
        <f t="shared" si="11"/>
        <v>-1</v>
      </c>
      <c r="O59" s="12"/>
      <c r="P59" s="7"/>
      <c r="Q59" s="3"/>
      <c r="R59" s="8">
        <f t="shared" si="12"/>
        <v>0</v>
      </c>
      <c r="S59" s="3"/>
      <c r="T59" s="7">
        <v>692</v>
      </c>
      <c r="U59" s="3"/>
      <c r="V59" s="8">
        <f t="shared" si="13"/>
        <v>0</v>
      </c>
      <c r="W59" s="3"/>
      <c r="X59" s="7">
        <f t="shared" si="14"/>
        <v>-692</v>
      </c>
      <c r="Y59" s="3"/>
      <c r="Z59" s="8">
        <f t="shared" si="15"/>
        <v>-1</v>
      </c>
    </row>
    <row r="60" spans="1:26" s="69" customFormat="1" ht="15" hidden="1" customHeight="1" outlineLevel="2" x14ac:dyDescent="0.25">
      <c r="A60" s="25"/>
      <c r="B60" s="12" t="str">
        <f>CONCATENATE("          ","6285"," - ","JANITORIAL SERVICES")</f>
        <v xml:space="preserve">          6285 - JANITORIAL SERVICES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3660</v>
      </c>
      <c r="Q60" s="3"/>
      <c r="R60" s="8">
        <f t="shared" si="12"/>
        <v>5.4337300574869331E-3</v>
      </c>
      <c r="S60" s="3"/>
      <c r="T60" s="7"/>
      <c r="U60" s="3"/>
      <c r="V60" s="8">
        <f t="shared" si="13"/>
        <v>0</v>
      </c>
      <c r="W60" s="3"/>
      <c r="X60" s="7">
        <f t="shared" si="14"/>
        <v>3660</v>
      </c>
      <c r="Y60" s="3"/>
      <c r="Z60" s="8">
        <f t="shared" si="15"/>
        <v>0</v>
      </c>
    </row>
    <row r="61" spans="1:26" s="69" customFormat="1" ht="15" hidden="1" customHeight="1" outlineLevel="2" x14ac:dyDescent="0.25">
      <c r="A61" s="25"/>
      <c r="B61" s="12" t="str">
        <f>CONCATENATE("          ","6286"," - ","LAUNDRY EXPENSE")</f>
        <v xml:space="preserve">          6286 - LAUNDRY EXPENSE</v>
      </c>
      <c r="C61" s="12"/>
      <c r="D61" s="7">
        <v>1136.5999999999999</v>
      </c>
      <c r="E61" s="3"/>
      <c r="F61" s="8">
        <f t="shared" si="8"/>
        <v>1.5627036560611068E-2</v>
      </c>
      <c r="G61" s="3"/>
      <c r="H61" s="7"/>
      <c r="I61" s="3"/>
      <c r="J61" s="8">
        <f t="shared" si="9"/>
        <v>0</v>
      </c>
      <c r="K61" s="3"/>
      <c r="L61" s="7">
        <f t="shared" si="10"/>
        <v>1136.5999999999999</v>
      </c>
      <c r="M61" s="3"/>
      <c r="N61" s="8">
        <f t="shared" si="11"/>
        <v>0</v>
      </c>
      <c r="O61" s="12"/>
      <c r="P61" s="7">
        <v>3082.84</v>
      </c>
      <c r="Q61" s="3"/>
      <c r="R61" s="8">
        <f t="shared" si="12"/>
        <v>4.576863489186617E-3</v>
      </c>
      <c r="S61" s="3"/>
      <c r="T61" s="7"/>
      <c r="U61" s="3"/>
      <c r="V61" s="8">
        <f t="shared" si="13"/>
        <v>0</v>
      </c>
      <c r="W61" s="3"/>
      <c r="X61" s="7">
        <f t="shared" si="14"/>
        <v>3082.84</v>
      </c>
      <c r="Y61" s="3"/>
      <c r="Z61" s="8">
        <f t="shared" si="15"/>
        <v>0</v>
      </c>
    </row>
    <row r="62" spans="1:26" s="68" customFormat="1" ht="15" customHeight="1" outlineLevel="1" collapsed="1" x14ac:dyDescent="0.25">
      <c r="A62" s="26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2">
        <f>SUM(OSRRefD22_12x_0)</f>
        <v>17.95</v>
      </c>
      <c r="E62" s="2"/>
      <c r="F62" s="6">
        <f t="shared" si="8"/>
        <v>2.4679333649742094E-4</v>
      </c>
      <c r="G62" s="2"/>
      <c r="H62" s="2">
        <f>SUM(OSRRefH22_12x_0)</f>
        <v>0</v>
      </c>
      <c r="I62" s="2"/>
      <c r="J62" s="6">
        <f t="shared" si="9"/>
        <v>0</v>
      </c>
      <c r="K62" s="2"/>
      <c r="L62" s="2">
        <f t="shared" si="10"/>
        <v>17.95</v>
      </c>
      <c r="M62" s="2"/>
      <c r="N62" s="6">
        <f t="shared" si="11"/>
        <v>0</v>
      </c>
      <c r="O62" s="14"/>
      <c r="P62" s="2">
        <f>SUM(OSRRefP22_12x_0)</f>
        <v>325.64</v>
      </c>
      <c r="Q62" s="2"/>
      <c r="R62" s="6">
        <f t="shared" si="12"/>
        <v>4.8345351254646036E-4</v>
      </c>
      <c r="S62" s="2"/>
      <c r="T62" s="2">
        <f>SUM(OSRRefT22_12x_0)</f>
        <v>0</v>
      </c>
      <c r="U62" s="2"/>
      <c r="V62" s="6">
        <f t="shared" si="13"/>
        <v>0</v>
      </c>
      <c r="W62" s="2"/>
      <c r="X62" s="2">
        <f t="shared" si="14"/>
        <v>325.64</v>
      </c>
      <c r="Y62" s="2"/>
      <c r="Z62" s="6">
        <f t="shared" si="15"/>
        <v>0</v>
      </c>
    </row>
    <row r="63" spans="1:26" s="69" customFormat="1" ht="15" hidden="1" customHeight="1" outlineLevel="2" x14ac:dyDescent="0.25">
      <c r="A63" s="25"/>
      <c r="B63" s="12" t="str">
        <f>CONCATENATE("          ","6275"," - ","SUBSCRIPTIONS")</f>
        <v xml:space="preserve">          6275 - SUBSCRIPTIONS</v>
      </c>
      <c r="C63" s="12"/>
      <c r="D63" s="7">
        <v>17.95</v>
      </c>
      <c r="E63" s="3"/>
      <c r="F63" s="8">
        <f t="shared" si="8"/>
        <v>2.4679333649742094E-4</v>
      </c>
      <c r="G63" s="3"/>
      <c r="H63" s="7"/>
      <c r="I63" s="3"/>
      <c r="J63" s="8">
        <f t="shared" si="9"/>
        <v>0</v>
      </c>
      <c r="K63" s="3"/>
      <c r="L63" s="7">
        <f t="shared" si="10"/>
        <v>17.95</v>
      </c>
      <c r="M63" s="3"/>
      <c r="N63" s="8">
        <f t="shared" si="11"/>
        <v>0</v>
      </c>
      <c r="O63" s="12"/>
      <c r="P63" s="7">
        <v>325.64</v>
      </c>
      <c r="Q63" s="3"/>
      <c r="R63" s="8">
        <f t="shared" si="12"/>
        <v>4.8345351254646036E-4</v>
      </c>
      <c r="S63" s="3"/>
      <c r="T63" s="7"/>
      <c r="U63" s="3"/>
      <c r="V63" s="8">
        <f t="shared" si="13"/>
        <v>0</v>
      </c>
      <c r="W63" s="3"/>
      <c r="X63" s="7">
        <f t="shared" si="14"/>
        <v>325.64</v>
      </c>
      <c r="Y63" s="3"/>
      <c r="Z63" s="8">
        <f t="shared" si="15"/>
        <v>0</v>
      </c>
    </row>
    <row r="64" spans="1:26" s="68" customFormat="1" ht="15" customHeight="1" outlineLevel="1" collapsed="1" x14ac:dyDescent="0.25">
      <c r="A64" s="26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SUM(OSRRefD22_13x_0)</f>
        <v>559.34</v>
      </c>
      <c r="E64" s="2"/>
      <c r="F64" s="6">
        <f t="shared" si="8"/>
        <v>7.6903278460427552E-3</v>
      </c>
      <c r="G64" s="2"/>
      <c r="H64" s="2">
        <f>SUM(OSRRefH22_13x_0)</f>
        <v>0</v>
      </c>
      <c r="I64" s="2"/>
      <c r="J64" s="6">
        <f t="shared" si="9"/>
        <v>0</v>
      </c>
      <c r="K64" s="2"/>
      <c r="L64" s="2">
        <f t="shared" si="10"/>
        <v>559.34</v>
      </c>
      <c r="M64" s="2"/>
      <c r="N64" s="6">
        <f t="shared" si="11"/>
        <v>0</v>
      </c>
      <c r="O64" s="14"/>
      <c r="P64" s="2">
        <f>SUM(OSRRefP22_13x_0)</f>
        <v>14002.34</v>
      </c>
      <c r="Q64" s="2"/>
      <c r="R64" s="6">
        <f t="shared" si="12"/>
        <v>2.078823380687202E-2</v>
      </c>
      <c r="S64" s="2"/>
      <c r="T64" s="2">
        <f>SUM(OSRRefT22_13x_0)</f>
        <v>72</v>
      </c>
      <c r="U64" s="2"/>
      <c r="V64" s="6">
        <f t="shared" si="13"/>
        <v>0</v>
      </c>
      <c r="W64" s="2"/>
      <c r="X64" s="2">
        <f t="shared" si="14"/>
        <v>13930.34</v>
      </c>
      <c r="Y64" s="2"/>
      <c r="Z64" s="6">
        <f t="shared" si="15"/>
        <v>193.47694444444446</v>
      </c>
    </row>
    <row r="65" spans="1:26" s="69" customFormat="1" ht="15" hidden="1" customHeight="1" outlineLevel="2" x14ac:dyDescent="0.25">
      <c r="A65" s="25"/>
      <c r="B65" s="12" t="str">
        <f>CONCATENATE("          ","6234"," - ","EXPENDABLE SUPPLIES &amp; EQUIPMEN")</f>
        <v xml:space="preserve">          6234 - EXPENDABLE SUPPLIES &amp; EQUIPMEN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284.07</v>
      </c>
      <c r="Q65" s="3"/>
      <c r="R65" s="8">
        <f t="shared" si="12"/>
        <v>4.2173762224871945E-4</v>
      </c>
      <c r="S65" s="3"/>
      <c r="T65" s="7"/>
      <c r="U65" s="3"/>
      <c r="V65" s="8">
        <f t="shared" si="13"/>
        <v>0</v>
      </c>
      <c r="W65" s="3"/>
      <c r="X65" s="7">
        <f t="shared" si="14"/>
        <v>284.07</v>
      </c>
      <c r="Y65" s="3"/>
      <c r="Z65" s="8">
        <f t="shared" si="15"/>
        <v>0</v>
      </c>
    </row>
    <row r="66" spans="1:26" s="69" customFormat="1" ht="15" hidden="1" customHeight="1" outlineLevel="2" x14ac:dyDescent="0.25">
      <c r="A66" s="25"/>
      <c r="B66" s="12" t="str">
        <f>CONCATENATE("          ","6235"," - ","COVID-19 EXPENSES")</f>
        <v xml:space="preserve">          6235 - COVID-19 EXPENSES</v>
      </c>
      <c r="C66" s="12"/>
      <c r="D66" s="7"/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229.22</v>
      </c>
      <c r="Q66" s="3"/>
      <c r="R66" s="8">
        <f t="shared" si="12"/>
        <v>3.4030590267135379E-4</v>
      </c>
      <c r="S66" s="3"/>
      <c r="T66" s="7"/>
      <c r="U66" s="3"/>
      <c r="V66" s="8">
        <f t="shared" si="13"/>
        <v>0</v>
      </c>
      <c r="W66" s="3"/>
      <c r="X66" s="7">
        <f t="shared" si="14"/>
        <v>229.22</v>
      </c>
      <c r="Y66" s="3"/>
      <c r="Z66" s="8">
        <f t="shared" si="15"/>
        <v>0</v>
      </c>
    </row>
    <row r="67" spans="1:26" s="69" customFormat="1" ht="15" hidden="1" customHeight="1" outlineLevel="2" x14ac:dyDescent="0.25">
      <c r="A67" s="25"/>
      <c r="B67" s="12" t="str">
        <f>CONCATENATE("          ","6237"," - ","JANITORIAL SUPPLIES")</f>
        <v xml:space="preserve">          6237 - JANITORIAL SUPPLIES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>
        <v>48.12</v>
      </c>
      <c r="Q67" s="3"/>
      <c r="R67" s="8">
        <f t="shared" si="12"/>
        <v>7.1440188624664262E-5</v>
      </c>
      <c r="S67" s="3"/>
      <c r="T67" s="7">
        <v>72</v>
      </c>
      <c r="U67" s="3"/>
      <c r="V67" s="8">
        <f t="shared" si="13"/>
        <v>0</v>
      </c>
      <c r="W67" s="3"/>
      <c r="X67" s="7">
        <f t="shared" si="14"/>
        <v>-23.880000000000003</v>
      </c>
      <c r="Y67" s="3"/>
      <c r="Z67" s="8">
        <f t="shared" si="15"/>
        <v>-0.33166666666666672</v>
      </c>
    </row>
    <row r="68" spans="1:26" s="69" customFormat="1" ht="15" hidden="1" customHeight="1" outlineLevel="2" x14ac:dyDescent="0.25">
      <c r="A68" s="25"/>
      <c r="B68" s="12" t="str">
        <f>CONCATENATE("          ","6239"," - ","KITCHEN SUPPLIES")</f>
        <v xml:space="preserve">          6239 - KITCHEN SUPPLIES</v>
      </c>
      <c r="C68" s="12"/>
      <c r="D68" s="7">
        <v>126.34</v>
      </c>
      <c r="E68" s="3"/>
      <c r="F68" s="8">
        <f t="shared" si="8"/>
        <v>1.7370401188347726E-3</v>
      </c>
      <c r="G68" s="3"/>
      <c r="H68" s="7"/>
      <c r="I68" s="3"/>
      <c r="J68" s="8">
        <f t="shared" si="9"/>
        <v>0</v>
      </c>
      <c r="K68" s="3"/>
      <c r="L68" s="7">
        <f t="shared" si="10"/>
        <v>126.34</v>
      </c>
      <c r="M68" s="3"/>
      <c r="N68" s="8">
        <f t="shared" si="11"/>
        <v>0</v>
      </c>
      <c r="O68" s="12"/>
      <c r="P68" s="7">
        <v>5659.17</v>
      </c>
      <c r="Q68" s="3"/>
      <c r="R68" s="8">
        <f t="shared" si="12"/>
        <v>8.4017492156908003E-3</v>
      </c>
      <c r="S68" s="3"/>
      <c r="T68" s="7"/>
      <c r="U68" s="3"/>
      <c r="V68" s="8">
        <f t="shared" si="13"/>
        <v>0</v>
      </c>
      <c r="W68" s="3"/>
      <c r="X68" s="7">
        <f t="shared" si="14"/>
        <v>5659.17</v>
      </c>
      <c r="Y68" s="3"/>
      <c r="Z68" s="8">
        <f t="shared" si="15"/>
        <v>0</v>
      </c>
    </row>
    <row r="69" spans="1:26" s="69" customFormat="1" ht="15" hidden="1" customHeight="1" outlineLevel="2" x14ac:dyDescent="0.25">
      <c r="A69" s="25"/>
      <c r="B69" s="12" t="str">
        <f>CONCATENATE("          ","6241"," - ","OFFICE EXPENSE")</f>
        <v xml:space="preserve">          6241 - OFFICE EXPENSE</v>
      </c>
      <c r="C69" s="12"/>
      <c r="D69" s="7"/>
      <c r="E69" s="3"/>
      <c r="F69" s="8">
        <f t="shared" si="8"/>
        <v>0</v>
      </c>
      <c r="G69" s="3"/>
      <c r="H69" s="7"/>
      <c r="I69" s="3"/>
      <c r="J69" s="8">
        <f t="shared" si="9"/>
        <v>0</v>
      </c>
      <c r="K69" s="3"/>
      <c r="L69" s="7">
        <f t="shared" si="10"/>
        <v>0</v>
      </c>
      <c r="M69" s="3"/>
      <c r="N69" s="8">
        <f t="shared" si="11"/>
        <v>0</v>
      </c>
      <c r="O69" s="12"/>
      <c r="P69" s="7">
        <v>2158.14</v>
      </c>
      <c r="Q69" s="3"/>
      <c r="R69" s="8">
        <f t="shared" si="12"/>
        <v>3.2040301055368441E-3</v>
      </c>
      <c r="S69" s="3"/>
      <c r="T69" s="7"/>
      <c r="U69" s="3"/>
      <c r="V69" s="8">
        <f t="shared" si="13"/>
        <v>0</v>
      </c>
      <c r="W69" s="3"/>
      <c r="X69" s="7">
        <f t="shared" si="14"/>
        <v>2158.14</v>
      </c>
      <c r="Y69" s="3"/>
      <c r="Z69" s="8">
        <f t="shared" si="15"/>
        <v>0</v>
      </c>
    </row>
    <row r="70" spans="1:26" s="69" customFormat="1" ht="15" hidden="1" customHeight="1" outlineLevel="2" x14ac:dyDescent="0.25">
      <c r="A70" s="25"/>
      <c r="B70" s="12" t="str">
        <f>CONCATENATE("          ","6243"," - ","PAPER SUPPLIES")</f>
        <v xml:space="preserve">          6243 - PAPER SUPPLIES</v>
      </c>
      <c r="C70" s="12"/>
      <c r="D70" s="7"/>
      <c r="E70" s="3"/>
      <c r="F70" s="8">
        <f t="shared" si="8"/>
        <v>0</v>
      </c>
      <c r="G70" s="3"/>
      <c r="H70" s="7"/>
      <c r="I70" s="3"/>
      <c r="J70" s="8">
        <f t="shared" si="9"/>
        <v>0</v>
      </c>
      <c r="K70" s="3"/>
      <c r="L70" s="7">
        <f t="shared" si="10"/>
        <v>0</v>
      </c>
      <c r="M70" s="3"/>
      <c r="N70" s="8">
        <f t="shared" si="11"/>
        <v>0</v>
      </c>
      <c r="O70" s="12"/>
      <c r="P70" s="7">
        <v>511.58</v>
      </c>
      <c r="Q70" s="3"/>
      <c r="R70" s="8">
        <f t="shared" si="12"/>
        <v>7.5950481497518178E-4</v>
      </c>
      <c r="S70" s="3"/>
      <c r="T70" s="7"/>
      <c r="U70" s="3"/>
      <c r="V70" s="8">
        <f t="shared" si="13"/>
        <v>0</v>
      </c>
      <c r="W70" s="3"/>
      <c r="X70" s="7">
        <f t="shared" si="14"/>
        <v>511.58</v>
      </c>
      <c r="Y70" s="3"/>
      <c r="Z70" s="8">
        <f t="shared" si="15"/>
        <v>0</v>
      </c>
    </row>
    <row r="71" spans="1:26" s="69" customFormat="1" ht="15" hidden="1" customHeight="1" outlineLevel="2" x14ac:dyDescent="0.25">
      <c r="A71" s="25"/>
      <c r="B71" s="12" t="str">
        <f>CONCATENATE("          ","6245"," - ","PRINTING")</f>
        <v xml:space="preserve">          6245 - PRINTING</v>
      </c>
      <c r="C71" s="12"/>
      <c r="D71" s="7"/>
      <c r="E71" s="3"/>
      <c r="F71" s="8">
        <f t="shared" si="8"/>
        <v>0</v>
      </c>
      <c r="G71" s="3"/>
      <c r="H71" s="7"/>
      <c r="I71" s="3"/>
      <c r="J71" s="8">
        <f t="shared" si="9"/>
        <v>0</v>
      </c>
      <c r="K71" s="3"/>
      <c r="L71" s="7">
        <f t="shared" si="10"/>
        <v>0</v>
      </c>
      <c r="M71" s="3"/>
      <c r="N71" s="8">
        <f t="shared" si="11"/>
        <v>0</v>
      </c>
      <c r="O71" s="12"/>
      <c r="P71" s="7">
        <v>733</v>
      </c>
      <c r="Q71" s="3"/>
      <c r="R71" s="8">
        <f t="shared" si="12"/>
        <v>1.0882306371961536E-3</v>
      </c>
      <c r="S71" s="3"/>
      <c r="T71" s="7"/>
      <c r="U71" s="3"/>
      <c r="V71" s="8">
        <f t="shared" si="13"/>
        <v>0</v>
      </c>
      <c r="W71" s="3"/>
      <c r="X71" s="7">
        <f t="shared" si="14"/>
        <v>733</v>
      </c>
      <c r="Y71" s="3"/>
      <c r="Z71" s="8">
        <f t="shared" si="15"/>
        <v>0</v>
      </c>
    </row>
    <row r="72" spans="1:26" s="69" customFormat="1" ht="15" hidden="1" customHeight="1" outlineLevel="2" x14ac:dyDescent="0.25">
      <c r="A72" s="25"/>
      <c r="B72" s="12" t="str">
        <f>CONCATENATE("          ","6247"," - ","STORE SUPPLIES")</f>
        <v xml:space="preserve">          6247 - STORE SUPPLIES</v>
      </c>
      <c r="C72" s="12"/>
      <c r="D72" s="7">
        <v>433</v>
      </c>
      <c r="E72" s="3"/>
      <c r="F72" s="8">
        <f t="shared" si="8"/>
        <v>5.953287727207982E-3</v>
      </c>
      <c r="G72" s="3"/>
      <c r="H72" s="7"/>
      <c r="I72" s="3"/>
      <c r="J72" s="8">
        <f t="shared" si="9"/>
        <v>0</v>
      </c>
      <c r="K72" s="3"/>
      <c r="L72" s="7">
        <f t="shared" si="10"/>
        <v>433</v>
      </c>
      <c r="M72" s="3"/>
      <c r="N72" s="8">
        <f t="shared" si="11"/>
        <v>0</v>
      </c>
      <c r="O72" s="12"/>
      <c r="P72" s="7">
        <v>1390.59</v>
      </c>
      <c r="Q72" s="3"/>
      <c r="R72" s="8">
        <f t="shared" si="12"/>
        <v>2.0645056504482936E-3</v>
      </c>
      <c r="S72" s="3"/>
      <c r="T72" s="7"/>
      <c r="U72" s="3"/>
      <c r="V72" s="8">
        <f t="shared" si="13"/>
        <v>0</v>
      </c>
      <c r="W72" s="3"/>
      <c r="X72" s="7">
        <f t="shared" si="14"/>
        <v>1390.59</v>
      </c>
      <c r="Y72" s="3"/>
      <c r="Z72" s="8">
        <f t="shared" si="15"/>
        <v>0</v>
      </c>
    </row>
    <row r="73" spans="1:26" s="69" customFormat="1" ht="15" hidden="1" customHeight="1" outlineLevel="2" x14ac:dyDescent="0.25">
      <c r="A73" s="25"/>
      <c r="B73" s="12" t="str">
        <f>CONCATENATE("          ","6248"," - ","UNIFORMS")</f>
        <v xml:space="preserve">          6248 - UNIFORMS</v>
      </c>
      <c r="C73" s="12"/>
      <c r="D73" s="7"/>
      <c r="E73" s="3"/>
      <c r="F73" s="8">
        <f t="shared" si="8"/>
        <v>0</v>
      </c>
      <c r="G73" s="3"/>
      <c r="H73" s="7"/>
      <c r="I73" s="3"/>
      <c r="J73" s="8">
        <f t="shared" si="9"/>
        <v>0</v>
      </c>
      <c r="K73" s="3"/>
      <c r="L73" s="7">
        <f t="shared" si="10"/>
        <v>0</v>
      </c>
      <c r="M73" s="3"/>
      <c r="N73" s="8">
        <f t="shared" si="11"/>
        <v>0</v>
      </c>
      <c r="O73" s="12"/>
      <c r="P73" s="7">
        <v>2988.45</v>
      </c>
      <c r="Q73" s="3"/>
      <c r="R73" s="8">
        <f t="shared" si="12"/>
        <v>4.4367296694800065E-3</v>
      </c>
      <c r="S73" s="3"/>
      <c r="T73" s="7"/>
      <c r="U73" s="3"/>
      <c r="V73" s="8">
        <f t="shared" si="13"/>
        <v>0</v>
      </c>
      <c r="W73" s="3"/>
      <c r="X73" s="7">
        <f t="shared" si="14"/>
        <v>2988.45</v>
      </c>
      <c r="Y73" s="3"/>
      <c r="Z73" s="8">
        <f t="shared" si="15"/>
        <v>0</v>
      </c>
    </row>
    <row r="74" spans="1:26" s="68" customFormat="1" ht="15" customHeight="1" outlineLevel="1" collapsed="1" x14ac:dyDescent="0.25">
      <c r="A74" s="26"/>
      <c r="B74" s="14" t="str">
        <f>CONCATENATE("     ","Telephone/Data Lines                              ")</f>
        <v xml:space="preserve">     Telephone/Data Lines                              </v>
      </c>
      <c r="C74" s="14"/>
      <c r="D74" s="2">
        <f>SUM(OSRRefD22_14x_0)</f>
        <v>75</v>
      </c>
      <c r="E74" s="2"/>
      <c r="F74" s="6">
        <f t="shared" si="8"/>
        <v>1.0311699296549624E-3</v>
      </c>
      <c r="G74" s="2"/>
      <c r="H74" s="2">
        <f>SUM(OSRRefH22_14x_0)</f>
        <v>0</v>
      </c>
      <c r="I74" s="2"/>
      <c r="J74" s="6">
        <f t="shared" si="9"/>
        <v>0</v>
      </c>
      <c r="K74" s="2"/>
      <c r="L74" s="2">
        <f t="shared" si="10"/>
        <v>75</v>
      </c>
      <c r="M74" s="2"/>
      <c r="N74" s="6">
        <f t="shared" si="11"/>
        <v>0</v>
      </c>
      <c r="O74" s="14"/>
      <c r="P74" s="2">
        <f>SUM(OSRRefP22_14x_0)</f>
        <v>1050</v>
      </c>
      <c r="Q74" s="2"/>
      <c r="R74" s="6">
        <f t="shared" si="12"/>
        <v>1.5588569837052678E-3</v>
      </c>
      <c r="S74" s="2"/>
      <c r="T74" s="2">
        <f>SUM(OSRRefT22_14x_0)</f>
        <v>77.430000000000007</v>
      </c>
      <c r="U74" s="2"/>
      <c r="V74" s="6">
        <f t="shared" si="13"/>
        <v>0</v>
      </c>
      <c r="W74" s="2"/>
      <c r="X74" s="2">
        <f t="shared" si="14"/>
        <v>972.56999999999994</v>
      </c>
      <c r="Y74" s="2"/>
      <c r="Z74" s="6">
        <f t="shared" si="15"/>
        <v>12.560635412630761</v>
      </c>
    </row>
    <row r="75" spans="1:26" s="69" customFormat="1" ht="15" hidden="1" customHeight="1" outlineLevel="2" x14ac:dyDescent="0.25">
      <c r="A75" s="25"/>
      <c r="B75" s="12" t="str">
        <f>CONCATENATE("          ","6309"," - ","TELEPHONE")</f>
        <v xml:space="preserve">          6309 - TELEPHONE</v>
      </c>
      <c r="C75" s="12"/>
      <c r="D75" s="7">
        <v>75</v>
      </c>
      <c r="E75" s="3"/>
      <c r="F75" s="8">
        <f t="shared" si="8"/>
        <v>1.0311699296549624E-3</v>
      </c>
      <c r="G75" s="3"/>
      <c r="H75" s="7"/>
      <c r="I75" s="3"/>
      <c r="J75" s="8">
        <f t="shared" si="9"/>
        <v>0</v>
      </c>
      <c r="K75" s="3"/>
      <c r="L75" s="7">
        <f t="shared" si="10"/>
        <v>75</v>
      </c>
      <c r="M75" s="3"/>
      <c r="N75" s="8">
        <f t="shared" si="11"/>
        <v>0</v>
      </c>
      <c r="O75" s="12"/>
      <c r="P75" s="7">
        <v>1050</v>
      </c>
      <c r="Q75" s="3"/>
      <c r="R75" s="8">
        <f t="shared" si="12"/>
        <v>1.5588569837052678E-3</v>
      </c>
      <c r="S75" s="3"/>
      <c r="T75" s="7">
        <v>77.430000000000007</v>
      </c>
      <c r="U75" s="3"/>
      <c r="V75" s="8">
        <f t="shared" si="13"/>
        <v>0</v>
      </c>
      <c r="W75" s="3"/>
      <c r="X75" s="7">
        <f t="shared" si="14"/>
        <v>972.56999999999994</v>
      </c>
      <c r="Y75" s="3"/>
      <c r="Z75" s="8">
        <f t="shared" si="15"/>
        <v>12.560635412630761</v>
      </c>
    </row>
    <row r="76" spans="1:26" s="68" customFormat="1" ht="15" customHeight="1" outlineLevel="1" collapsed="1" x14ac:dyDescent="0.25">
      <c r="A76" s="26"/>
      <c r="B76" s="14" t="str">
        <f>CONCATENATE("     ","Training                                          ")</f>
        <v xml:space="preserve">     Training                                          </v>
      </c>
      <c r="C76" s="14"/>
      <c r="D76" s="2">
        <f>SUM(OSRRefD22_15x_0)</f>
        <v>0</v>
      </c>
      <c r="E76" s="2"/>
      <c r="F76" s="6">
        <f t="shared" si="8"/>
        <v>0</v>
      </c>
      <c r="G76" s="2"/>
      <c r="H76" s="2">
        <f>SUM(OSRRefH22_15x_0)</f>
        <v>0</v>
      </c>
      <c r="I76" s="2"/>
      <c r="J76" s="6">
        <f t="shared" si="9"/>
        <v>0</v>
      </c>
      <c r="K76" s="2"/>
      <c r="L76" s="2">
        <f t="shared" si="10"/>
        <v>0</v>
      </c>
      <c r="M76" s="2"/>
      <c r="N76" s="6">
        <f t="shared" si="11"/>
        <v>0</v>
      </c>
      <c r="O76" s="14"/>
      <c r="P76" s="2">
        <f>SUM(OSRRefP22_15x_0)</f>
        <v>200</v>
      </c>
      <c r="Q76" s="2"/>
      <c r="R76" s="6">
        <f t="shared" si="12"/>
        <v>2.9692513975338434E-4</v>
      </c>
      <c r="S76" s="2"/>
      <c r="T76" s="2">
        <f>SUM(OSRRefT22_15x_0)</f>
        <v>0</v>
      </c>
      <c r="U76" s="2"/>
      <c r="V76" s="6">
        <f t="shared" si="13"/>
        <v>0</v>
      </c>
      <c r="W76" s="2"/>
      <c r="X76" s="2">
        <f t="shared" si="14"/>
        <v>200</v>
      </c>
      <c r="Y76" s="2"/>
      <c r="Z76" s="6">
        <f t="shared" si="15"/>
        <v>0</v>
      </c>
    </row>
    <row r="77" spans="1:26" s="69" customFormat="1" ht="15" hidden="1" customHeight="1" outlineLevel="2" x14ac:dyDescent="0.25">
      <c r="A77" s="25"/>
      <c r="B77" s="12" t="str">
        <f>CONCATENATE("          ","6376"," - ","TRAINING")</f>
        <v xml:space="preserve">          6376 - TRAINING</v>
      </c>
      <c r="C77" s="12"/>
      <c r="D77" s="7"/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0</v>
      </c>
      <c r="M77" s="3"/>
      <c r="N77" s="8">
        <f t="shared" si="11"/>
        <v>0</v>
      </c>
      <c r="O77" s="12"/>
      <c r="P77" s="7">
        <v>200</v>
      </c>
      <c r="Q77" s="3"/>
      <c r="R77" s="8">
        <f t="shared" si="12"/>
        <v>2.9692513975338434E-4</v>
      </c>
      <c r="S77" s="3"/>
      <c r="T77" s="7"/>
      <c r="U77" s="3"/>
      <c r="V77" s="8">
        <f t="shared" si="13"/>
        <v>0</v>
      </c>
      <c r="W77" s="3"/>
      <c r="X77" s="7">
        <f t="shared" si="14"/>
        <v>200</v>
      </c>
      <c r="Y77" s="3"/>
      <c r="Z77" s="8">
        <f t="shared" si="15"/>
        <v>0</v>
      </c>
    </row>
    <row r="78" spans="1:26" s="68" customFormat="1" ht="15" customHeight="1" outlineLevel="1" collapsed="1" x14ac:dyDescent="0.25">
      <c r="A78" s="26"/>
      <c r="B78" s="14" t="str">
        <f>CONCATENATE("     ","Utilities                                         ")</f>
        <v xml:space="preserve">     Utilities                                         </v>
      </c>
      <c r="C78" s="14"/>
      <c r="D78" s="2">
        <f>SUM(OSRRefD22_16x_0)</f>
        <v>485.98</v>
      </c>
      <c r="E78" s="2"/>
      <c r="F78" s="6">
        <f t="shared" si="8"/>
        <v>6.6817061655162482E-3</v>
      </c>
      <c r="G78" s="2"/>
      <c r="H78" s="2">
        <f>SUM(OSRRefH22_16x_0)</f>
        <v>348</v>
      </c>
      <c r="I78" s="2"/>
      <c r="J78" s="6">
        <f t="shared" si="9"/>
        <v>0</v>
      </c>
      <c r="K78" s="2"/>
      <c r="L78" s="2">
        <f t="shared" si="10"/>
        <v>137.98000000000002</v>
      </c>
      <c r="M78" s="2"/>
      <c r="N78" s="6">
        <f t="shared" si="11"/>
        <v>0.39649425287356327</v>
      </c>
      <c r="O78" s="14"/>
      <c r="P78" s="2">
        <f>SUM(OSRRefP22_16x_0)</f>
        <v>2485.98</v>
      </c>
      <c r="Q78" s="2"/>
      <c r="R78" s="6">
        <f t="shared" si="12"/>
        <v>3.6907497946205921E-3</v>
      </c>
      <c r="S78" s="2"/>
      <c r="T78" s="2">
        <f>SUM(OSRRefT22_16x_0)</f>
        <v>1950</v>
      </c>
      <c r="U78" s="2"/>
      <c r="V78" s="6">
        <f t="shared" si="13"/>
        <v>0</v>
      </c>
      <c r="W78" s="2"/>
      <c r="X78" s="2">
        <f t="shared" si="14"/>
        <v>535.98</v>
      </c>
      <c r="Y78" s="2"/>
      <c r="Z78" s="6">
        <f t="shared" si="15"/>
        <v>0.27486153846153849</v>
      </c>
    </row>
    <row r="79" spans="1:26" s="69" customFormat="1" ht="15" hidden="1" customHeight="1" outlineLevel="2" x14ac:dyDescent="0.25">
      <c r="A79" s="25"/>
      <c r="B79" s="12" t="str">
        <f>CONCATENATE("          ","6274"," - ","UTILITIES")</f>
        <v xml:space="preserve">          6274 - UTILITIES</v>
      </c>
      <c r="C79" s="12"/>
      <c r="D79" s="7">
        <v>485.98</v>
      </c>
      <c r="E79" s="3"/>
      <c r="F79" s="8">
        <f t="shared" si="8"/>
        <v>6.6817061655162482E-3</v>
      </c>
      <c r="G79" s="3"/>
      <c r="H79" s="7">
        <v>348</v>
      </c>
      <c r="I79" s="3"/>
      <c r="J79" s="8">
        <f t="shared" si="9"/>
        <v>0</v>
      </c>
      <c r="K79" s="3"/>
      <c r="L79" s="7">
        <f t="shared" si="10"/>
        <v>137.98000000000002</v>
      </c>
      <c r="M79" s="3"/>
      <c r="N79" s="8">
        <f t="shared" si="11"/>
        <v>0.39649425287356327</v>
      </c>
      <c r="O79" s="12"/>
      <c r="P79" s="7">
        <v>2485.98</v>
      </c>
      <c r="Q79" s="3"/>
      <c r="R79" s="8">
        <f t="shared" si="12"/>
        <v>3.6907497946205921E-3</v>
      </c>
      <c r="S79" s="3"/>
      <c r="T79" s="7">
        <v>1950</v>
      </c>
      <c r="U79" s="3"/>
      <c r="V79" s="8">
        <f t="shared" si="13"/>
        <v>0</v>
      </c>
      <c r="W79" s="3"/>
      <c r="X79" s="7">
        <f t="shared" si="14"/>
        <v>535.98</v>
      </c>
      <c r="Y79" s="3"/>
      <c r="Z79" s="8">
        <f t="shared" si="15"/>
        <v>0.27486153846153849</v>
      </c>
    </row>
    <row r="80" spans="1:26" s="64" customFormat="1" ht="15" customHeight="1" x14ac:dyDescent="0.25">
      <c r="A80" s="36"/>
      <c r="B80" s="36"/>
      <c r="C80" s="36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3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62" customFormat="1" ht="15" customHeight="1" collapsed="1" x14ac:dyDescent="0.25">
      <c r="A81" s="11"/>
      <c r="B81" s="28" t="s">
        <v>290</v>
      </c>
      <c r="C81" s="11"/>
      <c r="D81" s="5">
        <f>SUM(OSRRefD25x_0)</f>
        <v>0</v>
      </c>
      <c r="E81" s="5"/>
      <c r="F81" s="13">
        <f>IF(D$12=0,0,D81/D$12)</f>
        <v>0</v>
      </c>
      <c r="G81" s="5"/>
      <c r="H81" s="5">
        <f>SUM(OSRRefH25x_0)</f>
        <v>0</v>
      </c>
      <c r="I81" s="5"/>
      <c r="J81" s="13">
        <f>IF(H$12=0,0,H81/H$12)</f>
        <v>0</v>
      </c>
      <c r="K81" s="5"/>
      <c r="L81" s="5">
        <f>+D81-H81</f>
        <v>0</v>
      </c>
      <c r="M81" s="5"/>
      <c r="N81" s="13">
        <f>IF(H81=0,0,L81/H81)</f>
        <v>0</v>
      </c>
      <c r="O81" s="11"/>
      <c r="P81" s="5">
        <f>SUM(OSRRefP25x_0)</f>
        <v>192</v>
      </c>
      <c r="Q81" s="5"/>
      <c r="R81" s="13">
        <f>IF(P$12=0,0,P81/P$12)</f>
        <v>2.8504813416324896E-4</v>
      </c>
      <c r="S81" s="5"/>
      <c r="T81" s="5">
        <f>SUM(OSRRefT25x_0)</f>
        <v>0</v>
      </c>
      <c r="U81" s="5"/>
      <c r="V81" s="13">
        <f>IF(T$12=0,0,T81/T$12)</f>
        <v>0</v>
      </c>
      <c r="W81" s="5"/>
      <c r="X81" s="5">
        <f>+P81-T81</f>
        <v>192</v>
      </c>
      <c r="Y81" s="5"/>
      <c r="Z81" s="13">
        <f>IF(T81=0,0,X81/T81)</f>
        <v>0</v>
      </c>
    </row>
    <row r="82" spans="1:26" s="69" customFormat="1" ht="15" hidden="1" customHeight="1" outlineLevel="1" x14ac:dyDescent="0.25">
      <c r="A82" s="42"/>
      <c r="B82" s="12" t="str">
        <f>CONCATENATE("          ","9150"," - ","MISC. INCOME")</f>
        <v xml:space="preserve">          9150 - MISC. INCOME</v>
      </c>
      <c r="C82" s="12"/>
      <c r="D82" s="3">
        <f>0</f>
        <v>0</v>
      </c>
      <c r="E82" s="3"/>
      <c r="F82" s="20">
        <f>IF(D$12=0,0,D82/D$12)</f>
        <v>0</v>
      </c>
      <c r="G82" s="3"/>
      <c r="H82" s="3">
        <f>0</f>
        <v>0</v>
      </c>
      <c r="I82" s="3"/>
      <c r="J82" s="20">
        <f>IF(H$12=0,0,H82/H$12)</f>
        <v>0</v>
      </c>
      <c r="K82" s="3"/>
      <c r="L82" s="3">
        <f>+D82-H82</f>
        <v>0</v>
      </c>
      <c r="M82" s="3"/>
      <c r="N82" s="20">
        <f>IF(H82=0,0,L82/H82)</f>
        <v>0</v>
      </c>
      <c r="O82" s="12"/>
      <c r="P82" s="3">
        <f>--192</f>
        <v>192</v>
      </c>
      <c r="Q82" s="3"/>
      <c r="R82" s="20">
        <f>IF(P$12=0,0,P82/P$12)</f>
        <v>2.8504813416324896E-4</v>
      </c>
      <c r="S82" s="3"/>
      <c r="T82" s="3">
        <f>0</f>
        <v>0</v>
      </c>
      <c r="U82" s="3"/>
      <c r="V82" s="20">
        <f>IF(T$12=0,0,T82/T$12)</f>
        <v>0</v>
      </c>
      <c r="W82" s="3"/>
      <c r="X82" s="3">
        <f>+P82-T82</f>
        <v>192</v>
      </c>
      <c r="Y82" s="3"/>
      <c r="Z82" s="20">
        <f>IF(T82=0,0,X82/T82)</f>
        <v>0</v>
      </c>
    </row>
    <row r="83" spans="1:26" ht="15" customHeight="1" x14ac:dyDescent="0.25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25">
      <c r="A84" s="11"/>
      <c r="B84" s="27" t="s">
        <v>291</v>
      </c>
      <c r="C84" s="27"/>
      <c r="D84" s="22">
        <f>+D20-D22+D81</f>
        <v>-1006.179999999993</v>
      </c>
      <c r="E84" s="15"/>
      <c r="F84" s="23">
        <f>IF(D$12=0,0,D84/D$12)</f>
        <v>-1.3833900797602971E-2</v>
      </c>
      <c r="G84" s="15"/>
      <c r="H84" s="22">
        <f>+H20-H22+H81</f>
        <v>-7546.01</v>
      </c>
      <c r="I84" s="15"/>
      <c r="J84" s="23">
        <f>IF(H$12=0,0,H84/H$12)</f>
        <v>0</v>
      </c>
      <c r="K84" s="16"/>
      <c r="L84" s="22">
        <f>+D84-H84</f>
        <v>6539.8300000000072</v>
      </c>
      <c r="M84" s="16"/>
      <c r="N84" s="23">
        <f>IF(H84=0,0,L84/H84)</f>
        <v>-0.86666065907678458</v>
      </c>
      <c r="O84" s="28"/>
      <c r="P84" s="22">
        <f>+P20-P22+P81</f>
        <v>-32544.330000000016</v>
      </c>
      <c r="Q84" s="15"/>
      <c r="R84" s="23">
        <f>IF(P$12=0,0,P84/P$12)</f>
        <v>-4.8316148667151317E-2</v>
      </c>
      <c r="S84" s="15"/>
      <c r="T84" s="22">
        <f>+T20-T22+T81</f>
        <v>-79560.889999999985</v>
      </c>
      <c r="U84" s="15"/>
      <c r="V84" s="23">
        <f>IF(T$12=0,0,T84/T$12)</f>
        <v>0</v>
      </c>
      <c r="W84" s="16"/>
      <c r="X84" s="22">
        <f>+P84-T84</f>
        <v>47016.559999999969</v>
      </c>
      <c r="Y84" s="16"/>
      <c r="Z84" s="23">
        <f>IF(T84=0,0,X84/T84)</f>
        <v>-0.59095065427246951</v>
      </c>
    </row>
    <row r="85" spans="1:26" ht="15" customHeight="1" x14ac:dyDescent="0.25">
      <c r="A85" s="10"/>
      <c r="B85" s="11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25">
      <c r="A86" s="48"/>
      <c r="B86" s="11" t="s">
        <v>292</v>
      </c>
      <c r="C86" s="11"/>
      <c r="D86" s="5">
        <v>7661.19</v>
      </c>
      <c r="E86" s="5"/>
      <c r="F86" s="13">
        <f>IF(D$12=0,0,D86/D$12)</f>
        <v>0.10533318337831067</v>
      </c>
      <c r="G86" s="5"/>
      <c r="H86" s="5"/>
      <c r="I86" s="5"/>
      <c r="J86" s="13">
        <f>IF(H$12=0,0,H86/H$12)</f>
        <v>0</v>
      </c>
      <c r="K86" s="5"/>
      <c r="L86" s="5">
        <f>+D86-H86</f>
        <v>7661.19</v>
      </c>
      <c r="M86" s="5"/>
      <c r="N86" s="13">
        <f>IF(H86=0,0,L86/H86)</f>
        <v>0</v>
      </c>
      <c r="O86" s="11"/>
      <c r="P86" s="5">
        <v>75726.399999999994</v>
      </c>
      <c r="Q86" s="5"/>
      <c r="R86" s="13">
        <f>IF(P$12=0,0,P86/P$12)</f>
        <v>0.11242535951510341</v>
      </c>
      <c r="S86" s="5"/>
      <c r="T86" s="5"/>
      <c r="U86" s="5"/>
      <c r="V86" s="13">
        <f>IF(T$12=0,0,T86/T$12)</f>
        <v>0</v>
      </c>
      <c r="W86" s="5"/>
      <c r="X86" s="5">
        <f>+P86-T86</f>
        <v>75726.399999999994</v>
      </c>
      <c r="Y86" s="5"/>
      <c r="Z86" s="13">
        <f>IF(T86=0,0,X86/T86)</f>
        <v>0</v>
      </c>
    </row>
    <row r="87" spans="1:26" ht="15" customHeight="1" x14ac:dyDescent="0.25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25">
      <c r="A88" s="11"/>
      <c r="B88" s="27" t="s">
        <v>293</v>
      </c>
      <c r="C88" s="27"/>
      <c r="D88" s="35">
        <f>+D84-D86</f>
        <v>-8667.3699999999917</v>
      </c>
      <c r="E88" s="15"/>
      <c r="F88" s="30">
        <f>IF(D$12=0,0,D88/D$12)</f>
        <v>-0.11916708417591362</v>
      </c>
      <c r="G88" s="15"/>
      <c r="H88" s="35">
        <f>+H84-H86</f>
        <v>-7546.01</v>
      </c>
      <c r="I88" s="15"/>
      <c r="J88" s="30">
        <f>IF(H$12=0,0,H88/H$12)</f>
        <v>0</v>
      </c>
      <c r="K88" s="16"/>
      <c r="L88" s="35">
        <f>D88-H88</f>
        <v>-1121.3599999999915</v>
      </c>
      <c r="M88" s="16"/>
      <c r="N88" s="30">
        <f>IF(H88=0,0,L88/H88)</f>
        <v>0.148603036571644</v>
      </c>
      <c r="O88" s="28"/>
      <c r="P88" s="35">
        <f>+P84-P86</f>
        <v>-108270.73000000001</v>
      </c>
      <c r="Q88" s="15"/>
      <c r="R88" s="30">
        <f>IF(P$12=0,0,P88/P$12)</f>
        <v>-0.16074150818225472</v>
      </c>
      <c r="S88" s="15"/>
      <c r="T88" s="35">
        <f>+T84-T86</f>
        <v>-79560.889999999985</v>
      </c>
      <c r="U88" s="15"/>
      <c r="V88" s="30">
        <f>IF(T$12=0,0,T88/T$12)</f>
        <v>0</v>
      </c>
      <c r="W88" s="16"/>
      <c r="X88" s="35">
        <f>P88-T88</f>
        <v>-28709.840000000026</v>
      </c>
      <c r="Y88" s="16"/>
      <c r="Z88" s="30">
        <f>IF(T88=0,0,X88/T88)</f>
        <v>0.3608536807469101</v>
      </c>
    </row>
    <row r="89" spans="1:26" ht="15" customHeight="1" x14ac:dyDescent="0.25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ht="15" customHeight="1" x14ac:dyDescent="0.25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25">
      <c r="A91" s="11"/>
      <c r="B91" s="27" t="s">
        <v>296</v>
      </c>
      <c r="C91" s="27"/>
      <c r="D91" s="32">
        <f>SUM(D88:D90)</f>
        <v>-8667.3699999999917</v>
      </c>
      <c r="E91" s="15"/>
      <c r="F91" s="34">
        <f>IF(D$12=0,0,D91/D$12)</f>
        <v>-0.11916708417591362</v>
      </c>
      <c r="G91" s="15"/>
      <c r="H91" s="32">
        <f>SUM(H88:H90)</f>
        <v>-7546.01</v>
      </c>
      <c r="I91" s="15"/>
      <c r="J91" s="34">
        <f>IF(H$12=0,0,H91/H$12)</f>
        <v>0</v>
      </c>
      <c r="K91" s="16"/>
      <c r="L91" s="32">
        <f>+D91-H91</f>
        <v>-1121.3599999999915</v>
      </c>
      <c r="M91" s="16"/>
      <c r="N91" s="34">
        <f>IF(H91=0,0,L91/H91)</f>
        <v>0.148603036571644</v>
      </c>
      <c r="O91" s="28"/>
      <c r="P91" s="32">
        <f>SUM(P88:P90)</f>
        <v>-108270.73000000001</v>
      </c>
      <c r="Q91" s="15"/>
      <c r="R91" s="34">
        <f>IF(P$12=0,0,P91/P$12)</f>
        <v>-0.16074150818225472</v>
      </c>
      <c r="S91" s="15"/>
      <c r="T91" s="32">
        <f>SUM(T88:T90)</f>
        <v>-79560.889999999985</v>
      </c>
      <c r="U91" s="15"/>
      <c r="V91" s="34">
        <f>IF(T$12=0,0,T91/T$12)</f>
        <v>0</v>
      </c>
      <c r="W91" s="16"/>
      <c r="X91" s="32">
        <f>+P91-T91</f>
        <v>-28709.840000000026</v>
      </c>
      <c r="Y91" s="16"/>
      <c r="Z91" s="34">
        <f>IF(T91=0,0,X91/T91)</f>
        <v>0.3608536807469101</v>
      </c>
    </row>
    <row r="92" spans="1:26" ht="15" customHeight="1" x14ac:dyDescent="0.25">
      <c r="A92" s="10"/>
      <c r="C92" s="10"/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  <row r="93" spans="1:26" ht="15" customHeight="1" x14ac:dyDescent="0.25">
      <c r="A93" s="10"/>
      <c r="B93" s="50">
        <v>44727.879654085649</v>
      </c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  <row r="94" spans="1:26" ht="15" customHeight="1" x14ac:dyDescent="0.25">
      <c r="A94" s="10"/>
      <c r="B94" s="53" t="s">
        <v>297</v>
      </c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  <row r="95" spans="1:26" ht="15" customHeight="1" x14ac:dyDescent="0.25">
      <c r="A95" s="10"/>
      <c r="B95" s="55"/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  <row r="96" spans="1:26" ht="15" customHeight="1" x14ac:dyDescent="0.25">
      <c r="D96" s="18"/>
      <c r="E96" s="18"/>
      <c r="G96" s="18"/>
      <c r="H96" s="18"/>
      <c r="I96" s="18"/>
      <c r="J96" s="41"/>
      <c r="K96" s="18"/>
      <c r="L96" s="18"/>
      <c r="M96" s="18"/>
      <c r="P96" s="18"/>
      <c r="Q96" s="18"/>
      <c r="R96" s="41"/>
      <c r="S96" s="18"/>
      <c r="T96" s="18"/>
      <c r="U96" s="18"/>
      <c r="V96" s="41"/>
      <c r="W96" s="18"/>
      <c r="X9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47F3-B3E9-E956-851F-57DD88DEBA24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","406"," - ","OPA! Greek")</f>
        <v>Department 406 - OPA! Greek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0</v>
      </c>
      <c r="E18" s="21"/>
      <c r="F18" s="31">
        <f t="shared" ref="F18:F28" si="0">IF(D$12=0,0,D18/D$12)</f>
        <v>0</v>
      </c>
      <c r="G18" s="21"/>
      <c r="H18" s="21" cm="1">
        <f t="array" ref="H18">SUM(OSRRefH22x_0)</f>
        <v>119.55</v>
      </c>
      <c r="I18" s="21"/>
      <c r="J18" s="31">
        <f t="shared" ref="J18:J28" si="1">IF(H$12=0,0,H18/H$12)</f>
        <v>0</v>
      </c>
      <c r="K18" s="5"/>
      <c r="L18" s="21">
        <f t="shared" ref="L18:L28" si="2">+D18-H18</f>
        <v>-119.55</v>
      </c>
      <c r="M18" s="5"/>
      <c r="N18" s="31">
        <f t="shared" ref="N18:N28" si="3">IF(H18=0,0,L18/H18)</f>
        <v>-1</v>
      </c>
      <c r="O18" s="11"/>
      <c r="P18" s="21" cm="1">
        <f t="array" ref="P18">SUM(OSRRefP22x_0)</f>
        <v>69.290000000000006</v>
      </c>
      <c r="Q18" s="21"/>
      <c r="R18" s="31">
        <f t="shared" ref="R18:R28" si="4">IF(P$12=0,0,P18/P$12)</f>
        <v>0</v>
      </c>
      <c r="S18" s="21"/>
      <c r="T18" s="21" cm="1">
        <f t="array" ref="T18">SUM(OSRRefT22x_0)</f>
        <v>2411.54</v>
      </c>
      <c r="U18" s="21"/>
      <c r="V18" s="31">
        <f t="shared" ref="V18:V28" si="5">IF(T$12=0,0,T18/T$12)</f>
        <v>0</v>
      </c>
      <c r="W18" s="5"/>
      <c r="X18" s="21">
        <f t="shared" ref="X18:X28" si="6">+P18-T18</f>
        <v>-2342.25</v>
      </c>
      <c r="Y18" s="5"/>
      <c r="Z18" s="31">
        <f t="shared" ref="Z18:Z28" si="7">IF(T18=0,0,X18/T18)</f>
        <v>-0.97126732295545581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660.8</v>
      </c>
      <c r="U19" s="2"/>
      <c r="V19" s="6">
        <f t="shared" si="5"/>
        <v>0</v>
      </c>
      <c r="W19" s="2"/>
      <c r="X19" s="2">
        <f t="shared" si="6"/>
        <v>-660.8</v>
      </c>
      <c r="Y19" s="2"/>
      <c r="Z19" s="6">
        <f t="shared" si="7"/>
        <v>-1</v>
      </c>
    </row>
    <row r="20" spans="1:26" s="69" customFormat="1" ht="15" hidden="1" customHeight="1" outlineLevel="2" x14ac:dyDescent="0.25">
      <c r="A20" s="25"/>
      <c r="B20" s="12" t="str">
        <f>CONCATENATE("          ","6113"," - ","GROUP INSURANCE")</f>
        <v xml:space="preserve">          6113 - GROUP INSURANCE</v>
      </c>
      <c r="C20" s="12"/>
      <c r="D20" s="7"/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/>
      <c r="Q20" s="3"/>
      <c r="R20" s="8">
        <f t="shared" si="4"/>
        <v>0</v>
      </c>
      <c r="S20" s="3"/>
      <c r="T20" s="7">
        <v>660.8</v>
      </c>
      <c r="U20" s="3"/>
      <c r="V20" s="8">
        <f t="shared" si="5"/>
        <v>0</v>
      </c>
      <c r="W20" s="3"/>
      <c r="X20" s="7">
        <f t="shared" si="6"/>
        <v>-660.8</v>
      </c>
      <c r="Y20" s="3"/>
      <c r="Z20" s="8">
        <f t="shared" si="7"/>
        <v>-1</v>
      </c>
    </row>
    <row r="21" spans="1:26" s="68" customFormat="1" ht="15" customHeight="1" outlineLevel="1" collapsed="1" x14ac:dyDescent="0.25">
      <c r="A21" s="26"/>
      <c r="B21" s="14" t="str">
        <f>CONCATENATE("     ","Depreciation                                      ")</f>
        <v xml:space="preserve">     Depreciation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119.55</v>
      </c>
      <c r="I21" s="2"/>
      <c r="J21" s="6">
        <f t="shared" si="1"/>
        <v>0</v>
      </c>
      <c r="K21" s="2"/>
      <c r="L21" s="2">
        <f t="shared" si="2"/>
        <v>-119.55</v>
      </c>
      <c r="M21" s="2"/>
      <c r="N21" s="6">
        <f t="shared" si="3"/>
        <v>-1</v>
      </c>
      <c r="O21" s="14"/>
      <c r="P21" s="2">
        <f>SUM(OSRRefP22_1x_0)</f>
        <v>0</v>
      </c>
      <c r="Q21" s="2"/>
      <c r="R21" s="6">
        <f t="shared" si="4"/>
        <v>0</v>
      </c>
      <c r="S21" s="2"/>
      <c r="T21" s="2">
        <f>SUM(OSRRefT22_1x_0)</f>
        <v>1315.05</v>
      </c>
      <c r="U21" s="2"/>
      <c r="V21" s="6">
        <f t="shared" si="5"/>
        <v>0</v>
      </c>
      <c r="W21" s="2"/>
      <c r="X21" s="2">
        <f t="shared" si="6"/>
        <v>-1315.05</v>
      </c>
      <c r="Y21" s="2"/>
      <c r="Z21" s="6">
        <f t="shared" si="7"/>
        <v>-1</v>
      </c>
    </row>
    <row r="22" spans="1:26" s="69" customFormat="1" ht="15" hidden="1" customHeight="1" outlineLevel="2" x14ac:dyDescent="0.25">
      <c r="A22" s="25"/>
      <c r="B22" s="12" t="str">
        <f>CONCATENATE("          ","6322"," - ","EQUIPMENT DEPRECIATION EXPENSE")</f>
        <v xml:space="preserve">          6322 - EQUIPMENT DEPRECIATION EXPENSE</v>
      </c>
      <c r="C22" s="12"/>
      <c r="D22" s="7"/>
      <c r="E22" s="3"/>
      <c r="F22" s="8">
        <f t="shared" si="0"/>
        <v>0</v>
      </c>
      <c r="G22" s="3"/>
      <c r="H22" s="7">
        <v>119.55</v>
      </c>
      <c r="I22" s="3"/>
      <c r="J22" s="8">
        <f t="shared" si="1"/>
        <v>0</v>
      </c>
      <c r="K22" s="3"/>
      <c r="L22" s="7">
        <f t="shared" si="2"/>
        <v>-119.55</v>
      </c>
      <c r="M22" s="3"/>
      <c r="N22" s="8">
        <f t="shared" si="3"/>
        <v>-1</v>
      </c>
      <c r="O22" s="12"/>
      <c r="P22" s="7"/>
      <c r="Q22" s="3"/>
      <c r="R22" s="8">
        <f t="shared" si="4"/>
        <v>0</v>
      </c>
      <c r="S22" s="3"/>
      <c r="T22" s="7">
        <v>1315.05</v>
      </c>
      <c r="U22" s="3"/>
      <c r="V22" s="8">
        <f t="shared" si="5"/>
        <v>0</v>
      </c>
      <c r="W22" s="3"/>
      <c r="X22" s="7">
        <f t="shared" si="6"/>
        <v>-1315.05</v>
      </c>
      <c r="Y22" s="3"/>
      <c r="Z22" s="8">
        <f t="shared" si="7"/>
        <v>-1</v>
      </c>
    </row>
    <row r="23" spans="1:26" s="68" customFormat="1" ht="15" customHeight="1" outlineLevel="1" collapsed="1" x14ac:dyDescent="0.25">
      <c r="A23" s="26"/>
      <c r="B23" s="14" t="str">
        <f>CONCATENATE("     ","Equipment Rental                                  ")</f>
        <v xml:space="preserve">     Equipment Rental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64.02</v>
      </c>
      <c r="U23" s="2"/>
      <c r="V23" s="6">
        <f t="shared" si="5"/>
        <v>0</v>
      </c>
      <c r="W23" s="2"/>
      <c r="X23" s="2">
        <f t="shared" si="6"/>
        <v>-64.02</v>
      </c>
      <c r="Y23" s="2"/>
      <c r="Z23" s="6">
        <f t="shared" si="7"/>
        <v>-1</v>
      </c>
    </row>
    <row r="24" spans="1:26" s="69" customFormat="1" ht="15" hidden="1" customHeight="1" outlineLevel="2" x14ac:dyDescent="0.25">
      <c r="A24" s="25"/>
      <c r="B24" s="12" t="str">
        <f>CONCATENATE("          ","6351"," - ","EQUIPMENT RENTAL")</f>
        <v xml:space="preserve">          6351 - EQUIPMENT RENTAL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64.02</v>
      </c>
      <c r="U24" s="3"/>
      <c r="V24" s="8">
        <f t="shared" si="5"/>
        <v>0</v>
      </c>
      <c r="W24" s="3"/>
      <c r="X24" s="7">
        <f t="shared" si="6"/>
        <v>-64.02</v>
      </c>
      <c r="Y24" s="3"/>
      <c r="Z24" s="8">
        <f t="shared" si="7"/>
        <v>-1</v>
      </c>
    </row>
    <row r="25" spans="1:26" s="68" customFormat="1" ht="15" customHeight="1" outlineLevel="1" collapsed="1" x14ac:dyDescent="0.25">
      <c r="A25" s="26"/>
      <c r="B25" s="14" t="str">
        <f>CONCATENATE("     ","Repair and Maintenance                            ")</f>
        <v xml:space="preserve">     Repair and Maintenance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69.290000000000006</v>
      </c>
      <c r="Q25" s="2"/>
      <c r="R25" s="6">
        <f t="shared" si="4"/>
        <v>0</v>
      </c>
      <c r="S25" s="2"/>
      <c r="T25" s="2">
        <f>SUM(OSRRefT22_3x_0)</f>
        <v>286.47000000000003</v>
      </c>
      <c r="U25" s="2"/>
      <c r="V25" s="6">
        <f t="shared" si="5"/>
        <v>0</v>
      </c>
      <c r="W25" s="2"/>
      <c r="X25" s="2">
        <f t="shared" si="6"/>
        <v>-217.18</v>
      </c>
      <c r="Y25" s="2"/>
      <c r="Z25" s="6">
        <f t="shared" si="7"/>
        <v>-0.75812476000977413</v>
      </c>
    </row>
    <row r="26" spans="1:26" s="69" customFormat="1" ht="15" hidden="1" customHeight="1" outlineLevel="2" x14ac:dyDescent="0.25">
      <c r="A26" s="25"/>
      <c r="B26" s="12" t="str">
        <f>CONCATENATE("          ","6373"," - ","MAINTENANCE CONTRACTS")</f>
        <v xml:space="preserve">          6373 - MAINTENANCE CONTRACTS</v>
      </c>
      <c r="C26" s="12"/>
      <c r="D26" s="7"/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>
        <v>69.290000000000006</v>
      </c>
      <c r="Q26" s="3"/>
      <c r="R26" s="8">
        <f t="shared" si="4"/>
        <v>0</v>
      </c>
      <c r="S26" s="3"/>
      <c r="T26" s="7">
        <v>286.47000000000003</v>
      </c>
      <c r="U26" s="3"/>
      <c r="V26" s="8">
        <f t="shared" si="5"/>
        <v>0</v>
      </c>
      <c r="W26" s="3"/>
      <c r="X26" s="7">
        <f t="shared" si="6"/>
        <v>-217.18</v>
      </c>
      <c r="Y26" s="3"/>
      <c r="Z26" s="8">
        <f t="shared" si="7"/>
        <v>-0.75812476000977413</v>
      </c>
    </row>
    <row r="27" spans="1:26" s="68" customFormat="1" ht="15" customHeight="1" outlineLevel="1" collapsed="1" x14ac:dyDescent="0.25">
      <c r="A27" s="26"/>
      <c r="B27" s="14" t="str">
        <f>CONCATENATE("     ","Telephone/Data Lines                              ")</f>
        <v xml:space="preserve">     Telephone/Data Lines                              </v>
      </c>
      <c r="C27" s="14"/>
      <c r="D27" s="2">
        <f>SUM(OSRRefD22_4x_0)</f>
        <v>0</v>
      </c>
      <c r="E27" s="2"/>
      <c r="F27" s="6">
        <f t="shared" si="0"/>
        <v>0</v>
      </c>
      <c r="G27" s="2"/>
      <c r="H27" s="2">
        <f>SUM(OSRRefH22_4x_0)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SUM(OSRRefP22_4x_0)</f>
        <v>0</v>
      </c>
      <c r="Q27" s="2"/>
      <c r="R27" s="6">
        <f t="shared" si="4"/>
        <v>0</v>
      </c>
      <c r="S27" s="2"/>
      <c r="T27" s="2">
        <f>SUM(OSRRefT22_4x_0)</f>
        <v>85.2</v>
      </c>
      <c r="U27" s="2"/>
      <c r="V27" s="6">
        <f t="shared" si="5"/>
        <v>0</v>
      </c>
      <c r="W27" s="2"/>
      <c r="X27" s="2">
        <f t="shared" si="6"/>
        <v>-85.2</v>
      </c>
      <c r="Y27" s="2"/>
      <c r="Z27" s="6">
        <f t="shared" si="7"/>
        <v>-1</v>
      </c>
    </row>
    <row r="28" spans="1:26" s="69" customFormat="1" ht="15" hidden="1" customHeight="1" outlineLevel="2" x14ac:dyDescent="0.25">
      <c r="A28" s="25"/>
      <c r="B28" s="12" t="str">
        <f>CONCATENATE("          ","6309"," - ","TELEPHONE")</f>
        <v xml:space="preserve">          6309 - TELEPHONE</v>
      </c>
      <c r="C28" s="12"/>
      <c r="D28" s="7"/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0</v>
      </c>
      <c r="M28" s="3"/>
      <c r="N28" s="8">
        <f t="shared" si="3"/>
        <v>0</v>
      </c>
      <c r="O28" s="12"/>
      <c r="P28" s="7"/>
      <c r="Q28" s="3"/>
      <c r="R28" s="8">
        <f t="shared" si="4"/>
        <v>0</v>
      </c>
      <c r="S28" s="3"/>
      <c r="T28" s="7">
        <v>85.2</v>
      </c>
      <c r="U28" s="3"/>
      <c r="V28" s="8">
        <f t="shared" si="5"/>
        <v>0</v>
      </c>
      <c r="W28" s="3"/>
      <c r="X28" s="7">
        <f t="shared" si="6"/>
        <v>-85.2</v>
      </c>
      <c r="Y28" s="3"/>
      <c r="Z28" s="8">
        <f t="shared" si="7"/>
        <v>-1</v>
      </c>
    </row>
    <row r="29" spans="1:26" s="64" customFormat="1" ht="15" customHeight="1" x14ac:dyDescent="0.25">
      <c r="A29" s="36"/>
      <c r="B29" s="36"/>
      <c r="C29" s="36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2" customFormat="1" ht="15" customHeight="1" x14ac:dyDescent="0.25">
      <c r="A30" s="11"/>
      <c r="B30" s="28" t="s">
        <v>290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25">
      <c r="A32" s="11"/>
      <c r="B32" s="27" t="s">
        <v>291</v>
      </c>
      <c r="C32" s="27"/>
      <c r="D32" s="22">
        <f>+D16-D18+D30</f>
        <v>0</v>
      </c>
      <c r="E32" s="15"/>
      <c r="F32" s="23">
        <f>IF(D$12=0,0,D32/D$12)</f>
        <v>0</v>
      </c>
      <c r="G32" s="15"/>
      <c r="H32" s="22">
        <f>+H16-H18+H30</f>
        <v>-119.55</v>
      </c>
      <c r="I32" s="15"/>
      <c r="J32" s="23">
        <f>IF(H$12=0,0,H32/H$12)</f>
        <v>0</v>
      </c>
      <c r="K32" s="16"/>
      <c r="L32" s="22">
        <f>+D32-H32</f>
        <v>119.55</v>
      </c>
      <c r="M32" s="16"/>
      <c r="N32" s="23">
        <f>IF(H32=0,0,L32/H32)</f>
        <v>-1</v>
      </c>
      <c r="O32" s="28"/>
      <c r="P32" s="22">
        <f>+P16-P18+P30</f>
        <v>-69.290000000000006</v>
      </c>
      <c r="Q32" s="15"/>
      <c r="R32" s="23">
        <f>IF(P$12=0,0,P32/P$12)</f>
        <v>0</v>
      </c>
      <c r="S32" s="15"/>
      <c r="T32" s="22">
        <f>+T16-T18+T30</f>
        <v>-2411.54</v>
      </c>
      <c r="U32" s="15"/>
      <c r="V32" s="23">
        <f>IF(T$12=0,0,T32/T$12)</f>
        <v>0</v>
      </c>
      <c r="W32" s="16"/>
      <c r="X32" s="22">
        <f>+P32-T32</f>
        <v>2342.25</v>
      </c>
      <c r="Y32" s="16"/>
      <c r="Z32" s="23">
        <f>IF(T32=0,0,X32/T32)</f>
        <v>-0.97126732295545581</v>
      </c>
    </row>
    <row r="33" spans="1:26" ht="15" customHeight="1" x14ac:dyDescent="0.25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25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25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293</v>
      </c>
      <c r="C36" s="27"/>
      <c r="D36" s="35">
        <f>+D32-D34</f>
        <v>0</v>
      </c>
      <c r="E36" s="15"/>
      <c r="F36" s="30">
        <f>IF(D$12=0,0,D36/D$12)</f>
        <v>0</v>
      </c>
      <c r="G36" s="15"/>
      <c r="H36" s="35">
        <f>+H32-H34</f>
        <v>-119.55</v>
      </c>
      <c r="I36" s="15"/>
      <c r="J36" s="30">
        <f>IF(H$12=0,0,H36/H$12)</f>
        <v>0</v>
      </c>
      <c r="K36" s="16"/>
      <c r="L36" s="35">
        <f>D36-H36</f>
        <v>119.55</v>
      </c>
      <c r="M36" s="16"/>
      <c r="N36" s="30">
        <f>IF(H36=0,0,L36/H36)</f>
        <v>-1</v>
      </c>
      <c r="O36" s="28"/>
      <c r="P36" s="35">
        <f>+P32-P34</f>
        <v>-69.290000000000006</v>
      </c>
      <c r="Q36" s="15"/>
      <c r="R36" s="30">
        <f>IF(P$12=0,0,P36/P$12)</f>
        <v>0</v>
      </c>
      <c r="S36" s="15"/>
      <c r="T36" s="35">
        <f>+T32-T34</f>
        <v>-2411.54</v>
      </c>
      <c r="U36" s="15"/>
      <c r="V36" s="30">
        <f>IF(T$12=0,0,T36/T$12)</f>
        <v>0</v>
      </c>
      <c r="W36" s="16"/>
      <c r="X36" s="35">
        <f>P36-T36</f>
        <v>2342.25</v>
      </c>
      <c r="Y36" s="16"/>
      <c r="Z36" s="30">
        <f>IF(T36=0,0,X36/T36)</f>
        <v>-0.97126732295545581</v>
      </c>
    </row>
    <row r="37" spans="1:26" ht="15" customHeight="1" x14ac:dyDescent="0.25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25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25">
      <c r="A39" s="11"/>
      <c r="B39" s="27" t="s">
        <v>296</v>
      </c>
      <c r="C39" s="27"/>
      <c r="D39" s="32">
        <f>SUM(D36:D38)</f>
        <v>0</v>
      </c>
      <c r="E39" s="15"/>
      <c r="F39" s="34">
        <f>IF(D$12=0,0,D39/D$12)</f>
        <v>0</v>
      </c>
      <c r="G39" s="15"/>
      <c r="H39" s="32">
        <f>SUM(H36:H38)</f>
        <v>-119.55</v>
      </c>
      <c r="I39" s="15"/>
      <c r="J39" s="34">
        <f>IF(H$12=0,0,H39/H$12)</f>
        <v>0</v>
      </c>
      <c r="K39" s="16"/>
      <c r="L39" s="32">
        <f>+D39-H39</f>
        <v>119.55</v>
      </c>
      <c r="M39" s="16"/>
      <c r="N39" s="34">
        <f>IF(H39=0,0,L39/H39)</f>
        <v>-1</v>
      </c>
      <c r="O39" s="28"/>
      <c r="P39" s="32">
        <f>SUM(P36:P38)</f>
        <v>-69.290000000000006</v>
      </c>
      <c r="Q39" s="15"/>
      <c r="R39" s="34">
        <f>IF(P$12=0,0,P39/P$12)</f>
        <v>0</v>
      </c>
      <c r="S39" s="15"/>
      <c r="T39" s="32">
        <f>SUM(T36:T38)</f>
        <v>-2411.54</v>
      </c>
      <c r="U39" s="15"/>
      <c r="V39" s="34">
        <f>IF(T$12=0,0,T39/T$12)</f>
        <v>0</v>
      </c>
      <c r="W39" s="16"/>
      <c r="X39" s="32">
        <f>+P39-T39</f>
        <v>2342.25</v>
      </c>
      <c r="Y39" s="16"/>
      <c r="Z39" s="34">
        <f>IF(T39=0,0,X39/T39)</f>
        <v>-0.97126732295545581</v>
      </c>
    </row>
    <row r="40" spans="1:26" ht="15" customHeight="1" x14ac:dyDescent="0.25">
      <c r="A40" s="10"/>
      <c r="C40" s="10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A41" s="10"/>
      <c r="B41" s="50">
        <v>44727.879654085649</v>
      </c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25">
      <c r="A42" s="10"/>
      <c r="B42" s="53" t="s">
        <v>297</v>
      </c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  <row r="43" spans="1:26" ht="15" customHeight="1" x14ac:dyDescent="0.25">
      <c r="A43" s="10"/>
      <c r="B43" s="55"/>
      <c r="D43" s="18"/>
      <c r="E43" s="18"/>
      <c r="G43" s="18"/>
      <c r="H43" s="18"/>
      <c r="I43" s="18"/>
      <c r="J43" s="41"/>
      <c r="K43" s="18"/>
      <c r="L43" s="18"/>
      <c r="M43" s="18"/>
      <c r="P43" s="18"/>
      <c r="Q43" s="18"/>
      <c r="R43" s="41"/>
      <c r="S43" s="18"/>
      <c r="T43" s="18"/>
      <c r="U43" s="18"/>
      <c r="V43" s="41"/>
      <c r="W43" s="18"/>
      <c r="X43" s="18"/>
    </row>
    <row r="44" spans="1:26" ht="15" customHeight="1" x14ac:dyDescent="0.25">
      <c r="D44" s="18"/>
      <c r="E44" s="18"/>
      <c r="G44" s="18"/>
      <c r="H44" s="18"/>
      <c r="I44" s="18"/>
      <c r="J44" s="41"/>
      <c r="K44" s="18"/>
      <c r="L44" s="18"/>
      <c r="M44" s="18"/>
      <c r="P44" s="18"/>
      <c r="Q44" s="18"/>
      <c r="R44" s="41"/>
      <c r="S44" s="18"/>
      <c r="T44" s="18"/>
      <c r="U44" s="18"/>
      <c r="V44" s="41"/>
      <c r="W44" s="18"/>
      <c r="X4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41E15-E62E-1243-15C1-798303767273}">
  <sheetPr>
    <tabColor rgb="FF92D050"/>
    <outlinePr summaryBelow="0" summaryRight="0"/>
  </sheetPr>
  <dimension ref="A2:Z9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","411"," - ","University Dining")</f>
        <v>Department 411 - University Dining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63877.020000000004</v>
      </c>
      <c r="E18" s="21"/>
      <c r="F18" s="31">
        <f t="shared" ref="F18:F49" si="0">IF(D$12=0,0,D18/D$12)</f>
        <v>0</v>
      </c>
      <c r="G18" s="21"/>
      <c r="H18" s="21" cm="1">
        <f t="array" ref="H18">SUM(OSRRefH22x_0)</f>
        <v>39528.89</v>
      </c>
      <c r="I18" s="21"/>
      <c r="J18" s="31">
        <f t="shared" ref="J18:J49" si="1">IF(H$12=0,0,H18/H$12)</f>
        <v>0</v>
      </c>
      <c r="K18" s="5"/>
      <c r="L18" s="21">
        <f t="shared" ref="L18:L49" si="2">+D18-H18</f>
        <v>24348.130000000005</v>
      </c>
      <c r="M18" s="5"/>
      <c r="N18" s="31">
        <f t="shared" ref="N18:N49" si="3">IF(H18=0,0,L18/H18)</f>
        <v>0.61595784753885086</v>
      </c>
      <c r="O18" s="11"/>
      <c r="P18" s="21" cm="1">
        <f t="array" ref="P18">SUM(OSRRefP22x_0)</f>
        <v>567951.11999999988</v>
      </c>
      <c r="Q18" s="21"/>
      <c r="R18" s="31">
        <f t="shared" ref="R18:R49" si="4">IF(P$12=0,0,P18/P$12)</f>
        <v>0</v>
      </c>
      <c r="S18" s="21"/>
      <c r="T18" s="21" cm="1">
        <f t="array" ref="T18">SUM(OSRRefT22x_0)</f>
        <v>330979.61</v>
      </c>
      <c r="U18" s="21"/>
      <c r="V18" s="31">
        <f t="shared" ref="V18:V49" si="5">IF(T$12=0,0,T18/T$12)</f>
        <v>0</v>
      </c>
      <c r="W18" s="5"/>
      <c r="X18" s="21">
        <f t="shared" ref="X18:X49" si="6">+P18-T18</f>
        <v>236971.50999999989</v>
      </c>
      <c r="Y18" s="5"/>
      <c r="Z18" s="31">
        <f t="shared" ref="Z18:Z49" si="7">IF(T18=0,0,X18/T18)</f>
        <v>0.71597011670900179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9410.3599999999988</v>
      </c>
      <c r="E19" s="2"/>
      <c r="F19" s="6">
        <f t="shared" si="0"/>
        <v>0</v>
      </c>
      <c r="G19" s="2"/>
      <c r="H19" s="2">
        <f>SUM(OSRRefH22_0x_0)</f>
        <v>5705.2699999999995</v>
      </c>
      <c r="I19" s="2"/>
      <c r="J19" s="6">
        <f t="shared" si="1"/>
        <v>0</v>
      </c>
      <c r="K19" s="2"/>
      <c r="L19" s="2">
        <f t="shared" si="2"/>
        <v>3705.0899999999992</v>
      </c>
      <c r="M19" s="2"/>
      <c r="N19" s="6">
        <f t="shared" si="3"/>
        <v>0.64941536509227427</v>
      </c>
      <c r="O19" s="14"/>
      <c r="P19" s="2">
        <f>SUM(OSRRefP22_0x_0)</f>
        <v>117365.81000000001</v>
      </c>
      <c r="Q19" s="2"/>
      <c r="R19" s="6">
        <f t="shared" si="4"/>
        <v>0</v>
      </c>
      <c r="S19" s="2"/>
      <c r="T19" s="2">
        <f>SUM(OSRRefT22_0x_0)</f>
        <v>66226.31</v>
      </c>
      <c r="U19" s="2"/>
      <c r="V19" s="6">
        <f t="shared" si="5"/>
        <v>0</v>
      </c>
      <c r="W19" s="2"/>
      <c r="X19" s="2">
        <f t="shared" si="6"/>
        <v>51139.500000000015</v>
      </c>
      <c r="Y19" s="2"/>
      <c r="Z19" s="6">
        <f t="shared" si="7"/>
        <v>0.77219310573094013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>
        <v>1381.25</v>
      </c>
      <c r="E20" s="3"/>
      <c r="F20" s="8">
        <f t="shared" si="0"/>
        <v>0</v>
      </c>
      <c r="G20" s="3"/>
      <c r="H20" s="7">
        <v>852.54</v>
      </c>
      <c r="I20" s="3"/>
      <c r="J20" s="8">
        <f t="shared" si="1"/>
        <v>0</v>
      </c>
      <c r="K20" s="3"/>
      <c r="L20" s="7">
        <f t="shared" si="2"/>
        <v>528.71</v>
      </c>
      <c r="M20" s="3"/>
      <c r="N20" s="8">
        <f t="shared" si="3"/>
        <v>0.62015858493443132</v>
      </c>
      <c r="O20" s="12"/>
      <c r="P20" s="7">
        <v>16415.78</v>
      </c>
      <c r="Q20" s="3"/>
      <c r="R20" s="8">
        <f t="shared" si="4"/>
        <v>0</v>
      </c>
      <c r="S20" s="3"/>
      <c r="T20" s="7">
        <v>10027.93</v>
      </c>
      <c r="U20" s="3"/>
      <c r="V20" s="8">
        <f t="shared" si="5"/>
        <v>0</v>
      </c>
      <c r="W20" s="3"/>
      <c r="X20" s="7">
        <f t="shared" si="6"/>
        <v>6387.8499999999985</v>
      </c>
      <c r="Y20" s="3"/>
      <c r="Z20" s="8">
        <f t="shared" si="7"/>
        <v>0.63700584268139071</v>
      </c>
    </row>
    <row r="21" spans="1:26" s="69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7">
        <v>350.34</v>
      </c>
      <c r="E21" s="3"/>
      <c r="F21" s="8">
        <f t="shared" si="0"/>
        <v>0</v>
      </c>
      <c r="G21" s="3"/>
      <c r="H21" s="7">
        <v>55.29</v>
      </c>
      <c r="I21" s="3"/>
      <c r="J21" s="8">
        <f t="shared" si="1"/>
        <v>0</v>
      </c>
      <c r="K21" s="3"/>
      <c r="L21" s="7">
        <f t="shared" si="2"/>
        <v>295.04999999999995</v>
      </c>
      <c r="M21" s="3"/>
      <c r="N21" s="8">
        <f t="shared" si="3"/>
        <v>5.3364080303852406</v>
      </c>
      <c r="O21" s="12"/>
      <c r="P21" s="7">
        <v>2753.1</v>
      </c>
      <c r="Q21" s="3"/>
      <c r="R21" s="8">
        <f t="shared" si="4"/>
        <v>0</v>
      </c>
      <c r="S21" s="3"/>
      <c r="T21" s="7">
        <v>569.15</v>
      </c>
      <c r="U21" s="3"/>
      <c r="V21" s="8">
        <f t="shared" si="5"/>
        <v>0</v>
      </c>
      <c r="W21" s="3"/>
      <c r="X21" s="7">
        <f t="shared" si="6"/>
        <v>2183.9499999999998</v>
      </c>
      <c r="Y21" s="3"/>
      <c r="Z21" s="8">
        <f t="shared" si="7"/>
        <v>3.8372133883861896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>
        <v>3042.72</v>
      </c>
      <c r="E22" s="3"/>
      <c r="F22" s="8">
        <f t="shared" si="0"/>
        <v>0</v>
      </c>
      <c r="G22" s="3"/>
      <c r="H22" s="7">
        <v>1920.87</v>
      </c>
      <c r="I22" s="3"/>
      <c r="J22" s="8">
        <f t="shared" si="1"/>
        <v>0</v>
      </c>
      <c r="K22" s="3"/>
      <c r="L22" s="7">
        <f t="shared" si="2"/>
        <v>1121.8499999999999</v>
      </c>
      <c r="M22" s="3"/>
      <c r="N22" s="8">
        <f t="shared" si="3"/>
        <v>0.58403223539333737</v>
      </c>
      <c r="O22" s="12"/>
      <c r="P22" s="7">
        <v>35142.51</v>
      </c>
      <c r="Q22" s="3"/>
      <c r="R22" s="8">
        <f t="shared" si="4"/>
        <v>0</v>
      </c>
      <c r="S22" s="3"/>
      <c r="T22" s="7">
        <v>20174.82</v>
      </c>
      <c r="U22" s="3"/>
      <c r="V22" s="8">
        <f t="shared" si="5"/>
        <v>0</v>
      </c>
      <c r="W22" s="3"/>
      <c r="X22" s="7">
        <f t="shared" si="6"/>
        <v>14967.690000000002</v>
      </c>
      <c r="Y22" s="3"/>
      <c r="Z22" s="8">
        <f t="shared" si="7"/>
        <v>0.74189955598116875</v>
      </c>
    </row>
    <row r="23" spans="1:26" s="69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7">
        <v>70.61</v>
      </c>
      <c r="E23" s="3"/>
      <c r="F23" s="8">
        <f t="shared" si="0"/>
        <v>0</v>
      </c>
      <c r="G23" s="3"/>
      <c r="H23" s="7">
        <v>43.56</v>
      </c>
      <c r="I23" s="3"/>
      <c r="J23" s="8">
        <f t="shared" si="1"/>
        <v>0</v>
      </c>
      <c r="K23" s="3"/>
      <c r="L23" s="7">
        <f t="shared" si="2"/>
        <v>27.049999999999997</v>
      </c>
      <c r="M23" s="3"/>
      <c r="N23" s="8">
        <f t="shared" si="3"/>
        <v>0.62098255280073456</v>
      </c>
      <c r="O23" s="12"/>
      <c r="P23" s="7">
        <v>554.85</v>
      </c>
      <c r="Q23" s="3"/>
      <c r="R23" s="8">
        <f t="shared" si="4"/>
        <v>0</v>
      </c>
      <c r="S23" s="3"/>
      <c r="T23" s="7">
        <v>383.53</v>
      </c>
      <c r="U23" s="3"/>
      <c r="V23" s="8">
        <f t="shared" si="5"/>
        <v>0</v>
      </c>
      <c r="W23" s="3"/>
      <c r="X23" s="7">
        <f t="shared" si="6"/>
        <v>171.32000000000005</v>
      </c>
      <c r="Y23" s="3"/>
      <c r="Z23" s="8">
        <f t="shared" si="7"/>
        <v>0.44669256642244431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>
        <v>1948.13</v>
      </c>
      <c r="E24" s="3"/>
      <c r="F24" s="8">
        <f t="shared" si="0"/>
        <v>0</v>
      </c>
      <c r="G24" s="3"/>
      <c r="H24" s="7">
        <v>1221.05</v>
      </c>
      <c r="I24" s="3"/>
      <c r="J24" s="8">
        <f t="shared" si="1"/>
        <v>0</v>
      </c>
      <c r="K24" s="3"/>
      <c r="L24" s="7">
        <f t="shared" si="2"/>
        <v>727.08000000000015</v>
      </c>
      <c r="M24" s="3"/>
      <c r="N24" s="8">
        <f t="shared" si="3"/>
        <v>0.5954547315834734</v>
      </c>
      <c r="O24" s="12"/>
      <c r="P24" s="7">
        <v>22943.01</v>
      </c>
      <c r="Q24" s="3"/>
      <c r="R24" s="8">
        <f t="shared" si="4"/>
        <v>0</v>
      </c>
      <c r="S24" s="3"/>
      <c r="T24" s="7">
        <v>15702.99</v>
      </c>
      <c r="U24" s="3"/>
      <c r="V24" s="8">
        <f t="shared" si="5"/>
        <v>0</v>
      </c>
      <c r="W24" s="3"/>
      <c r="X24" s="7">
        <f t="shared" si="6"/>
        <v>7240.0199999999986</v>
      </c>
      <c r="Y24" s="3"/>
      <c r="Z24" s="8">
        <f t="shared" si="7"/>
        <v>0.46105996373938968</v>
      </c>
    </row>
    <row r="25" spans="1:26" s="69" customFormat="1" ht="15" hidden="1" customHeight="1" outlineLevel="2" x14ac:dyDescent="0.25">
      <c r="A25" s="25"/>
      <c r="B25" s="12" t="str">
        <f>CONCATENATE("          ","6118"," - ","VACATION")</f>
        <v xml:space="preserve">          6118 - VACATION</v>
      </c>
      <c r="C25" s="12"/>
      <c r="D25" s="7">
        <v>1579.7</v>
      </c>
      <c r="E25" s="3"/>
      <c r="F25" s="8">
        <f t="shared" si="0"/>
        <v>0</v>
      </c>
      <c r="G25" s="3"/>
      <c r="H25" s="7">
        <v>1022.52</v>
      </c>
      <c r="I25" s="3"/>
      <c r="J25" s="8">
        <f t="shared" si="1"/>
        <v>0</v>
      </c>
      <c r="K25" s="3"/>
      <c r="L25" s="7">
        <f t="shared" si="2"/>
        <v>557.18000000000006</v>
      </c>
      <c r="M25" s="3"/>
      <c r="N25" s="8">
        <f t="shared" si="3"/>
        <v>0.54490865704338309</v>
      </c>
      <c r="O25" s="12"/>
      <c r="P25" s="7">
        <v>20348.740000000002</v>
      </c>
      <c r="Q25" s="3"/>
      <c r="R25" s="8">
        <f t="shared" si="4"/>
        <v>0</v>
      </c>
      <c r="S25" s="3"/>
      <c r="T25" s="7">
        <v>12462.38</v>
      </c>
      <c r="U25" s="3"/>
      <c r="V25" s="8">
        <f t="shared" si="5"/>
        <v>0</v>
      </c>
      <c r="W25" s="3"/>
      <c r="X25" s="7">
        <f t="shared" si="6"/>
        <v>7886.3600000000024</v>
      </c>
      <c r="Y25" s="3"/>
      <c r="Z25" s="8">
        <f t="shared" si="7"/>
        <v>0.63281331495268178</v>
      </c>
    </row>
    <row r="26" spans="1:26" s="69" customFormat="1" ht="15" hidden="1" customHeight="1" outlineLevel="2" x14ac:dyDescent="0.25">
      <c r="A26" s="25"/>
      <c r="B26" s="12" t="str">
        <f>CONCATENATE("          ","6119"," - ","SICK LEAVE")</f>
        <v xml:space="preserve">          6119 - SICK LEAVE</v>
      </c>
      <c r="C26" s="12"/>
      <c r="D26" s="7">
        <v>825.9</v>
      </c>
      <c r="E26" s="3"/>
      <c r="F26" s="8">
        <f t="shared" si="0"/>
        <v>0</v>
      </c>
      <c r="G26" s="3"/>
      <c r="H26" s="7">
        <v>510.58</v>
      </c>
      <c r="I26" s="3"/>
      <c r="J26" s="8">
        <f t="shared" si="1"/>
        <v>0</v>
      </c>
      <c r="K26" s="3"/>
      <c r="L26" s="7">
        <f t="shared" si="2"/>
        <v>315.32</v>
      </c>
      <c r="M26" s="3"/>
      <c r="N26" s="8">
        <f t="shared" si="3"/>
        <v>0.61757217282306398</v>
      </c>
      <c r="O26" s="12"/>
      <c r="P26" s="7">
        <v>15822.27</v>
      </c>
      <c r="Q26" s="3"/>
      <c r="R26" s="8">
        <f t="shared" si="4"/>
        <v>0</v>
      </c>
      <c r="S26" s="3"/>
      <c r="T26" s="7">
        <v>6222.9</v>
      </c>
      <c r="U26" s="3"/>
      <c r="V26" s="8">
        <f t="shared" si="5"/>
        <v>0</v>
      </c>
      <c r="W26" s="3"/>
      <c r="X26" s="7">
        <f t="shared" si="6"/>
        <v>9599.3700000000008</v>
      </c>
      <c r="Y26" s="3"/>
      <c r="Z26" s="8">
        <f t="shared" si="7"/>
        <v>1.5425878609651451</v>
      </c>
    </row>
    <row r="27" spans="1:26" s="69" customFormat="1" ht="15" hidden="1" customHeight="1" outlineLevel="2" x14ac:dyDescent="0.25">
      <c r="A27" s="25"/>
      <c r="B27" s="12" t="str">
        <f>CONCATENATE("          ","6156"," - ","EMPLOYEE MEALS")</f>
        <v xml:space="preserve">          6156 - EMPLOYEE MEALS</v>
      </c>
      <c r="C27" s="12"/>
      <c r="D27" s="7">
        <v>211.71</v>
      </c>
      <c r="E27" s="3"/>
      <c r="F27" s="8">
        <f t="shared" si="0"/>
        <v>0</v>
      </c>
      <c r="G27" s="3"/>
      <c r="H27" s="7">
        <v>78.86</v>
      </c>
      <c r="I27" s="3"/>
      <c r="J27" s="8">
        <f t="shared" si="1"/>
        <v>0</v>
      </c>
      <c r="K27" s="3"/>
      <c r="L27" s="7">
        <f t="shared" si="2"/>
        <v>132.85000000000002</v>
      </c>
      <c r="M27" s="3"/>
      <c r="N27" s="8">
        <f t="shared" si="3"/>
        <v>1.6846309916307383</v>
      </c>
      <c r="O27" s="12"/>
      <c r="P27" s="7">
        <v>3385.55</v>
      </c>
      <c r="Q27" s="3"/>
      <c r="R27" s="8">
        <f t="shared" si="4"/>
        <v>0</v>
      </c>
      <c r="S27" s="3"/>
      <c r="T27" s="7">
        <v>682.61</v>
      </c>
      <c r="U27" s="3"/>
      <c r="V27" s="8">
        <f t="shared" si="5"/>
        <v>0</v>
      </c>
      <c r="W27" s="3"/>
      <c r="X27" s="7">
        <f t="shared" si="6"/>
        <v>2702.94</v>
      </c>
      <c r="Y27" s="3"/>
      <c r="Z27" s="8">
        <f t="shared" si="7"/>
        <v>3.9597134527768416</v>
      </c>
    </row>
    <row r="28" spans="1:26" s="68" customFormat="1" ht="15" customHeight="1" outlineLevel="1" collapsed="1" x14ac:dyDescent="0.25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15795.39</v>
      </c>
      <c r="E28" s="2"/>
      <c r="F28" s="6">
        <f t="shared" si="0"/>
        <v>0</v>
      </c>
      <c r="G28" s="2"/>
      <c r="H28" s="2">
        <f>SUM(OSRRefH22_1x_0)</f>
        <v>8301.9599999999991</v>
      </c>
      <c r="I28" s="2"/>
      <c r="J28" s="6">
        <f t="shared" si="1"/>
        <v>0</v>
      </c>
      <c r="K28" s="2"/>
      <c r="L28" s="2">
        <f t="shared" si="2"/>
        <v>7493.43</v>
      </c>
      <c r="M28" s="2"/>
      <c r="N28" s="6">
        <f t="shared" si="3"/>
        <v>0.90260974516861092</v>
      </c>
      <c r="O28" s="14"/>
      <c r="P28" s="2">
        <f>SUM(OSRRefP22_1x_0)</f>
        <v>194145.1</v>
      </c>
      <c r="Q28" s="2"/>
      <c r="R28" s="6">
        <f t="shared" si="4"/>
        <v>0</v>
      </c>
      <c r="S28" s="2"/>
      <c r="T28" s="2">
        <f>SUM(OSRRefT22_1x_0)</f>
        <v>121813.13</v>
      </c>
      <c r="U28" s="2"/>
      <c r="V28" s="6">
        <f t="shared" si="5"/>
        <v>0</v>
      </c>
      <c r="W28" s="2"/>
      <c r="X28" s="2">
        <f t="shared" si="6"/>
        <v>72331.97</v>
      </c>
      <c r="Y28" s="2"/>
      <c r="Z28" s="6">
        <f t="shared" si="7"/>
        <v>0.59379452773276575</v>
      </c>
    </row>
    <row r="29" spans="1:26" s="69" customFormat="1" ht="15" hidden="1" customHeight="1" outlineLevel="2" x14ac:dyDescent="0.25">
      <c r="A29" s="25"/>
      <c r="B29" s="12" t="str">
        <f>CONCATENATE("          ","6001"," - ","ADMINISTRATIVE SALARIES")</f>
        <v xml:space="preserve">          6001 - ADMINISTRATIVE SALARIES</v>
      </c>
      <c r="C29" s="12"/>
      <c r="D29" s="7">
        <v>10360.85</v>
      </c>
      <c r="E29" s="3"/>
      <c r="F29" s="8">
        <f t="shared" si="0"/>
        <v>0</v>
      </c>
      <c r="G29" s="3"/>
      <c r="H29" s="7">
        <v>8301.9599999999991</v>
      </c>
      <c r="I29" s="3"/>
      <c r="J29" s="8">
        <f t="shared" si="1"/>
        <v>0</v>
      </c>
      <c r="K29" s="3"/>
      <c r="L29" s="7">
        <f t="shared" si="2"/>
        <v>2058.8900000000012</v>
      </c>
      <c r="M29" s="3"/>
      <c r="N29" s="8">
        <f t="shared" si="3"/>
        <v>0.24800047217765461</v>
      </c>
      <c r="O29" s="12"/>
      <c r="P29" s="7">
        <v>123156.88</v>
      </c>
      <c r="Q29" s="3"/>
      <c r="R29" s="8">
        <f t="shared" si="4"/>
        <v>0</v>
      </c>
      <c r="S29" s="3"/>
      <c r="T29" s="7">
        <v>119358.13</v>
      </c>
      <c r="U29" s="3"/>
      <c r="V29" s="8">
        <f t="shared" si="5"/>
        <v>0</v>
      </c>
      <c r="W29" s="3"/>
      <c r="X29" s="7">
        <f t="shared" si="6"/>
        <v>3798.75</v>
      </c>
      <c r="Y29" s="3"/>
      <c r="Z29" s="8">
        <f t="shared" si="7"/>
        <v>3.1826487227975167E-2</v>
      </c>
    </row>
    <row r="30" spans="1:26" s="69" customFormat="1" ht="15" hidden="1" customHeight="1" outlineLevel="2" x14ac:dyDescent="0.25">
      <c r="A30" s="25"/>
      <c r="B30" s="12" t="str">
        <f>CONCATENATE("          ","6002"," - ","STAFF SALARIES")</f>
        <v xml:space="preserve">          6002 - STAFF SALARIES</v>
      </c>
      <c r="C30" s="12"/>
      <c r="D30" s="7">
        <v>5434.54</v>
      </c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5434.54</v>
      </c>
      <c r="M30" s="3"/>
      <c r="N30" s="8">
        <f t="shared" si="3"/>
        <v>0</v>
      </c>
      <c r="O30" s="12"/>
      <c r="P30" s="7">
        <v>67980.98</v>
      </c>
      <c r="Q30" s="3"/>
      <c r="R30" s="8">
        <f t="shared" si="4"/>
        <v>0</v>
      </c>
      <c r="S30" s="3"/>
      <c r="T30" s="7">
        <v>2080</v>
      </c>
      <c r="U30" s="3"/>
      <c r="V30" s="8">
        <f t="shared" si="5"/>
        <v>0</v>
      </c>
      <c r="W30" s="3"/>
      <c r="X30" s="7">
        <f t="shared" si="6"/>
        <v>65900.98</v>
      </c>
      <c r="Y30" s="3"/>
      <c r="Z30" s="8">
        <f t="shared" si="7"/>
        <v>31.683163461538459</v>
      </c>
    </row>
    <row r="31" spans="1:26" s="69" customFormat="1" ht="15" hidden="1" customHeight="1" outlineLevel="2" x14ac:dyDescent="0.25">
      <c r="A31" s="25"/>
      <c r="B31" s="12" t="str">
        <f>CONCATENATE("          ","6004"," - ","STAFF HOURLY")</f>
        <v xml:space="preserve">          6004 - STAFF HOURLY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>
        <v>1380.76</v>
      </c>
      <c r="Q31" s="3"/>
      <c r="R31" s="8">
        <f t="shared" si="4"/>
        <v>0</v>
      </c>
      <c r="S31" s="3"/>
      <c r="T31" s="7">
        <v>70</v>
      </c>
      <c r="U31" s="3"/>
      <c r="V31" s="8">
        <f t="shared" si="5"/>
        <v>0</v>
      </c>
      <c r="W31" s="3"/>
      <c r="X31" s="7">
        <f t="shared" si="6"/>
        <v>1310.76</v>
      </c>
      <c r="Y31" s="3"/>
      <c r="Z31" s="8">
        <f t="shared" si="7"/>
        <v>18.725142857142856</v>
      </c>
    </row>
    <row r="32" spans="1:26" s="69" customFormat="1" ht="15" hidden="1" customHeight="1" outlineLevel="2" x14ac:dyDescent="0.25">
      <c r="A32" s="25"/>
      <c r="B32" s="12" t="str">
        <f>CONCATENATE("          ","6005"," - ","TEMPORARY WAGES-HOURLY")</f>
        <v xml:space="preserve">          6005 - TEMPORARY WAGES-HOURLY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1626.48</v>
      </c>
      <c r="Q32" s="3"/>
      <c r="R32" s="8">
        <f t="shared" si="4"/>
        <v>0</v>
      </c>
      <c r="S32" s="3"/>
      <c r="T32" s="7">
        <v>305</v>
      </c>
      <c r="U32" s="3"/>
      <c r="V32" s="8">
        <f t="shared" si="5"/>
        <v>0</v>
      </c>
      <c r="W32" s="3"/>
      <c r="X32" s="7">
        <f t="shared" si="6"/>
        <v>1321.48</v>
      </c>
      <c r="Y32" s="3"/>
      <c r="Z32" s="8">
        <f t="shared" si="7"/>
        <v>4.3327213114754102</v>
      </c>
    </row>
    <row r="33" spans="1:26" s="69" customFormat="1" ht="15" hidden="1" customHeight="1" outlineLevel="2" x14ac:dyDescent="0.25">
      <c r="A33" s="25"/>
      <c r="B33" s="12" t="str">
        <f>CONCATENATE("          ","6007"," - ","STUDENT HOURLY")</f>
        <v xml:space="preserve">          6007 - STUDENT HOURLY</v>
      </c>
      <c r="C33" s="12"/>
      <c r="D33" s="7"/>
      <c r="E33" s="3"/>
      <c r="F33" s="8">
        <f t="shared" si="0"/>
        <v>0</v>
      </c>
      <c r="G33" s="3"/>
      <c r="H33" s="7"/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>
        <v>0</v>
      </c>
      <c r="Q33" s="3"/>
      <c r="R33" s="8">
        <f t="shared" si="4"/>
        <v>0</v>
      </c>
      <c r="S33" s="3"/>
      <c r="T33" s="7"/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68" customFormat="1" ht="15" customHeight="1" outlineLevel="1" collapsed="1" x14ac:dyDescent="0.25">
      <c r="A34" s="26"/>
      <c r="B34" s="14" t="str">
        <f>CONCATENATE("     ","Advertising/Promo                                 ")</f>
        <v xml:space="preserve">     Advertising/Promo                                 </v>
      </c>
      <c r="C34" s="14"/>
      <c r="D34" s="2">
        <f>SUM(OSRRefD22_2x_0)</f>
        <v>0</v>
      </c>
      <c r="E34" s="2"/>
      <c r="F34" s="6">
        <f t="shared" si="0"/>
        <v>0</v>
      </c>
      <c r="G34" s="2"/>
      <c r="H34" s="2">
        <f>SUM(OSRRefH22_2x_0)</f>
        <v>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SUM(OSRRefP22_2x_0)</f>
        <v>0</v>
      </c>
      <c r="Q34" s="2"/>
      <c r="R34" s="6">
        <f t="shared" si="4"/>
        <v>0</v>
      </c>
      <c r="S34" s="2"/>
      <c r="T34" s="2">
        <f>SUM(OSRRefT22_2x_0)</f>
        <v>63.55</v>
      </c>
      <c r="U34" s="2"/>
      <c r="V34" s="6">
        <f t="shared" si="5"/>
        <v>0</v>
      </c>
      <c r="W34" s="2"/>
      <c r="X34" s="2">
        <f t="shared" si="6"/>
        <v>-63.55</v>
      </c>
      <c r="Y34" s="2"/>
      <c r="Z34" s="6">
        <f t="shared" si="7"/>
        <v>-1</v>
      </c>
    </row>
    <row r="35" spans="1:26" s="69" customFormat="1" ht="15" hidden="1" customHeight="1" outlineLevel="2" x14ac:dyDescent="0.25">
      <c r="A35" s="25"/>
      <c r="B35" s="12" t="str">
        <f>CONCATENATE("          ","6362"," - ","ADVERTISING EXPENSE")</f>
        <v xml:space="preserve">          6362 - ADVERTISING EXPENSE</v>
      </c>
      <c r="C35" s="12"/>
      <c r="D35" s="7"/>
      <c r="E35" s="3"/>
      <c r="F35" s="8">
        <f t="shared" si="0"/>
        <v>0</v>
      </c>
      <c r="G35" s="3"/>
      <c r="H35" s="7"/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63.55</v>
      </c>
      <c r="U35" s="3"/>
      <c r="V35" s="8">
        <f t="shared" si="5"/>
        <v>0</v>
      </c>
      <c r="W35" s="3"/>
      <c r="X35" s="7">
        <f t="shared" si="6"/>
        <v>-63.55</v>
      </c>
      <c r="Y35" s="3"/>
      <c r="Z35" s="8">
        <f t="shared" si="7"/>
        <v>-1</v>
      </c>
    </row>
    <row r="36" spans="1:26" s="68" customFormat="1" ht="15" customHeight="1" outlineLevel="1" collapsed="1" x14ac:dyDescent="0.25">
      <c r="A36" s="26"/>
      <c r="B36" s="14" t="str">
        <f>CONCATENATE("     ","Bank/card Fees                                    ")</f>
        <v xml:space="preserve">     Bank/card Fees                                    </v>
      </c>
      <c r="C36" s="14"/>
      <c r="D36" s="2">
        <f>SUM(OSRRefD22_3x_0)</f>
        <v>0</v>
      </c>
      <c r="E36" s="2"/>
      <c r="F36" s="6">
        <f t="shared" si="0"/>
        <v>0</v>
      </c>
      <c r="G36" s="2"/>
      <c r="H36" s="2">
        <f>SUM(OSRRefH22_3x_0)</f>
        <v>245.91</v>
      </c>
      <c r="I36" s="2"/>
      <c r="J36" s="6">
        <f t="shared" si="1"/>
        <v>0</v>
      </c>
      <c r="K36" s="2"/>
      <c r="L36" s="2">
        <f t="shared" si="2"/>
        <v>-245.91</v>
      </c>
      <c r="M36" s="2"/>
      <c r="N36" s="6">
        <f t="shared" si="3"/>
        <v>-1</v>
      </c>
      <c r="O36" s="14"/>
      <c r="P36" s="2">
        <f>SUM(OSRRefP22_3x_0)</f>
        <v>2118.23</v>
      </c>
      <c r="Q36" s="2"/>
      <c r="R36" s="6">
        <f t="shared" si="4"/>
        <v>0</v>
      </c>
      <c r="S36" s="2"/>
      <c r="T36" s="2">
        <f>SUM(OSRRefT22_3x_0)</f>
        <v>4619.22</v>
      </c>
      <c r="U36" s="2"/>
      <c r="V36" s="6">
        <f t="shared" si="5"/>
        <v>0</v>
      </c>
      <c r="W36" s="2"/>
      <c r="X36" s="2">
        <f t="shared" si="6"/>
        <v>-2500.9900000000002</v>
      </c>
      <c r="Y36" s="2"/>
      <c r="Z36" s="6">
        <f t="shared" si="7"/>
        <v>-0.54143123730846332</v>
      </c>
    </row>
    <row r="37" spans="1:26" s="69" customFormat="1" ht="15" hidden="1" customHeight="1" outlineLevel="2" x14ac:dyDescent="0.25">
      <c r="A37" s="25"/>
      <c r="B37" s="12" t="str">
        <f>CONCATENATE("          ","6381"," - ","BANK/CREDIT CARD FEES")</f>
        <v xml:space="preserve">          6381 - BANK/CREDIT CARD FEES</v>
      </c>
      <c r="C37" s="12"/>
      <c r="D37" s="7"/>
      <c r="E37" s="3"/>
      <c r="F37" s="8">
        <f t="shared" si="0"/>
        <v>0</v>
      </c>
      <c r="G37" s="3"/>
      <c r="H37" s="7">
        <v>245.91</v>
      </c>
      <c r="I37" s="3"/>
      <c r="J37" s="8">
        <f t="shared" si="1"/>
        <v>0</v>
      </c>
      <c r="K37" s="3"/>
      <c r="L37" s="7">
        <f t="shared" si="2"/>
        <v>-245.91</v>
      </c>
      <c r="M37" s="3"/>
      <c r="N37" s="8">
        <f t="shared" si="3"/>
        <v>-1</v>
      </c>
      <c r="O37" s="12"/>
      <c r="P37" s="7">
        <v>2118.23</v>
      </c>
      <c r="Q37" s="3"/>
      <c r="R37" s="8">
        <f t="shared" si="4"/>
        <v>0</v>
      </c>
      <c r="S37" s="3"/>
      <c r="T37" s="7">
        <v>4619.22</v>
      </c>
      <c r="U37" s="3"/>
      <c r="V37" s="8">
        <f t="shared" si="5"/>
        <v>0</v>
      </c>
      <c r="W37" s="3"/>
      <c r="X37" s="7">
        <f t="shared" si="6"/>
        <v>-2500.9900000000002</v>
      </c>
      <c r="Y37" s="3"/>
      <c r="Z37" s="8">
        <f t="shared" si="7"/>
        <v>-0.54143123730846332</v>
      </c>
    </row>
    <row r="38" spans="1:26" s="68" customFormat="1" ht="15" customHeight="1" outlineLevel="1" collapsed="1" x14ac:dyDescent="0.25">
      <c r="A38" s="26"/>
      <c r="B38" s="14" t="str">
        <f>CONCATENATE("     ","Depreciation                                      ")</f>
        <v xml:space="preserve">     Depreciation                                      </v>
      </c>
      <c r="C38" s="14"/>
      <c r="D38" s="2">
        <f>SUM(OSRRefD22_4x_0)</f>
        <v>7700.66</v>
      </c>
      <c r="E38" s="2"/>
      <c r="F38" s="6">
        <f t="shared" si="0"/>
        <v>0</v>
      </c>
      <c r="G38" s="2"/>
      <c r="H38" s="2">
        <f>SUM(OSRRefH22_4x_0)</f>
        <v>6779.8600000000006</v>
      </c>
      <c r="I38" s="2"/>
      <c r="J38" s="6">
        <f t="shared" si="1"/>
        <v>0</v>
      </c>
      <c r="K38" s="2"/>
      <c r="L38" s="2">
        <f t="shared" si="2"/>
        <v>920.79999999999927</v>
      </c>
      <c r="M38" s="2"/>
      <c r="N38" s="6">
        <f t="shared" si="3"/>
        <v>0.13581401385869313</v>
      </c>
      <c r="O38" s="14"/>
      <c r="P38" s="2">
        <f>SUM(OSRRefP22_4x_0)</f>
        <v>62389.710000000006</v>
      </c>
      <c r="Q38" s="2"/>
      <c r="R38" s="6">
        <f t="shared" si="4"/>
        <v>0</v>
      </c>
      <c r="S38" s="2"/>
      <c r="T38" s="2">
        <f>SUM(OSRRefT22_4x_0)</f>
        <v>75362.649999999994</v>
      </c>
      <c r="U38" s="2"/>
      <c r="V38" s="6">
        <f t="shared" si="5"/>
        <v>0</v>
      </c>
      <c r="W38" s="2"/>
      <c r="X38" s="2">
        <f t="shared" si="6"/>
        <v>-12972.939999999988</v>
      </c>
      <c r="Y38" s="2"/>
      <c r="Z38" s="6">
        <f t="shared" si="7"/>
        <v>-0.17214017819171684</v>
      </c>
    </row>
    <row r="39" spans="1:26" s="69" customFormat="1" ht="15" hidden="1" customHeight="1" outlineLevel="2" x14ac:dyDescent="0.25">
      <c r="A39" s="25"/>
      <c r="B39" s="12" t="str">
        <f>CONCATENATE("          ","6321"," - ","BUILDING DEPRECIATION")</f>
        <v xml:space="preserve">          6321 - BUILDING DEPRECIATION</v>
      </c>
      <c r="C39" s="12"/>
      <c r="D39" s="7">
        <v>1822.68</v>
      </c>
      <c r="E39" s="3"/>
      <c r="F39" s="8">
        <f t="shared" si="0"/>
        <v>0</v>
      </c>
      <c r="G39" s="3"/>
      <c r="H39" s="7">
        <v>1822.68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>
        <v>20049.48</v>
      </c>
      <c r="Q39" s="3"/>
      <c r="R39" s="8">
        <f t="shared" si="4"/>
        <v>0</v>
      </c>
      <c r="S39" s="3"/>
      <c r="T39" s="7">
        <v>20833.669999999998</v>
      </c>
      <c r="U39" s="3"/>
      <c r="V39" s="8">
        <f t="shared" si="5"/>
        <v>0</v>
      </c>
      <c r="W39" s="3"/>
      <c r="X39" s="7">
        <f t="shared" si="6"/>
        <v>-784.18999999999869</v>
      </c>
      <c r="Y39" s="3"/>
      <c r="Z39" s="8">
        <f t="shared" si="7"/>
        <v>-3.7640511729330396E-2</v>
      </c>
    </row>
    <row r="40" spans="1:26" s="69" customFormat="1" ht="15" hidden="1" customHeight="1" outlineLevel="2" x14ac:dyDescent="0.25">
      <c r="A40" s="25"/>
      <c r="B40" s="12" t="str">
        <f>CONCATENATE("          ","6322"," - ","EQUIPMENT DEPRECIATION EXPENSE")</f>
        <v xml:space="preserve">          6322 - EQUIPMENT DEPRECIATION EXPENSE</v>
      </c>
      <c r="C40" s="12"/>
      <c r="D40" s="7">
        <v>5877.98</v>
      </c>
      <c r="E40" s="3"/>
      <c r="F40" s="8">
        <f t="shared" si="0"/>
        <v>0</v>
      </c>
      <c r="G40" s="3"/>
      <c r="H40" s="7">
        <v>4957.18</v>
      </c>
      <c r="I40" s="3"/>
      <c r="J40" s="8">
        <f t="shared" si="1"/>
        <v>0</v>
      </c>
      <c r="K40" s="3"/>
      <c r="L40" s="7">
        <f t="shared" si="2"/>
        <v>920.79999999999927</v>
      </c>
      <c r="M40" s="3"/>
      <c r="N40" s="8">
        <f t="shared" si="3"/>
        <v>0.18575076959077524</v>
      </c>
      <c r="O40" s="12"/>
      <c r="P40" s="7">
        <v>42340.23</v>
      </c>
      <c r="Q40" s="3"/>
      <c r="R40" s="8">
        <f t="shared" si="4"/>
        <v>0</v>
      </c>
      <c r="S40" s="3"/>
      <c r="T40" s="7">
        <v>54528.98</v>
      </c>
      <c r="U40" s="3"/>
      <c r="V40" s="8">
        <f t="shared" si="5"/>
        <v>0</v>
      </c>
      <c r="W40" s="3"/>
      <c r="X40" s="7">
        <f t="shared" si="6"/>
        <v>-12188.75</v>
      </c>
      <c r="Y40" s="3"/>
      <c r="Z40" s="8">
        <f t="shared" si="7"/>
        <v>-0.22352792955232245</v>
      </c>
    </row>
    <row r="41" spans="1:26" s="68" customFormat="1" ht="15" customHeight="1" outlineLevel="1" collapsed="1" x14ac:dyDescent="0.25">
      <c r="A41" s="26"/>
      <c r="B41" s="14" t="str">
        <f>CONCATENATE("     ","Employees' Appreciation                           ")</f>
        <v xml:space="preserve">     Employees' Appreciation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18</v>
      </c>
      <c r="Q41" s="2"/>
      <c r="R41" s="6">
        <f t="shared" si="4"/>
        <v>0</v>
      </c>
      <c r="S41" s="2"/>
      <c r="T41" s="2">
        <f>SUM(OSRRefT22_5x_0)</f>
        <v>0</v>
      </c>
      <c r="U41" s="2"/>
      <c r="V41" s="6">
        <f t="shared" si="5"/>
        <v>0</v>
      </c>
      <c r="W41" s="2"/>
      <c r="X41" s="2">
        <f t="shared" si="6"/>
        <v>18</v>
      </c>
      <c r="Y41" s="2"/>
      <c r="Z41" s="6">
        <f t="shared" si="7"/>
        <v>0</v>
      </c>
    </row>
    <row r="42" spans="1:26" s="69" customFormat="1" ht="15" hidden="1" customHeight="1" outlineLevel="2" x14ac:dyDescent="0.25">
      <c r="A42" s="25"/>
      <c r="B42" s="12" t="str">
        <f>CONCATENATE("          ","6277"," - ","EMPLOYEE APPRECIATION")</f>
        <v xml:space="preserve">          6277 - EMPLOYEE APPRECIATION</v>
      </c>
      <c r="C42" s="12"/>
      <c r="D42" s="7"/>
      <c r="E42" s="3"/>
      <c r="F42" s="8">
        <f t="shared" si="0"/>
        <v>0</v>
      </c>
      <c r="G42" s="3"/>
      <c r="H42" s="7"/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>
        <v>18</v>
      </c>
      <c r="Q42" s="3"/>
      <c r="R42" s="8">
        <f t="shared" si="4"/>
        <v>0</v>
      </c>
      <c r="S42" s="3"/>
      <c r="T42" s="7"/>
      <c r="U42" s="3"/>
      <c r="V42" s="8">
        <f t="shared" si="5"/>
        <v>0</v>
      </c>
      <c r="W42" s="3"/>
      <c r="X42" s="7">
        <f t="shared" si="6"/>
        <v>18</v>
      </c>
      <c r="Y42" s="3"/>
      <c r="Z42" s="8">
        <f t="shared" si="7"/>
        <v>0</v>
      </c>
    </row>
    <row r="43" spans="1:26" s="68" customFormat="1" ht="15" customHeight="1" outlineLevel="1" collapsed="1" x14ac:dyDescent="0.25">
      <c r="A43" s="26"/>
      <c r="B43" s="14" t="str">
        <f>CONCATENATE("     ","Equipment Rental                                  ")</f>
        <v xml:space="preserve">     Equipment Rental                                  </v>
      </c>
      <c r="C43" s="14"/>
      <c r="D43" s="2">
        <f>SUM(OSRRefD22_6x_0)</f>
        <v>91.26</v>
      </c>
      <c r="E43" s="2"/>
      <c r="F43" s="6">
        <f t="shared" si="0"/>
        <v>0</v>
      </c>
      <c r="G43" s="2"/>
      <c r="H43" s="2">
        <f>SUM(OSRRefH22_6x_0)</f>
        <v>595.64</v>
      </c>
      <c r="I43" s="2"/>
      <c r="J43" s="6">
        <f t="shared" si="1"/>
        <v>0</v>
      </c>
      <c r="K43" s="2"/>
      <c r="L43" s="2">
        <f t="shared" si="2"/>
        <v>-504.38</v>
      </c>
      <c r="M43" s="2"/>
      <c r="N43" s="6">
        <f t="shared" si="3"/>
        <v>-0.84678664965415351</v>
      </c>
      <c r="O43" s="14"/>
      <c r="P43" s="2">
        <f>SUM(OSRRefP22_6x_0)</f>
        <v>912.6</v>
      </c>
      <c r="Q43" s="2"/>
      <c r="R43" s="6">
        <f t="shared" si="4"/>
        <v>0</v>
      </c>
      <c r="S43" s="2"/>
      <c r="T43" s="2">
        <f>SUM(OSRRefT22_6x_0)</f>
        <v>3706.39</v>
      </c>
      <c r="U43" s="2"/>
      <c r="V43" s="6">
        <f t="shared" si="5"/>
        <v>0</v>
      </c>
      <c r="W43" s="2"/>
      <c r="X43" s="2">
        <f t="shared" si="6"/>
        <v>-2793.79</v>
      </c>
      <c r="Y43" s="2"/>
      <c r="Z43" s="6">
        <f t="shared" si="7"/>
        <v>-0.75377658584228857</v>
      </c>
    </row>
    <row r="44" spans="1:26" s="69" customFormat="1" ht="15" hidden="1" customHeight="1" outlineLevel="2" x14ac:dyDescent="0.25">
      <c r="A44" s="25"/>
      <c r="B44" s="12" t="str">
        <f>CONCATENATE("          ","6351"," - ","EQUIPMENT RENTAL")</f>
        <v xml:space="preserve">          6351 - EQUIPMENT RENTAL</v>
      </c>
      <c r="C44" s="12"/>
      <c r="D44" s="7">
        <v>91.26</v>
      </c>
      <c r="E44" s="3"/>
      <c r="F44" s="8">
        <f t="shared" si="0"/>
        <v>0</v>
      </c>
      <c r="G44" s="3"/>
      <c r="H44" s="7">
        <v>595.64</v>
      </c>
      <c r="I44" s="3"/>
      <c r="J44" s="8">
        <f t="shared" si="1"/>
        <v>0</v>
      </c>
      <c r="K44" s="3"/>
      <c r="L44" s="7">
        <f t="shared" si="2"/>
        <v>-504.38</v>
      </c>
      <c r="M44" s="3"/>
      <c r="N44" s="8">
        <f t="shared" si="3"/>
        <v>-0.84678664965415351</v>
      </c>
      <c r="O44" s="12"/>
      <c r="P44" s="7">
        <v>912.6</v>
      </c>
      <c r="Q44" s="3"/>
      <c r="R44" s="8">
        <f t="shared" si="4"/>
        <v>0</v>
      </c>
      <c r="S44" s="3"/>
      <c r="T44" s="7">
        <v>3706.39</v>
      </c>
      <c r="U44" s="3"/>
      <c r="V44" s="8">
        <f t="shared" si="5"/>
        <v>0</v>
      </c>
      <c r="W44" s="3"/>
      <c r="X44" s="7">
        <f t="shared" si="6"/>
        <v>-2793.79</v>
      </c>
      <c r="Y44" s="3"/>
      <c r="Z44" s="8">
        <f t="shared" si="7"/>
        <v>-0.75377658584228857</v>
      </c>
    </row>
    <row r="45" spans="1:26" s="68" customFormat="1" ht="15" customHeight="1" outlineLevel="1" collapsed="1" x14ac:dyDescent="0.25">
      <c r="A45" s="26"/>
      <c r="B45" s="14" t="str">
        <f>CONCATENATE("     ","Freight out/Postage                               ")</f>
        <v xml:space="preserve">     Freight out/Postage 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SUM(OSRRefP22_7x_0)</f>
        <v>0</v>
      </c>
      <c r="Q45" s="2"/>
      <c r="R45" s="6">
        <f t="shared" si="4"/>
        <v>0</v>
      </c>
      <c r="S45" s="2"/>
      <c r="T45" s="2">
        <f>SUM(OSRRefT22_7x_0)</f>
        <v>-2.4500000000000002</v>
      </c>
      <c r="U45" s="2"/>
      <c r="V45" s="6">
        <f t="shared" si="5"/>
        <v>0</v>
      </c>
      <c r="W45" s="2"/>
      <c r="X45" s="2">
        <f t="shared" si="6"/>
        <v>2.4500000000000002</v>
      </c>
      <c r="Y45" s="2"/>
      <c r="Z45" s="6">
        <f t="shared" si="7"/>
        <v>-1</v>
      </c>
    </row>
    <row r="46" spans="1:26" s="69" customFormat="1" ht="15" hidden="1" customHeight="1" outlineLevel="2" x14ac:dyDescent="0.25">
      <c r="A46" s="25"/>
      <c r="B46" s="12" t="str">
        <f>CONCATENATE("          ","6307"," - ","POSTAGE")</f>
        <v xml:space="preserve">          6307 - POSTAGE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-2.4500000000000002</v>
      </c>
      <c r="U46" s="3"/>
      <c r="V46" s="8">
        <f t="shared" si="5"/>
        <v>0</v>
      </c>
      <c r="W46" s="3"/>
      <c r="X46" s="7">
        <f t="shared" si="6"/>
        <v>2.4500000000000002</v>
      </c>
      <c r="Y46" s="3"/>
      <c r="Z46" s="8">
        <f t="shared" si="7"/>
        <v>-1</v>
      </c>
    </row>
    <row r="47" spans="1:26" s="68" customFormat="1" ht="15" customHeight="1" outlineLevel="1" collapsed="1" x14ac:dyDescent="0.25">
      <c r="A47" s="26"/>
      <c r="B47" s="14" t="str">
        <f>CONCATENATE("     ","General                                           ")</f>
        <v xml:space="preserve">     General                                           </v>
      </c>
      <c r="C47" s="14"/>
      <c r="D47" s="2">
        <f>SUM(OSRRefD22_8x_0)</f>
        <v>0</v>
      </c>
      <c r="E47" s="2"/>
      <c r="F47" s="6">
        <f t="shared" si="0"/>
        <v>0</v>
      </c>
      <c r="G47" s="2"/>
      <c r="H47" s="2">
        <f>SUM(OSRRefH22_8x_0)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SUM(OSRRefP22_8x_0)</f>
        <v>337.51</v>
      </c>
      <c r="Q47" s="2"/>
      <c r="R47" s="6">
        <f t="shared" si="4"/>
        <v>0</v>
      </c>
      <c r="S47" s="2"/>
      <c r="T47" s="2">
        <f>SUM(OSRRefT22_8x_0)</f>
        <v>721.41</v>
      </c>
      <c r="U47" s="2"/>
      <c r="V47" s="6">
        <f t="shared" si="5"/>
        <v>0</v>
      </c>
      <c r="W47" s="2"/>
      <c r="X47" s="2">
        <f t="shared" si="6"/>
        <v>-383.9</v>
      </c>
      <c r="Y47" s="2"/>
      <c r="Z47" s="6">
        <f t="shared" si="7"/>
        <v>-0.53215231283181541</v>
      </c>
    </row>
    <row r="48" spans="1:26" s="69" customFormat="1" ht="15" hidden="1" customHeight="1" outlineLevel="2" x14ac:dyDescent="0.25">
      <c r="A48" s="25"/>
      <c r="B48" s="12" t="str">
        <f>CONCATENATE("          ","6279"," - ","GENERAL EXPENSE")</f>
        <v xml:space="preserve">          6279 - GENERAL EXPENSE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>
        <v>337.51</v>
      </c>
      <c r="Q48" s="3"/>
      <c r="R48" s="8">
        <f t="shared" si="4"/>
        <v>0</v>
      </c>
      <c r="S48" s="3"/>
      <c r="T48" s="7">
        <v>721.41</v>
      </c>
      <c r="U48" s="3"/>
      <c r="V48" s="8">
        <f t="shared" si="5"/>
        <v>0</v>
      </c>
      <c r="W48" s="3"/>
      <c r="X48" s="7">
        <f t="shared" si="6"/>
        <v>-383.9</v>
      </c>
      <c r="Y48" s="3"/>
      <c r="Z48" s="8">
        <f t="shared" si="7"/>
        <v>-0.53215231283181541</v>
      </c>
    </row>
    <row r="49" spans="1:26" s="68" customFormat="1" ht="15" customHeight="1" outlineLevel="1" collapsed="1" x14ac:dyDescent="0.25">
      <c r="A49" s="26"/>
      <c r="B49" s="14" t="str">
        <f>CONCATENATE("     ","Insurance                                         ")</f>
        <v xml:space="preserve">     Insurance                                         </v>
      </c>
      <c r="C49" s="14"/>
      <c r="D49" s="2">
        <f>SUM(OSRRefD22_9x_0)</f>
        <v>4884.6000000000004</v>
      </c>
      <c r="E49" s="2"/>
      <c r="F49" s="6">
        <f t="shared" si="0"/>
        <v>0</v>
      </c>
      <c r="G49" s="2"/>
      <c r="H49" s="2">
        <f>SUM(OSRRefH22_9x_0)</f>
        <v>3598.85</v>
      </c>
      <c r="I49" s="2"/>
      <c r="J49" s="6">
        <f t="shared" si="1"/>
        <v>0</v>
      </c>
      <c r="K49" s="2"/>
      <c r="L49" s="2">
        <f t="shared" si="2"/>
        <v>1285.7500000000005</v>
      </c>
      <c r="M49" s="2"/>
      <c r="N49" s="6">
        <f t="shared" si="3"/>
        <v>0.35726690470567002</v>
      </c>
      <c r="O49" s="14"/>
      <c r="P49" s="2">
        <f>SUM(OSRRefP22_9x_0)</f>
        <v>60613.599999999999</v>
      </c>
      <c r="Q49" s="2"/>
      <c r="R49" s="6">
        <f t="shared" si="4"/>
        <v>0</v>
      </c>
      <c r="S49" s="2"/>
      <c r="T49" s="2">
        <f>SUM(OSRRefT22_9x_0)</f>
        <v>45699.35</v>
      </c>
      <c r="U49" s="2"/>
      <c r="V49" s="6">
        <f t="shared" si="5"/>
        <v>0</v>
      </c>
      <c r="W49" s="2"/>
      <c r="X49" s="2">
        <f t="shared" si="6"/>
        <v>14914.25</v>
      </c>
      <c r="Y49" s="2"/>
      <c r="Z49" s="6">
        <f t="shared" si="7"/>
        <v>0.32635584532383943</v>
      </c>
    </row>
    <row r="50" spans="1:26" s="69" customFormat="1" ht="15" hidden="1" customHeight="1" outlineLevel="2" x14ac:dyDescent="0.25">
      <c r="A50" s="25"/>
      <c r="B50" s="12" t="str">
        <f>CONCATENATE("          ","6314"," - ","LIABILITY INSURANCE")</f>
        <v xml:space="preserve">          6314 - LIABILITY INSURANCE</v>
      </c>
      <c r="C50" s="12"/>
      <c r="D50" s="7">
        <v>4884.6000000000004</v>
      </c>
      <c r="E50" s="3"/>
      <c r="F50" s="8">
        <f t="shared" ref="F50:F74" si="8">IF(D$12=0,0,D50/D$12)</f>
        <v>0</v>
      </c>
      <c r="G50" s="3"/>
      <c r="H50" s="7">
        <v>3598.85</v>
      </c>
      <c r="I50" s="3"/>
      <c r="J50" s="8">
        <f t="shared" ref="J50:J74" si="9">IF(H$12=0,0,H50/H$12)</f>
        <v>0</v>
      </c>
      <c r="K50" s="3"/>
      <c r="L50" s="7">
        <f t="shared" ref="L50:L74" si="10">+D50-H50</f>
        <v>1285.7500000000005</v>
      </c>
      <c r="M50" s="3"/>
      <c r="N50" s="8">
        <f t="shared" ref="N50:N74" si="11">IF(H50=0,0,L50/H50)</f>
        <v>0.35726690470567002</v>
      </c>
      <c r="O50" s="12"/>
      <c r="P50" s="7">
        <v>60613.599999999999</v>
      </c>
      <c r="Q50" s="3"/>
      <c r="R50" s="8">
        <f t="shared" ref="R50:R74" si="12">IF(P$12=0,0,P50/P$12)</f>
        <v>0</v>
      </c>
      <c r="S50" s="3"/>
      <c r="T50" s="7">
        <v>45699.35</v>
      </c>
      <c r="U50" s="3"/>
      <c r="V50" s="8">
        <f t="shared" ref="V50:V74" si="13">IF(T$12=0,0,T50/T$12)</f>
        <v>0</v>
      </c>
      <c r="W50" s="3"/>
      <c r="X50" s="7">
        <f t="shared" ref="X50:X74" si="14">+P50-T50</f>
        <v>14914.25</v>
      </c>
      <c r="Y50" s="3"/>
      <c r="Z50" s="8">
        <f t="shared" ref="Z50:Z74" si="15">IF(T50=0,0,X50/T50)</f>
        <v>0.32635584532383943</v>
      </c>
    </row>
    <row r="51" spans="1:26" s="68" customFormat="1" ht="15" customHeight="1" outlineLevel="1" collapsed="1" x14ac:dyDescent="0.25">
      <c r="A51" s="26"/>
      <c r="B51" s="14" t="str">
        <f>CONCATENATE("     ","Professional Services                             ")</f>
        <v xml:space="preserve">     Professional Services                             </v>
      </c>
      <c r="C51" s="14"/>
      <c r="D51" s="2">
        <f>SUM(OSRRefD22_10x_0)</f>
        <v>511.58</v>
      </c>
      <c r="E51" s="2"/>
      <c r="F51" s="6">
        <f t="shared" si="8"/>
        <v>0</v>
      </c>
      <c r="G51" s="2"/>
      <c r="H51" s="2">
        <f>SUM(OSRRefH22_10x_0)</f>
        <v>0</v>
      </c>
      <c r="I51" s="2"/>
      <c r="J51" s="6">
        <f t="shared" si="9"/>
        <v>0</v>
      </c>
      <c r="K51" s="2"/>
      <c r="L51" s="2">
        <f t="shared" si="10"/>
        <v>511.58</v>
      </c>
      <c r="M51" s="2"/>
      <c r="N51" s="6">
        <f t="shared" si="11"/>
        <v>0</v>
      </c>
      <c r="O51" s="14"/>
      <c r="P51" s="2">
        <f>SUM(OSRRefP22_10x_0)</f>
        <v>511.58</v>
      </c>
      <c r="Q51" s="2"/>
      <c r="R51" s="6">
        <f t="shared" si="12"/>
        <v>0</v>
      </c>
      <c r="S51" s="2"/>
      <c r="T51" s="2">
        <f>SUM(OSRRefT22_10x_0)</f>
        <v>0</v>
      </c>
      <c r="U51" s="2"/>
      <c r="V51" s="6">
        <f t="shared" si="13"/>
        <v>0</v>
      </c>
      <c r="W51" s="2"/>
      <c r="X51" s="2">
        <f t="shared" si="14"/>
        <v>511.58</v>
      </c>
      <c r="Y51" s="2"/>
      <c r="Z51" s="6">
        <f t="shared" si="15"/>
        <v>0</v>
      </c>
    </row>
    <row r="52" spans="1:26" s="69" customFormat="1" ht="15" hidden="1" customHeight="1" outlineLevel="2" x14ac:dyDescent="0.25">
      <c r="A52" s="25"/>
      <c r="B52" s="12" t="str">
        <f>CONCATENATE("          ","6336"," - ","PROFESSIONAL SERVICES")</f>
        <v xml:space="preserve">          6336 - PROFESSIONAL SERVICES</v>
      </c>
      <c r="C52" s="12"/>
      <c r="D52" s="7">
        <v>511.58</v>
      </c>
      <c r="E52" s="3"/>
      <c r="F52" s="8">
        <f t="shared" si="8"/>
        <v>0</v>
      </c>
      <c r="G52" s="3"/>
      <c r="H52" s="7"/>
      <c r="I52" s="3"/>
      <c r="J52" s="8">
        <f t="shared" si="9"/>
        <v>0</v>
      </c>
      <c r="K52" s="3"/>
      <c r="L52" s="7">
        <f t="shared" si="10"/>
        <v>511.58</v>
      </c>
      <c r="M52" s="3"/>
      <c r="N52" s="8">
        <f t="shared" si="11"/>
        <v>0</v>
      </c>
      <c r="O52" s="12"/>
      <c r="P52" s="7">
        <v>511.58</v>
      </c>
      <c r="Q52" s="3"/>
      <c r="R52" s="8">
        <f t="shared" si="12"/>
        <v>0</v>
      </c>
      <c r="S52" s="3"/>
      <c r="T52" s="7"/>
      <c r="U52" s="3"/>
      <c r="V52" s="8">
        <f t="shared" si="13"/>
        <v>0</v>
      </c>
      <c r="W52" s="3"/>
      <c r="X52" s="7">
        <f t="shared" si="14"/>
        <v>511.58</v>
      </c>
      <c r="Y52" s="3"/>
      <c r="Z52" s="8">
        <f t="shared" si="15"/>
        <v>0</v>
      </c>
    </row>
    <row r="53" spans="1:26" s="68" customFormat="1" ht="15" customHeight="1" outlineLevel="1" collapsed="1" x14ac:dyDescent="0.25">
      <c r="A53" s="26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SUM(OSRRefD22_11x_0)</f>
        <v>1712.8300000000002</v>
      </c>
      <c r="E53" s="2"/>
      <c r="F53" s="6">
        <f t="shared" si="8"/>
        <v>0</v>
      </c>
      <c r="G53" s="2"/>
      <c r="H53" s="2">
        <f>SUM(OSRRefH22_11x_0)</f>
        <v>8257.2000000000007</v>
      </c>
      <c r="I53" s="2"/>
      <c r="J53" s="6">
        <f t="shared" si="9"/>
        <v>0</v>
      </c>
      <c r="K53" s="2"/>
      <c r="L53" s="2">
        <f t="shared" si="10"/>
        <v>-6544.3700000000008</v>
      </c>
      <c r="M53" s="2"/>
      <c r="N53" s="6">
        <f t="shared" si="11"/>
        <v>-0.79256527636486951</v>
      </c>
      <c r="O53" s="14"/>
      <c r="P53" s="2">
        <f>SUM(OSRRefP22_11x_0)</f>
        <v>37030.83</v>
      </c>
      <c r="Q53" s="2"/>
      <c r="R53" s="6">
        <f t="shared" si="12"/>
        <v>0</v>
      </c>
      <c r="S53" s="2"/>
      <c r="T53" s="2">
        <f>SUM(OSRRefT22_11x_0)</f>
        <v>16571.04</v>
      </c>
      <c r="U53" s="2"/>
      <c r="V53" s="6">
        <f t="shared" si="13"/>
        <v>0</v>
      </c>
      <c r="W53" s="2"/>
      <c r="X53" s="2">
        <f t="shared" si="14"/>
        <v>20459.79</v>
      </c>
      <c r="Y53" s="2"/>
      <c r="Z53" s="6">
        <f t="shared" si="15"/>
        <v>1.2346714509167802</v>
      </c>
    </row>
    <row r="54" spans="1:26" s="69" customFormat="1" ht="15" hidden="1" customHeight="1" outlineLevel="2" x14ac:dyDescent="0.25">
      <c r="A54" s="25"/>
      <c r="B54" s="12" t="str">
        <f>CONCATENATE("          ","6371"," - ","COMPUTER SOFTWARE MAINTENANCE")</f>
        <v xml:space="preserve">          6371 - COMPUTER SOFTWARE MAINTENANCE</v>
      </c>
      <c r="C54" s="12"/>
      <c r="D54" s="7"/>
      <c r="E54" s="3"/>
      <c r="F54" s="8">
        <f t="shared" si="8"/>
        <v>0</v>
      </c>
      <c r="G54" s="3"/>
      <c r="H54" s="7">
        <v>8257.2000000000007</v>
      </c>
      <c r="I54" s="3"/>
      <c r="J54" s="8">
        <f t="shared" si="9"/>
        <v>0</v>
      </c>
      <c r="K54" s="3"/>
      <c r="L54" s="7">
        <f t="shared" si="10"/>
        <v>-8257.2000000000007</v>
      </c>
      <c r="M54" s="3"/>
      <c r="N54" s="8">
        <f t="shared" si="11"/>
        <v>-1</v>
      </c>
      <c r="O54" s="12"/>
      <c r="P54" s="7">
        <v>16567.060000000001</v>
      </c>
      <c r="Q54" s="3"/>
      <c r="R54" s="8">
        <f t="shared" si="12"/>
        <v>0</v>
      </c>
      <c r="S54" s="3"/>
      <c r="T54" s="7">
        <v>8959.4699999999993</v>
      </c>
      <c r="U54" s="3"/>
      <c r="V54" s="8">
        <f t="shared" si="13"/>
        <v>0</v>
      </c>
      <c r="W54" s="3"/>
      <c r="X54" s="7">
        <f t="shared" si="14"/>
        <v>7607.590000000002</v>
      </c>
      <c r="Y54" s="3"/>
      <c r="Z54" s="8">
        <f t="shared" si="15"/>
        <v>0.84911161039659744</v>
      </c>
    </row>
    <row r="55" spans="1:26" s="69" customFormat="1" ht="15" hidden="1" customHeight="1" outlineLevel="2" x14ac:dyDescent="0.25">
      <c r="A55" s="25"/>
      <c r="B55" s="12" t="str">
        <f>CONCATENATE("          ","6372"," - ","COMPUTER HARDWARE MAINTENANCE")</f>
        <v xml:space="preserve">          6372 - COMPUTER HARDWARE MAINTENANCE</v>
      </c>
      <c r="C55" s="12"/>
      <c r="D55" s="7"/>
      <c r="E55" s="3"/>
      <c r="F55" s="8">
        <f t="shared" si="8"/>
        <v>0</v>
      </c>
      <c r="G55" s="3"/>
      <c r="H55" s="7"/>
      <c r="I55" s="3"/>
      <c r="J55" s="8">
        <f t="shared" si="9"/>
        <v>0</v>
      </c>
      <c r="K55" s="3"/>
      <c r="L55" s="7">
        <f t="shared" si="10"/>
        <v>0</v>
      </c>
      <c r="M55" s="3"/>
      <c r="N55" s="8">
        <f t="shared" si="11"/>
        <v>0</v>
      </c>
      <c r="O55" s="12"/>
      <c r="P55" s="7"/>
      <c r="Q55" s="3"/>
      <c r="R55" s="8">
        <f t="shared" si="12"/>
        <v>0</v>
      </c>
      <c r="S55" s="3"/>
      <c r="T55" s="7">
        <v>100</v>
      </c>
      <c r="U55" s="3"/>
      <c r="V55" s="8">
        <f t="shared" si="13"/>
        <v>0</v>
      </c>
      <c r="W55" s="3"/>
      <c r="X55" s="7">
        <f t="shared" si="14"/>
        <v>-100</v>
      </c>
      <c r="Y55" s="3"/>
      <c r="Z55" s="8">
        <f t="shared" si="15"/>
        <v>-1</v>
      </c>
    </row>
    <row r="56" spans="1:26" s="69" customFormat="1" ht="15" hidden="1" customHeight="1" outlineLevel="2" x14ac:dyDescent="0.25">
      <c r="A56" s="25"/>
      <c r="B56" s="12" t="str">
        <f>CONCATENATE("          ","6373"," - ","MAINTENANCE CONTRACTS")</f>
        <v xml:space="preserve">          6373 - MAINTENANCE CONTRACTS</v>
      </c>
      <c r="C56" s="12"/>
      <c r="D56" s="7">
        <v>1670.94</v>
      </c>
      <c r="E56" s="3"/>
      <c r="F56" s="8">
        <f t="shared" si="8"/>
        <v>0</v>
      </c>
      <c r="G56" s="3"/>
      <c r="H56" s="7"/>
      <c r="I56" s="3"/>
      <c r="J56" s="8">
        <f t="shared" si="9"/>
        <v>0</v>
      </c>
      <c r="K56" s="3"/>
      <c r="L56" s="7">
        <f t="shared" si="10"/>
        <v>1670.94</v>
      </c>
      <c r="M56" s="3"/>
      <c r="N56" s="8">
        <f t="shared" si="11"/>
        <v>0</v>
      </c>
      <c r="O56" s="12"/>
      <c r="P56" s="7">
        <v>9387.94</v>
      </c>
      <c r="Q56" s="3"/>
      <c r="R56" s="8">
        <f t="shared" si="12"/>
        <v>0</v>
      </c>
      <c r="S56" s="3"/>
      <c r="T56" s="7">
        <v>2215.61</v>
      </c>
      <c r="U56" s="3"/>
      <c r="V56" s="8">
        <f t="shared" si="13"/>
        <v>0</v>
      </c>
      <c r="W56" s="3"/>
      <c r="X56" s="7">
        <f t="shared" si="14"/>
        <v>7172.33</v>
      </c>
      <c r="Y56" s="3"/>
      <c r="Z56" s="8">
        <f t="shared" si="15"/>
        <v>3.2371807312658816</v>
      </c>
    </row>
    <row r="57" spans="1:26" s="69" customFormat="1" ht="15" hidden="1" customHeight="1" outlineLevel="2" x14ac:dyDescent="0.25">
      <c r="A57" s="25"/>
      <c r="B57" s="12" t="str">
        <f>CONCATENATE("          ","6375"," - ","OUTSIDE REPAIRS &amp; MAINTENANCE")</f>
        <v xml:space="preserve">          6375 - OUTSIDE REPAIRS &amp; MAINTENANCE</v>
      </c>
      <c r="C57" s="12"/>
      <c r="D57" s="7">
        <v>41.89</v>
      </c>
      <c r="E57" s="3"/>
      <c r="F57" s="8">
        <f t="shared" si="8"/>
        <v>0</v>
      </c>
      <c r="G57" s="3"/>
      <c r="H57" s="7"/>
      <c r="I57" s="3"/>
      <c r="J57" s="8">
        <f t="shared" si="9"/>
        <v>0</v>
      </c>
      <c r="K57" s="3"/>
      <c r="L57" s="7">
        <f t="shared" si="10"/>
        <v>41.89</v>
      </c>
      <c r="M57" s="3"/>
      <c r="N57" s="8">
        <f t="shared" si="11"/>
        <v>0</v>
      </c>
      <c r="O57" s="12"/>
      <c r="P57" s="7">
        <v>11075.83</v>
      </c>
      <c r="Q57" s="3"/>
      <c r="R57" s="8">
        <f t="shared" si="12"/>
        <v>0</v>
      </c>
      <c r="S57" s="3"/>
      <c r="T57" s="7">
        <v>5295.96</v>
      </c>
      <c r="U57" s="3"/>
      <c r="V57" s="8">
        <f t="shared" si="13"/>
        <v>0</v>
      </c>
      <c r="W57" s="3"/>
      <c r="X57" s="7">
        <f t="shared" si="14"/>
        <v>5779.87</v>
      </c>
      <c r="Y57" s="3"/>
      <c r="Z57" s="8">
        <f t="shared" si="15"/>
        <v>1.0913734242705759</v>
      </c>
    </row>
    <row r="58" spans="1:26" s="68" customFormat="1" ht="15" customHeight="1" outlineLevel="1" collapsed="1" x14ac:dyDescent="0.25">
      <c r="A58" s="26"/>
      <c r="B58" s="14" t="str">
        <f>CONCATENATE("     ","Services                                          ")</f>
        <v xml:space="preserve">     Services                                          </v>
      </c>
      <c r="C58" s="14"/>
      <c r="D58" s="2">
        <f>SUM(OSRRefD22_12x_0)</f>
        <v>737.15</v>
      </c>
      <c r="E58" s="2"/>
      <c r="F58" s="6">
        <f t="shared" si="8"/>
        <v>0</v>
      </c>
      <c r="G58" s="2"/>
      <c r="H58" s="2">
        <f>SUM(OSRRefH22_12x_0)</f>
        <v>4904.1000000000004</v>
      </c>
      <c r="I58" s="2"/>
      <c r="J58" s="6">
        <f t="shared" si="9"/>
        <v>0</v>
      </c>
      <c r="K58" s="2"/>
      <c r="L58" s="2">
        <f t="shared" si="10"/>
        <v>-4166.9500000000007</v>
      </c>
      <c r="M58" s="2"/>
      <c r="N58" s="6">
        <f t="shared" si="11"/>
        <v>-0.84968699659468616</v>
      </c>
      <c r="O58" s="14"/>
      <c r="P58" s="2">
        <f>SUM(OSRRefP22_12x_0)</f>
        <v>11112.47</v>
      </c>
      <c r="Q58" s="2"/>
      <c r="R58" s="6">
        <f t="shared" si="12"/>
        <v>0</v>
      </c>
      <c r="S58" s="2"/>
      <c r="T58" s="2">
        <f>SUM(OSRRefT22_12x_0)</f>
        <v>31956.28</v>
      </c>
      <c r="U58" s="2"/>
      <c r="V58" s="6">
        <f t="shared" si="13"/>
        <v>0</v>
      </c>
      <c r="W58" s="2"/>
      <c r="X58" s="2">
        <f t="shared" si="14"/>
        <v>-20843.809999999998</v>
      </c>
      <c r="Y58" s="2"/>
      <c r="Z58" s="6">
        <f t="shared" si="15"/>
        <v>-0.6522602130160331</v>
      </c>
    </row>
    <row r="59" spans="1:26" s="69" customFormat="1" ht="15" hidden="1" customHeight="1" outlineLevel="2" x14ac:dyDescent="0.25">
      <c r="A59" s="25"/>
      <c r="B59" s="12" t="str">
        <f>CONCATENATE("          ","6282"," - ","JANITORIAL/EXTERMINATOR EXPENS")</f>
        <v xml:space="preserve">          6282 - JANITORIAL/EXTERMINATOR EXPENS</v>
      </c>
      <c r="C59" s="12"/>
      <c r="D59" s="7">
        <v>737.15</v>
      </c>
      <c r="E59" s="3"/>
      <c r="F59" s="8">
        <f t="shared" si="8"/>
        <v>0</v>
      </c>
      <c r="G59" s="3"/>
      <c r="H59" s="7">
        <v>650.1</v>
      </c>
      <c r="I59" s="3"/>
      <c r="J59" s="8">
        <f t="shared" si="9"/>
        <v>0</v>
      </c>
      <c r="K59" s="3"/>
      <c r="L59" s="7">
        <f t="shared" si="10"/>
        <v>87.049999999999955</v>
      </c>
      <c r="M59" s="3"/>
      <c r="N59" s="8">
        <f t="shared" si="11"/>
        <v>0.13390247654207038</v>
      </c>
      <c r="O59" s="12"/>
      <c r="P59" s="7">
        <v>7438.15</v>
      </c>
      <c r="Q59" s="3"/>
      <c r="R59" s="8">
        <f t="shared" si="12"/>
        <v>0</v>
      </c>
      <c r="S59" s="3"/>
      <c r="T59" s="7">
        <v>6330.28</v>
      </c>
      <c r="U59" s="3"/>
      <c r="V59" s="8">
        <f t="shared" si="13"/>
        <v>0</v>
      </c>
      <c r="W59" s="3"/>
      <c r="X59" s="7">
        <f t="shared" si="14"/>
        <v>1107.8699999999999</v>
      </c>
      <c r="Y59" s="3"/>
      <c r="Z59" s="8">
        <f t="shared" si="15"/>
        <v>0.17501121593357638</v>
      </c>
    </row>
    <row r="60" spans="1:26" s="69" customFormat="1" ht="15" hidden="1" customHeight="1" outlineLevel="2" x14ac:dyDescent="0.25">
      <c r="A60" s="25"/>
      <c r="B60" s="12" t="str">
        <f>CONCATENATE("          ","6284"," - ","TRASH REMOVAL EXPENSE")</f>
        <v xml:space="preserve">          6284 - TRASH REMOVAL EXPENSE</v>
      </c>
      <c r="C60" s="12"/>
      <c r="D60" s="7"/>
      <c r="E60" s="3"/>
      <c r="F60" s="8">
        <f t="shared" si="8"/>
        <v>0</v>
      </c>
      <c r="G60" s="3"/>
      <c r="H60" s="7">
        <v>4254</v>
      </c>
      <c r="I60" s="3"/>
      <c r="J60" s="8">
        <f t="shared" si="9"/>
        <v>0</v>
      </c>
      <c r="K60" s="3"/>
      <c r="L60" s="7">
        <f t="shared" si="10"/>
        <v>-4254</v>
      </c>
      <c r="M60" s="3"/>
      <c r="N60" s="8">
        <f t="shared" si="11"/>
        <v>-1</v>
      </c>
      <c r="O60" s="12"/>
      <c r="P60" s="7"/>
      <c r="Q60" s="3"/>
      <c r="R60" s="8">
        <f t="shared" si="12"/>
        <v>0</v>
      </c>
      <c r="S60" s="3"/>
      <c r="T60" s="7">
        <v>25626</v>
      </c>
      <c r="U60" s="3"/>
      <c r="V60" s="8">
        <f t="shared" si="13"/>
        <v>0</v>
      </c>
      <c r="W60" s="3"/>
      <c r="X60" s="7">
        <f t="shared" si="14"/>
        <v>-25626</v>
      </c>
      <c r="Y60" s="3"/>
      <c r="Z60" s="8">
        <f t="shared" si="15"/>
        <v>-1</v>
      </c>
    </row>
    <row r="61" spans="1:26" s="69" customFormat="1" ht="15" hidden="1" customHeight="1" outlineLevel="2" x14ac:dyDescent="0.25">
      <c r="A61" s="25"/>
      <c r="B61" s="12" t="str">
        <f>CONCATENATE("          ","6285"," - ","JANITORIAL SERVICES")</f>
        <v xml:space="preserve">          6285 - JANITORIAL SERVICES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3674.32</v>
      </c>
      <c r="Q61" s="3"/>
      <c r="R61" s="8">
        <f t="shared" si="12"/>
        <v>0</v>
      </c>
      <c r="S61" s="3"/>
      <c r="T61" s="7"/>
      <c r="U61" s="3"/>
      <c r="V61" s="8">
        <f t="shared" si="13"/>
        <v>0</v>
      </c>
      <c r="W61" s="3"/>
      <c r="X61" s="7">
        <f t="shared" si="14"/>
        <v>3674.32</v>
      </c>
      <c r="Y61" s="3"/>
      <c r="Z61" s="8">
        <f t="shared" si="15"/>
        <v>0</v>
      </c>
    </row>
    <row r="62" spans="1:26" s="68" customFormat="1" ht="15" customHeight="1" outlineLevel="1" collapsed="1" x14ac:dyDescent="0.25">
      <c r="A62" s="26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2">
        <f>SUM(OSRRefD22_13x_0)</f>
        <v>0</v>
      </c>
      <c r="E62" s="2"/>
      <c r="F62" s="6">
        <f t="shared" si="8"/>
        <v>0</v>
      </c>
      <c r="G62" s="2"/>
      <c r="H62" s="2">
        <f>SUM(OSRRefH22_13x_0)</f>
        <v>0</v>
      </c>
      <c r="I62" s="2"/>
      <c r="J62" s="6">
        <f t="shared" si="9"/>
        <v>0</v>
      </c>
      <c r="K62" s="2"/>
      <c r="L62" s="2">
        <f t="shared" si="10"/>
        <v>0</v>
      </c>
      <c r="M62" s="2"/>
      <c r="N62" s="6">
        <f t="shared" si="11"/>
        <v>0</v>
      </c>
      <c r="O62" s="14"/>
      <c r="P62" s="2">
        <f>SUM(OSRRefP22_13x_0)</f>
        <v>119.2</v>
      </c>
      <c r="Q62" s="2"/>
      <c r="R62" s="6">
        <f t="shared" si="12"/>
        <v>0</v>
      </c>
      <c r="S62" s="2"/>
      <c r="T62" s="2">
        <f>SUM(OSRRefT22_13x_0)</f>
        <v>119.07</v>
      </c>
      <c r="U62" s="2"/>
      <c r="V62" s="6">
        <f t="shared" si="13"/>
        <v>0</v>
      </c>
      <c r="W62" s="2"/>
      <c r="X62" s="2">
        <f t="shared" si="14"/>
        <v>0.13000000000000966</v>
      </c>
      <c r="Y62" s="2"/>
      <c r="Z62" s="6">
        <f t="shared" si="15"/>
        <v>1.0917947425884745E-3</v>
      </c>
    </row>
    <row r="63" spans="1:26" s="69" customFormat="1" ht="15" hidden="1" customHeight="1" outlineLevel="2" x14ac:dyDescent="0.25">
      <c r="A63" s="25"/>
      <c r="B63" s="12" t="str">
        <f>CONCATENATE("          ","6275"," - ","SUBSCRIPTIONS")</f>
        <v xml:space="preserve">          6275 - SUBSCRIPTIONS</v>
      </c>
      <c r="C63" s="12"/>
      <c r="D63" s="7"/>
      <c r="E63" s="3"/>
      <c r="F63" s="8">
        <f t="shared" si="8"/>
        <v>0</v>
      </c>
      <c r="G63" s="3"/>
      <c r="H63" s="7"/>
      <c r="I63" s="3"/>
      <c r="J63" s="8">
        <f t="shared" si="9"/>
        <v>0</v>
      </c>
      <c r="K63" s="3"/>
      <c r="L63" s="7">
        <f t="shared" si="10"/>
        <v>0</v>
      </c>
      <c r="M63" s="3"/>
      <c r="N63" s="8">
        <f t="shared" si="11"/>
        <v>0</v>
      </c>
      <c r="O63" s="12"/>
      <c r="P63" s="7">
        <v>119.2</v>
      </c>
      <c r="Q63" s="3"/>
      <c r="R63" s="8">
        <f t="shared" si="12"/>
        <v>0</v>
      </c>
      <c r="S63" s="3"/>
      <c r="T63" s="7">
        <v>119.07</v>
      </c>
      <c r="U63" s="3"/>
      <c r="V63" s="8">
        <f t="shared" si="13"/>
        <v>0</v>
      </c>
      <c r="W63" s="3"/>
      <c r="X63" s="7">
        <f t="shared" si="14"/>
        <v>0.13000000000000966</v>
      </c>
      <c r="Y63" s="3"/>
      <c r="Z63" s="8">
        <f t="shared" si="15"/>
        <v>1.0917947425884745E-3</v>
      </c>
    </row>
    <row r="64" spans="1:26" s="68" customFormat="1" ht="15" customHeight="1" outlineLevel="1" collapsed="1" x14ac:dyDescent="0.25">
      <c r="A64" s="26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SUM(OSRRefD22_14x_0)</f>
        <v>0</v>
      </c>
      <c r="E64" s="2"/>
      <c r="F64" s="6">
        <f t="shared" si="8"/>
        <v>0</v>
      </c>
      <c r="G64" s="2"/>
      <c r="H64" s="2">
        <f>SUM(OSRRefH22_14x_0)</f>
        <v>-30</v>
      </c>
      <c r="I64" s="2"/>
      <c r="J64" s="6">
        <f t="shared" si="9"/>
        <v>0</v>
      </c>
      <c r="K64" s="2"/>
      <c r="L64" s="2">
        <f t="shared" si="10"/>
        <v>30</v>
      </c>
      <c r="M64" s="2"/>
      <c r="N64" s="6">
        <f t="shared" si="11"/>
        <v>-1</v>
      </c>
      <c r="O64" s="14"/>
      <c r="P64" s="2">
        <f>SUM(OSRRefP22_14x_0)</f>
        <v>535.64</v>
      </c>
      <c r="Q64" s="2"/>
      <c r="R64" s="6">
        <f t="shared" si="12"/>
        <v>0</v>
      </c>
      <c r="S64" s="2"/>
      <c r="T64" s="2">
        <f>SUM(OSRRefT22_14x_0)</f>
        <v>-29102.880000000001</v>
      </c>
      <c r="U64" s="2"/>
      <c r="V64" s="6">
        <f t="shared" si="13"/>
        <v>0</v>
      </c>
      <c r="W64" s="2"/>
      <c r="X64" s="2">
        <f t="shared" si="14"/>
        <v>29638.52</v>
      </c>
      <c r="Y64" s="2"/>
      <c r="Z64" s="6">
        <f t="shared" si="15"/>
        <v>-1.0184050513213811</v>
      </c>
    </row>
    <row r="65" spans="1:26" s="69" customFormat="1" ht="15" hidden="1" customHeight="1" outlineLevel="2" x14ac:dyDescent="0.25">
      <c r="A65" s="25"/>
      <c r="B65" s="12" t="str">
        <f>CONCATENATE("          ","6235"," - ","COVID-19 EXPENSES")</f>
        <v xml:space="preserve">          6235 - COVID-19 EXPENSES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318.42</v>
      </c>
      <c r="Q65" s="3"/>
      <c r="R65" s="8">
        <f t="shared" si="12"/>
        <v>0</v>
      </c>
      <c r="S65" s="3"/>
      <c r="T65" s="7">
        <v>127.89</v>
      </c>
      <c r="U65" s="3"/>
      <c r="V65" s="8">
        <f t="shared" si="13"/>
        <v>0</v>
      </c>
      <c r="W65" s="3"/>
      <c r="X65" s="7">
        <f t="shared" si="14"/>
        <v>190.53000000000003</v>
      </c>
      <c r="Y65" s="3"/>
      <c r="Z65" s="8">
        <f t="shared" si="15"/>
        <v>1.4897959183673473</v>
      </c>
    </row>
    <row r="66" spans="1:26" s="69" customFormat="1" ht="15" hidden="1" customHeight="1" outlineLevel="2" x14ac:dyDescent="0.25">
      <c r="A66" s="25"/>
      <c r="B66" s="12" t="str">
        <f>CONCATENATE("          ","6237"," - ","JANITORIAL SUPPLIES")</f>
        <v xml:space="preserve">          6237 - JANITORIAL SUPPLIES</v>
      </c>
      <c r="C66" s="12"/>
      <c r="D66" s="7"/>
      <c r="E66" s="3"/>
      <c r="F66" s="8">
        <f t="shared" si="8"/>
        <v>0</v>
      </c>
      <c r="G66" s="3"/>
      <c r="H66" s="7">
        <v>-30</v>
      </c>
      <c r="I66" s="3"/>
      <c r="J66" s="8">
        <f t="shared" si="9"/>
        <v>0</v>
      </c>
      <c r="K66" s="3"/>
      <c r="L66" s="7">
        <f t="shared" si="10"/>
        <v>30</v>
      </c>
      <c r="M66" s="3"/>
      <c r="N66" s="8">
        <f t="shared" si="11"/>
        <v>-1</v>
      </c>
      <c r="O66" s="12"/>
      <c r="P66" s="7"/>
      <c r="Q66" s="3"/>
      <c r="R66" s="8">
        <f t="shared" si="12"/>
        <v>0</v>
      </c>
      <c r="S66" s="3"/>
      <c r="T66" s="7">
        <v>-30</v>
      </c>
      <c r="U66" s="3"/>
      <c r="V66" s="8">
        <f t="shared" si="13"/>
        <v>0</v>
      </c>
      <c r="W66" s="3"/>
      <c r="X66" s="7">
        <f t="shared" si="14"/>
        <v>30</v>
      </c>
      <c r="Y66" s="3"/>
      <c r="Z66" s="8">
        <f t="shared" si="15"/>
        <v>-1</v>
      </c>
    </row>
    <row r="67" spans="1:26" s="69" customFormat="1" ht="15" hidden="1" customHeight="1" outlineLevel="2" x14ac:dyDescent="0.25">
      <c r="A67" s="25"/>
      <c r="B67" s="12" t="str">
        <f>CONCATENATE("          ","6241"," - ","OFFICE EXPENSE")</f>
        <v xml:space="preserve">          6241 - OFFICE EXPENSE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>
        <v>217.22</v>
      </c>
      <c r="Q67" s="3"/>
      <c r="R67" s="8">
        <f t="shared" si="12"/>
        <v>0</v>
      </c>
      <c r="S67" s="3"/>
      <c r="T67" s="7">
        <v>-29200.77</v>
      </c>
      <c r="U67" s="3"/>
      <c r="V67" s="8">
        <f t="shared" si="13"/>
        <v>0</v>
      </c>
      <c r="W67" s="3"/>
      <c r="X67" s="7">
        <f t="shared" si="14"/>
        <v>29417.99</v>
      </c>
      <c r="Y67" s="3"/>
      <c r="Z67" s="8">
        <f t="shared" si="15"/>
        <v>-1.0074388449345686</v>
      </c>
    </row>
    <row r="68" spans="1:26" s="68" customFormat="1" ht="15" customHeight="1" outlineLevel="1" collapsed="1" x14ac:dyDescent="0.25">
      <c r="A68" s="26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SUM(OSRRefD22_15x_0)</f>
        <v>189.25</v>
      </c>
      <c r="E68" s="2"/>
      <c r="F68" s="6">
        <f t="shared" si="8"/>
        <v>0</v>
      </c>
      <c r="G68" s="2"/>
      <c r="H68" s="2">
        <f>SUM(OSRRefH22_15x_0)</f>
        <v>170.1</v>
      </c>
      <c r="I68" s="2"/>
      <c r="J68" s="6">
        <f t="shared" si="9"/>
        <v>0</v>
      </c>
      <c r="K68" s="2"/>
      <c r="L68" s="2">
        <f t="shared" si="10"/>
        <v>19.150000000000006</v>
      </c>
      <c r="M68" s="2"/>
      <c r="N68" s="6">
        <f t="shared" si="11"/>
        <v>0.11258083480305706</v>
      </c>
      <c r="O68" s="14"/>
      <c r="P68" s="2">
        <f>SUM(OSRRefP22_15x_0)</f>
        <v>2255.66</v>
      </c>
      <c r="Q68" s="2"/>
      <c r="R68" s="6">
        <f t="shared" si="12"/>
        <v>0</v>
      </c>
      <c r="S68" s="2"/>
      <c r="T68" s="2">
        <f>SUM(OSRRefT22_15x_0)</f>
        <v>1933.33</v>
      </c>
      <c r="U68" s="2"/>
      <c r="V68" s="6">
        <f t="shared" si="13"/>
        <v>0</v>
      </c>
      <c r="W68" s="2"/>
      <c r="X68" s="2">
        <f t="shared" si="14"/>
        <v>322.32999999999993</v>
      </c>
      <c r="Y68" s="2"/>
      <c r="Z68" s="6">
        <f t="shared" si="15"/>
        <v>0.16672270124603661</v>
      </c>
    </row>
    <row r="69" spans="1:26" s="69" customFormat="1" ht="15" hidden="1" customHeight="1" outlineLevel="2" x14ac:dyDescent="0.25">
      <c r="A69" s="25"/>
      <c r="B69" s="12" t="str">
        <f>CONCATENATE("          ","6309"," - ","TELEPHONE")</f>
        <v xml:space="preserve">          6309 - TELEPHONE</v>
      </c>
      <c r="C69" s="12"/>
      <c r="D69" s="7">
        <v>189.25</v>
      </c>
      <c r="E69" s="3"/>
      <c r="F69" s="8">
        <f t="shared" si="8"/>
        <v>0</v>
      </c>
      <c r="G69" s="3"/>
      <c r="H69" s="7">
        <v>170.1</v>
      </c>
      <c r="I69" s="3"/>
      <c r="J69" s="8">
        <f t="shared" si="9"/>
        <v>0</v>
      </c>
      <c r="K69" s="3"/>
      <c r="L69" s="7">
        <f t="shared" si="10"/>
        <v>19.150000000000006</v>
      </c>
      <c r="M69" s="3"/>
      <c r="N69" s="8">
        <f t="shared" si="11"/>
        <v>0.11258083480305706</v>
      </c>
      <c r="O69" s="12"/>
      <c r="P69" s="7">
        <v>2255.66</v>
      </c>
      <c r="Q69" s="3"/>
      <c r="R69" s="8">
        <f t="shared" si="12"/>
        <v>0</v>
      </c>
      <c r="S69" s="3"/>
      <c r="T69" s="7">
        <v>1933.33</v>
      </c>
      <c r="U69" s="3"/>
      <c r="V69" s="8">
        <f t="shared" si="13"/>
        <v>0</v>
      </c>
      <c r="W69" s="3"/>
      <c r="X69" s="7">
        <f t="shared" si="14"/>
        <v>322.32999999999993</v>
      </c>
      <c r="Y69" s="3"/>
      <c r="Z69" s="8">
        <f t="shared" si="15"/>
        <v>0.16672270124603661</v>
      </c>
    </row>
    <row r="70" spans="1:26" s="68" customFormat="1" ht="15" customHeight="1" outlineLevel="1" collapsed="1" x14ac:dyDescent="0.25">
      <c r="A70" s="26"/>
      <c r="B70" s="14" t="str">
        <f>CONCATENATE("     ","Travel                                            ")</f>
        <v xml:space="preserve">     Travel                                            </v>
      </c>
      <c r="C70" s="14"/>
      <c r="D70" s="2">
        <f>SUM(OSRRefD22_16x_0)</f>
        <v>0</v>
      </c>
      <c r="E70" s="2"/>
      <c r="F70" s="6">
        <f t="shared" si="8"/>
        <v>0</v>
      </c>
      <c r="G70" s="2"/>
      <c r="H70" s="2">
        <f>SUM(OSRRefH22_16x_0)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SUM(OSRRefP22_16x_0)</f>
        <v>141.24</v>
      </c>
      <c r="Q70" s="2"/>
      <c r="R70" s="6">
        <f t="shared" si="12"/>
        <v>0</v>
      </c>
      <c r="S70" s="2"/>
      <c r="T70" s="2">
        <f>SUM(OSRRefT22_16x_0)</f>
        <v>332.21</v>
      </c>
      <c r="U70" s="2"/>
      <c r="V70" s="6">
        <f t="shared" si="13"/>
        <v>0</v>
      </c>
      <c r="W70" s="2"/>
      <c r="X70" s="2">
        <f t="shared" si="14"/>
        <v>-190.96999999999997</v>
      </c>
      <c r="Y70" s="2"/>
      <c r="Z70" s="6">
        <f t="shared" si="15"/>
        <v>-0.5748472351825652</v>
      </c>
    </row>
    <row r="71" spans="1:26" s="69" customFormat="1" ht="15" hidden="1" customHeight="1" outlineLevel="2" x14ac:dyDescent="0.25">
      <c r="A71" s="25"/>
      <c r="B71" s="12" t="str">
        <f>CONCATENATE("          ","6292"," - ","TRAVEL/CONFERENCE")</f>
        <v xml:space="preserve">          6292 - TRAVEL/CONFERENCE</v>
      </c>
      <c r="C71" s="12"/>
      <c r="D71" s="7"/>
      <c r="E71" s="3"/>
      <c r="F71" s="8">
        <f t="shared" si="8"/>
        <v>0</v>
      </c>
      <c r="G71" s="3"/>
      <c r="H71" s="7"/>
      <c r="I71" s="3"/>
      <c r="J71" s="8">
        <f t="shared" si="9"/>
        <v>0</v>
      </c>
      <c r="K71" s="3"/>
      <c r="L71" s="7">
        <f t="shared" si="10"/>
        <v>0</v>
      </c>
      <c r="M71" s="3"/>
      <c r="N71" s="8">
        <f t="shared" si="11"/>
        <v>0</v>
      </c>
      <c r="O71" s="12"/>
      <c r="P71" s="7">
        <v>18.59</v>
      </c>
      <c r="Q71" s="3"/>
      <c r="R71" s="8">
        <f t="shared" si="12"/>
        <v>0</v>
      </c>
      <c r="S71" s="3"/>
      <c r="T71" s="7"/>
      <c r="U71" s="3"/>
      <c r="V71" s="8">
        <f t="shared" si="13"/>
        <v>0</v>
      </c>
      <c r="W71" s="3"/>
      <c r="X71" s="7">
        <f t="shared" si="14"/>
        <v>18.59</v>
      </c>
      <c r="Y71" s="3"/>
      <c r="Z71" s="8">
        <f t="shared" si="15"/>
        <v>0</v>
      </c>
    </row>
    <row r="72" spans="1:26" s="69" customFormat="1" ht="15" hidden="1" customHeight="1" outlineLevel="2" x14ac:dyDescent="0.25">
      <c r="A72" s="25"/>
      <c r="B72" s="12" t="str">
        <f>CONCATENATE("          ","6298"," - ","VEHICLE MILEAGE")</f>
        <v xml:space="preserve">          6298 - VEHICLE MILEAGE</v>
      </c>
      <c r="C72" s="12"/>
      <c r="D72" s="7"/>
      <c r="E72" s="3"/>
      <c r="F72" s="8">
        <f t="shared" si="8"/>
        <v>0</v>
      </c>
      <c r="G72" s="3"/>
      <c r="H72" s="7"/>
      <c r="I72" s="3"/>
      <c r="J72" s="8">
        <f t="shared" si="9"/>
        <v>0</v>
      </c>
      <c r="K72" s="3"/>
      <c r="L72" s="7">
        <f t="shared" si="10"/>
        <v>0</v>
      </c>
      <c r="M72" s="3"/>
      <c r="N72" s="8">
        <f t="shared" si="11"/>
        <v>0</v>
      </c>
      <c r="O72" s="12"/>
      <c r="P72" s="7">
        <v>122.65</v>
      </c>
      <c r="Q72" s="3"/>
      <c r="R72" s="8">
        <f t="shared" si="12"/>
        <v>0</v>
      </c>
      <c r="S72" s="3"/>
      <c r="T72" s="7">
        <v>332.21</v>
      </c>
      <c r="U72" s="3"/>
      <c r="V72" s="8">
        <f t="shared" si="13"/>
        <v>0</v>
      </c>
      <c r="W72" s="3"/>
      <c r="X72" s="7">
        <f t="shared" si="14"/>
        <v>-209.55999999999997</v>
      </c>
      <c r="Y72" s="3"/>
      <c r="Z72" s="8">
        <f t="shared" si="15"/>
        <v>-0.63080581559856708</v>
      </c>
    </row>
    <row r="73" spans="1:26" s="68" customFormat="1" ht="15" customHeight="1" outlineLevel="1" collapsed="1" x14ac:dyDescent="0.25">
      <c r="A73" s="26"/>
      <c r="B73" s="14" t="str">
        <f>CONCATENATE("     ","Utilities                                         ")</f>
        <v xml:space="preserve">     Utilities                                         </v>
      </c>
      <c r="C73" s="14"/>
      <c r="D73" s="2">
        <f>SUM(OSRRefD22_17x_0)</f>
        <v>22843.94</v>
      </c>
      <c r="E73" s="2"/>
      <c r="F73" s="6">
        <f t="shared" si="8"/>
        <v>0</v>
      </c>
      <c r="G73" s="2"/>
      <c r="H73" s="2">
        <f>SUM(OSRRefH22_17x_0)</f>
        <v>1000</v>
      </c>
      <c r="I73" s="2"/>
      <c r="J73" s="6">
        <f t="shared" si="9"/>
        <v>0</v>
      </c>
      <c r="K73" s="2"/>
      <c r="L73" s="2">
        <f t="shared" si="10"/>
        <v>21843.94</v>
      </c>
      <c r="M73" s="2"/>
      <c r="N73" s="6">
        <f t="shared" si="11"/>
        <v>21.84394</v>
      </c>
      <c r="O73" s="14"/>
      <c r="P73" s="2">
        <f>SUM(OSRRefP22_17x_0)</f>
        <v>78343.94</v>
      </c>
      <c r="Q73" s="2"/>
      <c r="R73" s="6">
        <f t="shared" si="12"/>
        <v>0</v>
      </c>
      <c r="S73" s="2"/>
      <c r="T73" s="2">
        <f>SUM(OSRRefT22_17x_0)</f>
        <v>-9039</v>
      </c>
      <c r="U73" s="2"/>
      <c r="V73" s="6">
        <f t="shared" si="13"/>
        <v>0</v>
      </c>
      <c r="W73" s="2"/>
      <c r="X73" s="2">
        <f t="shared" si="14"/>
        <v>87382.94</v>
      </c>
      <c r="Y73" s="2"/>
      <c r="Z73" s="6">
        <f t="shared" si="15"/>
        <v>-9.667323819006528</v>
      </c>
    </row>
    <row r="74" spans="1:26" s="69" customFormat="1" ht="15" hidden="1" customHeight="1" outlineLevel="2" x14ac:dyDescent="0.25">
      <c r="A74" s="25"/>
      <c r="B74" s="12" t="str">
        <f>CONCATENATE("          ","6274"," - ","UTILITIES")</f>
        <v xml:space="preserve">          6274 - UTILITIES</v>
      </c>
      <c r="C74" s="12"/>
      <c r="D74" s="7">
        <v>22843.94</v>
      </c>
      <c r="E74" s="3"/>
      <c r="F74" s="8">
        <f t="shared" si="8"/>
        <v>0</v>
      </c>
      <c r="G74" s="3"/>
      <c r="H74" s="7">
        <v>1000</v>
      </c>
      <c r="I74" s="3"/>
      <c r="J74" s="8">
        <f t="shared" si="9"/>
        <v>0</v>
      </c>
      <c r="K74" s="3"/>
      <c r="L74" s="7">
        <f t="shared" si="10"/>
        <v>21843.94</v>
      </c>
      <c r="M74" s="3"/>
      <c r="N74" s="8">
        <f t="shared" si="11"/>
        <v>21.84394</v>
      </c>
      <c r="O74" s="12"/>
      <c r="P74" s="7">
        <v>78343.94</v>
      </c>
      <c r="Q74" s="3"/>
      <c r="R74" s="8">
        <f t="shared" si="12"/>
        <v>0</v>
      </c>
      <c r="S74" s="3"/>
      <c r="T74" s="7">
        <v>-9039</v>
      </c>
      <c r="U74" s="3"/>
      <c r="V74" s="8">
        <f t="shared" si="13"/>
        <v>0</v>
      </c>
      <c r="W74" s="3"/>
      <c r="X74" s="7">
        <f t="shared" si="14"/>
        <v>87382.94</v>
      </c>
      <c r="Y74" s="3"/>
      <c r="Z74" s="8">
        <f t="shared" si="15"/>
        <v>-9.667323819006528</v>
      </c>
    </row>
    <row r="75" spans="1:26" s="64" customFormat="1" ht="15" customHeight="1" x14ac:dyDescent="0.25">
      <c r="A75" s="36"/>
      <c r="B75" s="36"/>
      <c r="C75" s="36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3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62" customFormat="1" ht="15" customHeight="1" collapsed="1" x14ac:dyDescent="0.25">
      <c r="A76" s="11"/>
      <c r="B76" s="28" t="s">
        <v>290</v>
      </c>
      <c r="C76" s="11"/>
      <c r="D76" s="5">
        <f>SUM(OSRRefD25x_0)</f>
        <v>11951</v>
      </c>
      <c r="E76" s="5"/>
      <c r="F76" s="13">
        <f>IF(D$12=0,0,D76/D$12)</f>
        <v>0</v>
      </c>
      <c r="G76" s="5"/>
      <c r="H76" s="5">
        <f>SUM(OSRRefH25x_0)</f>
        <v>8.44</v>
      </c>
      <c r="I76" s="5"/>
      <c r="J76" s="13">
        <f>IF(H$12=0,0,H76/H$12)</f>
        <v>0</v>
      </c>
      <c r="K76" s="5"/>
      <c r="L76" s="5">
        <f>+D76-H76</f>
        <v>11942.56</v>
      </c>
      <c r="M76" s="5"/>
      <c r="N76" s="13">
        <f>IF(H76=0,0,L76/H76)</f>
        <v>1414.9952606635072</v>
      </c>
      <c r="O76" s="11"/>
      <c r="P76" s="5">
        <f>SUM(OSRRefP25x_0)</f>
        <v>46107.61</v>
      </c>
      <c r="Q76" s="5"/>
      <c r="R76" s="13">
        <f>IF(P$12=0,0,P76/P$12)</f>
        <v>0</v>
      </c>
      <c r="S76" s="5"/>
      <c r="T76" s="5">
        <f>SUM(OSRRefT25x_0)</f>
        <v>6054.85</v>
      </c>
      <c r="U76" s="5"/>
      <c r="V76" s="13">
        <f>IF(T$12=0,0,T76/T$12)</f>
        <v>0</v>
      </c>
      <c r="W76" s="5"/>
      <c r="X76" s="5">
        <f>+P76-T76</f>
        <v>40052.76</v>
      </c>
      <c r="Y76" s="5"/>
      <c r="Z76" s="13">
        <f>IF(T76=0,0,X76/T76)</f>
        <v>6.6149879848386002</v>
      </c>
    </row>
    <row r="77" spans="1:26" s="69" customFormat="1" ht="15" hidden="1" customHeight="1" outlineLevel="1" x14ac:dyDescent="0.25">
      <c r="A77" s="42"/>
      <c r="B77" s="12" t="str">
        <f>CONCATENATE("          ","9150"," - ","MISC. INCOME")</f>
        <v xml:space="preserve">          9150 - MISC. INCOME</v>
      </c>
      <c r="C77" s="12"/>
      <c r="D77" s="3">
        <f>--11951</f>
        <v>11951</v>
      </c>
      <c r="E77" s="3"/>
      <c r="F77" s="20">
        <f>IF(D$12=0,0,D77/D$12)</f>
        <v>0</v>
      </c>
      <c r="G77" s="3"/>
      <c r="H77" s="3">
        <f>--8.44</f>
        <v>8.44</v>
      </c>
      <c r="I77" s="3"/>
      <c r="J77" s="20">
        <f>IF(H$12=0,0,H77/H$12)</f>
        <v>0</v>
      </c>
      <c r="K77" s="3"/>
      <c r="L77" s="3">
        <f>+D77-H77</f>
        <v>11942.56</v>
      </c>
      <c r="M77" s="3"/>
      <c r="N77" s="20">
        <f>IF(H77=0,0,L77/H77)</f>
        <v>1414.9952606635072</v>
      </c>
      <c r="O77" s="12"/>
      <c r="P77" s="3">
        <f>--46107.61</f>
        <v>46107.61</v>
      </c>
      <c r="Q77" s="3"/>
      <c r="R77" s="20">
        <f>IF(P$12=0,0,P77/P$12)</f>
        <v>0</v>
      </c>
      <c r="S77" s="3"/>
      <c r="T77" s="3">
        <f>--5238.5</f>
        <v>5238.5</v>
      </c>
      <c r="U77" s="3"/>
      <c r="V77" s="20">
        <f>IF(T$12=0,0,T77/T$12)</f>
        <v>0</v>
      </c>
      <c r="W77" s="3"/>
      <c r="X77" s="3">
        <f>+P77-T77</f>
        <v>40869.11</v>
      </c>
      <c r="Y77" s="3"/>
      <c r="Z77" s="20">
        <f>IF(T77=0,0,X77/T77)</f>
        <v>7.8016817791352491</v>
      </c>
    </row>
    <row r="78" spans="1:26" s="69" customFormat="1" ht="15" hidden="1" customHeight="1" outlineLevel="1" x14ac:dyDescent="0.25">
      <c r="A78" s="42"/>
      <c r="B78" s="12" t="str">
        <f>CONCATENATE("          ","9160"," - ","MISC. INCOME")</f>
        <v xml:space="preserve">          9160 - MISC. INCOME</v>
      </c>
      <c r="C78" s="12"/>
      <c r="D78" s="3">
        <f>0</f>
        <v>0</v>
      </c>
      <c r="E78" s="3"/>
      <c r="F78" s="20">
        <f>IF(D$12=0,0,D78/D$12)</f>
        <v>0</v>
      </c>
      <c r="G78" s="3"/>
      <c r="H78" s="3">
        <f>0</f>
        <v>0</v>
      </c>
      <c r="I78" s="3"/>
      <c r="J78" s="20">
        <f>IF(H$12=0,0,H78/H$12)</f>
        <v>0</v>
      </c>
      <c r="K78" s="3"/>
      <c r="L78" s="3">
        <f>+D78-H78</f>
        <v>0</v>
      </c>
      <c r="M78" s="3"/>
      <c r="N78" s="20">
        <f>IF(H78=0,0,L78/H78)</f>
        <v>0</v>
      </c>
      <c r="O78" s="12"/>
      <c r="P78" s="3">
        <f>0</f>
        <v>0</v>
      </c>
      <c r="Q78" s="3"/>
      <c r="R78" s="20">
        <f>IF(P$12=0,0,P78/P$12)</f>
        <v>0</v>
      </c>
      <c r="S78" s="3"/>
      <c r="T78" s="3">
        <f>--816.35</f>
        <v>816.35</v>
      </c>
      <c r="U78" s="3"/>
      <c r="V78" s="20">
        <f>IF(T$12=0,0,T78/T$12)</f>
        <v>0</v>
      </c>
      <c r="W78" s="3"/>
      <c r="X78" s="3">
        <f>+P78-T78</f>
        <v>-816.35</v>
      </c>
      <c r="Y78" s="3"/>
      <c r="Z78" s="20">
        <f>IF(T78=0,0,X78/T78)</f>
        <v>-1</v>
      </c>
    </row>
    <row r="79" spans="1:26" ht="15" customHeight="1" x14ac:dyDescent="0.25">
      <c r="A79" s="10"/>
      <c r="B79" s="11"/>
      <c r="C79" s="11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O79" s="11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2" customFormat="1" ht="15" customHeight="1" x14ac:dyDescent="0.25">
      <c r="A80" s="11"/>
      <c r="B80" s="27" t="s">
        <v>291</v>
      </c>
      <c r="C80" s="27"/>
      <c r="D80" s="22">
        <f>+D16-D18+D76</f>
        <v>-51926.020000000004</v>
      </c>
      <c r="E80" s="15"/>
      <c r="F80" s="23">
        <f>IF(D$12=0,0,D80/D$12)</f>
        <v>0</v>
      </c>
      <c r="G80" s="15"/>
      <c r="H80" s="22">
        <f>+H16-H18+H76</f>
        <v>-39520.449999999997</v>
      </c>
      <c r="I80" s="15"/>
      <c r="J80" s="23">
        <f>IF(H$12=0,0,H80/H$12)</f>
        <v>0</v>
      </c>
      <c r="K80" s="16"/>
      <c r="L80" s="22">
        <f>+D80-H80</f>
        <v>-12405.570000000007</v>
      </c>
      <c r="M80" s="16"/>
      <c r="N80" s="23">
        <f>IF(H80=0,0,L80/H80)</f>
        <v>0.31390254918656058</v>
      </c>
      <c r="O80" s="28"/>
      <c r="P80" s="22">
        <f>+P16-P18+P76</f>
        <v>-521843.50999999989</v>
      </c>
      <c r="Q80" s="15"/>
      <c r="R80" s="23">
        <f>IF(P$12=0,0,P80/P$12)</f>
        <v>0</v>
      </c>
      <c r="S80" s="15"/>
      <c r="T80" s="22">
        <f>+T16-T18+T76</f>
        <v>-324924.76</v>
      </c>
      <c r="U80" s="15"/>
      <c r="V80" s="23">
        <f>IF(T$12=0,0,T80/T$12)</f>
        <v>0</v>
      </c>
      <c r="W80" s="16"/>
      <c r="X80" s="22">
        <f>+P80-T80</f>
        <v>-196918.74999999988</v>
      </c>
      <c r="Y80" s="16"/>
      <c r="Z80" s="23">
        <f>IF(T80=0,0,X80/T80)</f>
        <v>0.60604415003645729</v>
      </c>
    </row>
    <row r="81" spans="1:26" ht="15" customHeight="1" x14ac:dyDescent="0.25">
      <c r="A81" s="10"/>
      <c r="B81" s="11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2" customFormat="1" ht="15" customHeight="1" x14ac:dyDescent="0.25">
      <c r="A82" s="48"/>
      <c r="B82" s="11" t="s">
        <v>292</v>
      </c>
      <c r="C82" s="11"/>
      <c r="D82" s="5"/>
      <c r="E82" s="5"/>
      <c r="F82" s="13">
        <f>IF(D$12=0,0,D82/D$12)</f>
        <v>0</v>
      </c>
      <c r="G82" s="5"/>
      <c r="H82" s="5"/>
      <c r="I82" s="5"/>
      <c r="J82" s="13">
        <f>IF(H$12=0,0,H82/H$12)</f>
        <v>0</v>
      </c>
      <c r="K82" s="5"/>
      <c r="L82" s="5">
        <f>+D82-H82</f>
        <v>0</v>
      </c>
      <c r="M82" s="5"/>
      <c r="N82" s="13">
        <f>IF(H82=0,0,L82/H82)</f>
        <v>0</v>
      </c>
      <c r="O82" s="11"/>
      <c r="P82" s="5"/>
      <c r="Q82" s="5"/>
      <c r="R82" s="13">
        <f>IF(P$12=0,0,P82/P$12)</f>
        <v>0</v>
      </c>
      <c r="S82" s="5"/>
      <c r="T82" s="5"/>
      <c r="U82" s="5"/>
      <c r="V82" s="13">
        <f>IF(T$12=0,0,T82/T$12)</f>
        <v>0</v>
      </c>
      <c r="W82" s="5"/>
      <c r="X82" s="5">
        <f>+P82-T82</f>
        <v>0</v>
      </c>
      <c r="Y82" s="5"/>
      <c r="Z82" s="13">
        <f>IF(T82=0,0,X82/T82)</f>
        <v>0</v>
      </c>
    </row>
    <row r="83" spans="1:26" ht="15" customHeight="1" x14ac:dyDescent="0.25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25">
      <c r="A84" s="11"/>
      <c r="B84" s="27" t="s">
        <v>293</v>
      </c>
      <c r="C84" s="27"/>
      <c r="D84" s="35">
        <f>+D80-D82</f>
        <v>-51926.020000000004</v>
      </c>
      <c r="E84" s="15"/>
      <c r="F84" s="30">
        <f>IF(D$12=0,0,D84/D$12)</f>
        <v>0</v>
      </c>
      <c r="G84" s="15"/>
      <c r="H84" s="35">
        <f>+H80-H82</f>
        <v>-39520.449999999997</v>
      </c>
      <c r="I84" s="15"/>
      <c r="J84" s="30">
        <f>IF(H$12=0,0,H84/H$12)</f>
        <v>0</v>
      </c>
      <c r="K84" s="16"/>
      <c r="L84" s="35">
        <f>D84-H84</f>
        <v>-12405.570000000007</v>
      </c>
      <c r="M84" s="16"/>
      <c r="N84" s="30">
        <f>IF(H84=0,0,L84/H84)</f>
        <v>0.31390254918656058</v>
      </c>
      <c r="O84" s="28"/>
      <c r="P84" s="35">
        <f>+P80-P82</f>
        <v>-521843.50999999989</v>
      </c>
      <c r="Q84" s="15"/>
      <c r="R84" s="30">
        <f>IF(P$12=0,0,P84/P$12)</f>
        <v>0</v>
      </c>
      <c r="S84" s="15"/>
      <c r="T84" s="35">
        <f>+T80-T82</f>
        <v>-324924.76</v>
      </c>
      <c r="U84" s="15"/>
      <c r="V84" s="30">
        <f>IF(T$12=0,0,T84/T$12)</f>
        <v>0</v>
      </c>
      <c r="W84" s="16"/>
      <c r="X84" s="35">
        <f>P84-T84</f>
        <v>-196918.74999999988</v>
      </c>
      <c r="Y84" s="16"/>
      <c r="Z84" s="30">
        <f>IF(T84=0,0,X84/T84)</f>
        <v>0.60604415003645729</v>
      </c>
    </row>
    <row r="85" spans="1:26" ht="15" customHeight="1" x14ac:dyDescent="0.25">
      <c r="A85" s="10"/>
      <c r="B85" s="10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ht="15" customHeight="1" x14ac:dyDescent="0.25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25">
      <c r="A87" s="11"/>
      <c r="B87" s="27" t="s">
        <v>296</v>
      </c>
      <c r="C87" s="27"/>
      <c r="D87" s="32">
        <f>SUM(D84:D86)</f>
        <v>-51926.020000000004</v>
      </c>
      <c r="E87" s="15"/>
      <c r="F87" s="34">
        <f>IF(D$12=0,0,D87/D$12)</f>
        <v>0</v>
      </c>
      <c r="G87" s="15"/>
      <c r="H87" s="32">
        <f>SUM(H84:H86)</f>
        <v>-39520.449999999997</v>
      </c>
      <c r="I87" s="15"/>
      <c r="J87" s="34">
        <f>IF(H$12=0,0,H87/H$12)</f>
        <v>0</v>
      </c>
      <c r="K87" s="16"/>
      <c r="L87" s="32">
        <f>+D87-H87</f>
        <v>-12405.570000000007</v>
      </c>
      <c r="M87" s="16"/>
      <c r="N87" s="34">
        <f>IF(H87=0,0,L87/H87)</f>
        <v>0.31390254918656058</v>
      </c>
      <c r="O87" s="28"/>
      <c r="P87" s="32">
        <f>SUM(P84:P86)</f>
        <v>-521843.50999999989</v>
      </c>
      <c r="Q87" s="15"/>
      <c r="R87" s="34">
        <f>IF(P$12=0,0,P87/P$12)</f>
        <v>0</v>
      </c>
      <c r="S87" s="15"/>
      <c r="T87" s="32">
        <f>SUM(T84:T86)</f>
        <v>-324924.76</v>
      </c>
      <c r="U87" s="15"/>
      <c r="V87" s="34">
        <f>IF(T$12=0,0,T87/T$12)</f>
        <v>0</v>
      </c>
      <c r="W87" s="16"/>
      <c r="X87" s="32">
        <f>+P87-T87</f>
        <v>-196918.74999999988</v>
      </c>
      <c r="Y87" s="16"/>
      <c r="Z87" s="34">
        <f>IF(T87=0,0,X87/T87)</f>
        <v>0.60604415003645729</v>
      </c>
    </row>
    <row r="88" spans="1:26" ht="15" customHeight="1" x14ac:dyDescent="0.25">
      <c r="A88" s="10"/>
      <c r="C88" s="10"/>
      <c r="D88" s="18"/>
      <c r="E88" s="18"/>
      <c r="G88" s="18"/>
      <c r="H88" s="18"/>
      <c r="I88" s="18"/>
      <c r="J88" s="41"/>
      <c r="K88" s="18"/>
      <c r="L88" s="18"/>
      <c r="M88" s="18"/>
      <c r="P88" s="18"/>
      <c r="Q88" s="18"/>
      <c r="R88" s="41"/>
      <c r="S88" s="18"/>
      <c r="T88" s="18"/>
      <c r="U88" s="18"/>
      <c r="V88" s="41"/>
      <c r="W88" s="18"/>
      <c r="X88" s="18"/>
    </row>
    <row r="89" spans="1:26" ht="15" customHeight="1" x14ac:dyDescent="0.25">
      <c r="A89" s="10"/>
      <c r="B89" s="50">
        <v>44727.879654085649</v>
      </c>
      <c r="D89" s="18"/>
      <c r="E89" s="18"/>
      <c r="G89" s="18"/>
      <c r="H89" s="18"/>
      <c r="I89" s="18"/>
      <c r="J89" s="41"/>
      <c r="K89" s="18"/>
      <c r="L89" s="18"/>
      <c r="M89" s="18"/>
      <c r="P89" s="18"/>
      <c r="Q89" s="18"/>
      <c r="R89" s="41"/>
      <c r="S89" s="18"/>
      <c r="T89" s="18"/>
      <c r="U89" s="18"/>
      <c r="V89" s="41"/>
      <c r="W89" s="18"/>
      <c r="X89" s="18"/>
    </row>
    <row r="90" spans="1:26" ht="15" customHeight="1" x14ac:dyDescent="0.25">
      <c r="A90" s="10"/>
      <c r="B90" s="53" t="s">
        <v>297</v>
      </c>
      <c r="D90" s="18"/>
      <c r="E90" s="18"/>
      <c r="G90" s="18"/>
      <c r="H90" s="18"/>
      <c r="I90" s="18"/>
      <c r="J90" s="41"/>
      <c r="K90" s="18"/>
      <c r="L90" s="18"/>
      <c r="M90" s="18"/>
      <c r="P90" s="18"/>
      <c r="Q90" s="18"/>
      <c r="R90" s="41"/>
      <c r="S90" s="18"/>
      <c r="T90" s="18"/>
      <c r="U90" s="18"/>
      <c r="V90" s="41"/>
      <c r="W90" s="18"/>
      <c r="X90" s="18"/>
    </row>
    <row r="91" spans="1:26" ht="15" customHeight="1" x14ac:dyDescent="0.25">
      <c r="A91" s="10"/>
      <c r="B91" s="55"/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  <row r="92" spans="1:26" ht="15" customHeight="1" x14ac:dyDescent="0.25"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5F3DA-6274-3233-4A89-1D97B5FAA7C4}">
  <sheetPr>
    <tabColor rgb="FF92D050"/>
    <outlinePr summaryBelow="0" summaryRight="0"/>
  </sheetPr>
  <dimension ref="A2:Z4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","412"," - ","Chartroom")</f>
        <v>Department 412 - Chartroom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577.36</v>
      </c>
      <c r="E18" s="21"/>
      <c r="F18" s="31">
        <f t="shared" ref="F18:F31" si="0">IF(D$12=0,0,D18/D$12)</f>
        <v>0</v>
      </c>
      <c r="G18" s="21"/>
      <c r="H18" s="21" cm="1">
        <f t="array" ref="H18">SUM(OSRRefH22x_0)</f>
        <v>613.36</v>
      </c>
      <c r="I18" s="21"/>
      <c r="J18" s="31">
        <f t="shared" ref="J18:J31" si="1">IF(H$12=0,0,H18/H$12)</f>
        <v>0</v>
      </c>
      <c r="K18" s="5"/>
      <c r="L18" s="21">
        <f t="shared" ref="L18:L31" si="2">+D18-H18</f>
        <v>-36</v>
      </c>
      <c r="M18" s="5"/>
      <c r="N18" s="31">
        <f t="shared" ref="N18:N31" si="3">IF(H18=0,0,L18/H18)</f>
        <v>-5.8693100299986957E-2</v>
      </c>
      <c r="O18" s="11"/>
      <c r="P18" s="21" cm="1">
        <f t="array" ref="P18">SUM(OSRRefP22x_0)</f>
        <v>6411.0000000000009</v>
      </c>
      <c r="Q18" s="21"/>
      <c r="R18" s="31">
        <f t="shared" ref="R18:R31" si="4">IF(P$12=0,0,P18/P$12)</f>
        <v>0</v>
      </c>
      <c r="S18" s="21"/>
      <c r="T18" s="21" cm="1">
        <f t="array" ref="T18">SUM(OSRRefT22x_0)</f>
        <v>9176.93</v>
      </c>
      <c r="U18" s="21"/>
      <c r="V18" s="31">
        <f t="shared" ref="V18:V31" si="5">IF(T$12=0,0,T18/T$12)</f>
        <v>0</v>
      </c>
      <c r="W18" s="5"/>
      <c r="X18" s="21">
        <f t="shared" ref="X18:X31" si="6">+P18-T18</f>
        <v>-2765.9299999999994</v>
      </c>
      <c r="Y18" s="5"/>
      <c r="Z18" s="31">
        <f t="shared" ref="Z18:Z31" si="7">IF(T18=0,0,X18/T18)</f>
        <v>-0.30140035937944382</v>
      </c>
    </row>
    <row r="19" spans="1:26" s="68" customFormat="1" ht="15" customHeight="1" outlineLevel="1" collapsed="1" x14ac:dyDescent="0.25">
      <c r="A19" s="26"/>
      <c r="B19" s="14" t="str">
        <f>CONCATENATE("     ","*Payroll                                          ")</f>
        <v xml:space="preserve">     *Payroll 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-262.52999999999997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-262.52999999999997</v>
      </c>
      <c r="Y19" s="2"/>
      <c r="Z19" s="6">
        <f t="shared" si="7"/>
        <v>0</v>
      </c>
    </row>
    <row r="20" spans="1:26" s="69" customFormat="1" ht="15" hidden="1" customHeight="1" outlineLevel="2" x14ac:dyDescent="0.25">
      <c r="A20" s="25"/>
      <c r="B20" s="12" t="str">
        <f>CONCATENATE("          ","6002"," - ","STAFF SALARIES")</f>
        <v xml:space="preserve">          6002 - STAFF SALARIES</v>
      </c>
      <c r="C20" s="12"/>
      <c r="D20" s="7"/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>
        <v>-262.52999999999997</v>
      </c>
      <c r="Q20" s="3"/>
      <c r="R20" s="8">
        <f t="shared" si="4"/>
        <v>0</v>
      </c>
      <c r="S20" s="3"/>
      <c r="T20" s="7"/>
      <c r="U20" s="3"/>
      <c r="V20" s="8">
        <f t="shared" si="5"/>
        <v>0</v>
      </c>
      <c r="W20" s="3"/>
      <c r="X20" s="7">
        <f t="shared" si="6"/>
        <v>-262.52999999999997</v>
      </c>
      <c r="Y20" s="3"/>
      <c r="Z20" s="8">
        <f t="shared" si="7"/>
        <v>0</v>
      </c>
    </row>
    <row r="21" spans="1:26" s="68" customFormat="1" ht="15" customHeight="1" outlineLevel="1" collapsed="1" x14ac:dyDescent="0.25">
      <c r="A21" s="26"/>
      <c r="B21" s="14" t="str">
        <f>CONCATENATE("     ","Depreciation                                      ")</f>
        <v xml:space="preserve">     Depreciation                                      </v>
      </c>
      <c r="C21" s="14"/>
      <c r="D21" s="2">
        <f>SUM(OSRRefD22_1x_0)</f>
        <v>577.36</v>
      </c>
      <c r="E21" s="2"/>
      <c r="F21" s="6">
        <f t="shared" si="0"/>
        <v>0</v>
      </c>
      <c r="G21" s="2"/>
      <c r="H21" s="2">
        <f>SUM(OSRRefH22_1x_0)</f>
        <v>577.36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6350.96</v>
      </c>
      <c r="Q21" s="2"/>
      <c r="R21" s="6">
        <f t="shared" si="4"/>
        <v>0</v>
      </c>
      <c r="S21" s="2"/>
      <c r="T21" s="2">
        <f>SUM(OSRRefT22_1x_0)</f>
        <v>6689.95</v>
      </c>
      <c r="U21" s="2"/>
      <c r="V21" s="6">
        <f t="shared" si="5"/>
        <v>0</v>
      </c>
      <c r="W21" s="2"/>
      <c r="X21" s="2">
        <f t="shared" si="6"/>
        <v>-338.98999999999978</v>
      </c>
      <c r="Y21" s="2"/>
      <c r="Z21" s="6">
        <f t="shared" si="7"/>
        <v>-5.0671529682583545E-2</v>
      </c>
    </row>
    <row r="22" spans="1:26" s="69" customFormat="1" ht="15" hidden="1" customHeight="1" outlineLevel="2" x14ac:dyDescent="0.25">
      <c r="A22" s="25"/>
      <c r="B22" s="12" t="str">
        <f>CONCATENATE("          ","6322"," - ","EQUIPMENT DEPRECIATION EXPENSE")</f>
        <v xml:space="preserve">          6322 - EQUIPMENT DEPRECIATION EXPENSE</v>
      </c>
      <c r="C22" s="12"/>
      <c r="D22" s="7">
        <v>577.36</v>
      </c>
      <c r="E22" s="3"/>
      <c r="F22" s="8">
        <f t="shared" si="0"/>
        <v>0</v>
      </c>
      <c r="G22" s="3"/>
      <c r="H22" s="7">
        <v>577.36</v>
      </c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>
        <v>6350.96</v>
      </c>
      <c r="Q22" s="3"/>
      <c r="R22" s="8">
        <f t="shared" si="4"/>
        <v>0</v>
      </c>
      <c r="S22" s="3"/>
      <c r="T22" s="7">
        <v>6689.95</v>
      </c>
      <c r="U22" s="3"/>
      <c r="V22" s="8">
        <f t="shared" si="5"/>
        <v>0</v>
      </c>
      <c r="W22" s="3"/>
      <c r="X22" s="7">
        <f t="shared" si="6"/>
        <v>-338.98999999999978</v>
      </c>
      <c r="Y22" s="3"/>
      <c r="Z22" s="8">
        <f t="shared" si="7"/>
        <v>-5.0671529682583545E-2</v>
      </c>
    </row>
    <row r="23" spans="1:26" s="68" customFormat="1" ht="15" customHeight="1" outlineLevel="1" collapsed="1" x14ac:dyDescent="0.25">
      <c r="A23" s="26"/>
      <c r="B23" s="14" t="str">
        <f>CONCATENATE("     ","Equipment Rental                                  ")</f>
        <v xml:space="preserve">     Equipment Rental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16.239999999999998</v>
      </c>
      <c r="U23" s="2"/>
      <c r="V23" s="6">
        <f t="shared" si="5"/>
        <v>0</v>
      </c>
      <c r="W23" s="2"/>
      <c r="X23" s="2">
        <f t="shared" si="6"/>
        <v>-16.239999999999998</v>
      </c>
      <c r="Y23" s="2"/>
      <c r="Z23" s="6">
        <f t="shared" si="7"/>
        <v>-1</v>
      </c>
    </row>
    <row r="24" spans="1:26" s="69" customFormat="1" ht="15" hidden="1" customHeight="1" outlineLevel="2" x14ac:dyDescent="0.25">
      <c r="A24" s="25"/>
      <c r="B24" s="12" t="str">
        <f>CONCATENATE("          ","6351"," - ","EQUIPMENT RENTAL")</f>
        <v xml:space="preserve">          6351 - EQUIPMENT RENTAL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16.239999999999998</v>
      </c>
      <c r="U24" s="3"/>
      <c r="V24" s="8">
        <f t="shared" si="5"/>
        <v>0</v>
      </c>
      <c r="W24" s="3"/>
      <c r="X24" s="7">
        <f t="shared" si="6"/>
        <v>-16.239999999999998</v>
      </c>
      <c r="Y24" s="3"/>
      <c r="Z24" s="8">
        <f t="shared" si="7"/>
        <v>-1</v>
      </c>
    </row>
    <row r="25" spans="1:26" s="68" customFormat="1" ht="15" customHeight="1" outlineLevel="1" collapsed="1" x14ac:dyDescent="0.25">
      <c r="A25" s="26"/>
      <c r="B25" s="14" t="str">
        <f>CONCATENATE("     ","Repair and Maintenance                            ")</f>
        <v xml:space="preserve">     Repair and Maintenance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186.97</v>
      </c>
      <c r="Q25" s="2"/>
      <c r="R25" s="6">
        <f t="shared" si="4"/>
        <v>0</v>
      </c>
      <c r="S25" s="2"/>
      <c r="T25" s="2">
        <f>SUM(OSRRefT22_3x_0)</f>
        <v>1677.13</v>
      </c>
      <c r="U25" s="2"/>
      <c r="V25" s="6">
        <f t="shared" si="5"/>
        <v>0</v>
      </c>
      <c r="W25" s="2"/>
      <c r="X25" s="2">
        <f t="shared" si="6"/>
        <v>-1490.16</v>
      </c>
      <c r="Y25" s="2"/>
      <c r="Z25" s="6">
        <f t="shared" si="7"/>
        <v>-0.88851788471972948</v>
      </c>
    </row>
    <row r="26" spans="1:26" s="69" customFormat="1" ht="15" hidden="1" customHeight="1" outlineLevel="2" x14ac:dyDescent="0.25">
      <c r="A26" s="25"/>
      <c r="B26" s="12" t="str">
        <f>CONCATENATE("          ","6373"," - ","MAINTENANCE CONTRACTS")</f>
        <v xml:space="preserve">          6373 - MAINTENANCE CONTRACTS</v>
      </c>
      <c r="C26" s="12"/>
      <c r="D26" s="7"/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>
        <v>186.97</v>
      </c>
      <c r="Q26" s="3"/>
      <c r="R26" s="8">
        <f t="shared" si="4"/>
        <v>0</v>
      </c>
      <c r="S26" s="3"/>
      <c r="T26" s="7">
        <v>339</v>
      </c>
      <c r="U26" s="3"/>
      <c r="V26" s="8">
        <f t="shared" si="5"/>
        <v>0</v>
      </c>
      <c r="W26" s="3"/>
      <c r="X26" s="7">
        <f t="shared" si="6"/>
        <v>-152.03</v>
      </c>
      <c r="Y26" s="3"/>
      <c r="Z26" s="8">
        <f t="shared" si="7"/>
        <v>-0.44846607669616517</v>
      </c>
    </row>
    <row r="27" spans="1:26" s="69" customFormat="1" ht="15" hidden="1" customHeight="1" outlineLevel="2" x14ac:dyDescent="0.25">
      <c r="A27" s="25"/>
      <c r="B27" s="12" t="str">
        <f>CONCATENATE("          ","6375"," - ","OUTSIDE REPAIRS &amp; MAINTENANCE")</f>
        <v xml:space="preserve">          6375 - OUTSIDE REPAIRS &amp; MAINTENANCE</v>
      </c>
      <c r="C27" s="12"/>
      <c r="D27" s="7"/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1338.13</v>
      </c>
      <c r="U27" s="3"/>
      <c r="V27" s="8">
        <f t="shared" si="5"/>
        <v>0</v>
      </c>
      <c r="W27" s="3"/>
      <c r="X27" s="7">
        <f t="shared" si="6"/>
        <v>-1338.13</v>
      </c>
      <c r="Y27" s="3"/>
      <c r="Z27" s="8">
        <f t="shared" si="7"/>
        <v>-1</v>
      </c>
    </row>
    <row r="28" spans="1:26" s="68" customFormat="1" ht="15" customHeight="1" outlineLevel="1" collapsed="1" x14ac:dyDescent="0.25">
      <c r="A28" s="26"/>
      <c r="B28" s="14" t="str">
        <f>CONCATENATE("     ","Services                                          ")</f>
        <v xml:space="preserve">     Services                                          </v>
      </c>
      <c r="C28" s="14"/>
      <c r="D28" s="2">
        <f>SUM(OSRRefD22_4x_0)</f>
        <v>0</v>
      </c>
      <c r="E28" s="2"/>
      <c r="F28" s="6">
        <f t="shared" si="0"/>
        <v>0</v>
      </c>
      <c r="G28" s="2"/>
      <c r="H28" s="2">
        <f>SUM(OSRRefH22_4x_0)</f>
        <v>0</v>
      </c>
      <c r="I28" s="2"/>
      <c r="J28" s="6">
        <f t="shared" si="1"/>
        <v>0</v>
      </c>
      <c r="K28" s="2"/>
      <c r="L28" s="2">
        <f t="shared" si="2"/>
        <v>0</v>
      </c>
      <c r="M28" s="2"/>
      <c r="N28" s="6">
        <f t="shared" si="3"/>
        <v>0</v>
      </c>
      <c r="O28" s="14"/>
      <c r="P28" s="2">
        <f>SUM(OSRRefP22_4x_0)</f>
        <v>0</v>
      </c>
      <c r="Q28" s="2"/>
      <c r="R28" s="6">
        <f t="shared" si="4"/>
        <v>0</v>
      </c>
      <c r="S28" s="2"/>
      <c r="T28" s="2">
        <f>SUM(OSRRefT22_4x_0)</f>
        <v>320.58</v>
      </c>
      <c r="U28" s="2"/>
      <c r="V28" s="6">
        <f t="shared" si="5"/>
        <v>0</v>
      </c>
      <c r="W28" s="2"/>
      <c r="X28" s="2">
        <f t="shared" si="6"/>
        <v>-320.58</v>
      </c>
      <c r="Y28" s="2"/>
      <c r="Z28" s="6">
        <f t="shared" si="7"/>
        <v>-1</v>
      </c>
    </row>
    <row r="29" spans="1:26" s="69" customFormat="1" ht="15" hidden="1" customHeight="1" outlineLevel="2" x14ac:dyDescent="0.25">
      <c r="A29" s="25"/>
      <c r="B29" s="12" t="str">
        <f>CONCATENATE("          ","6286"," - ","LAUNDRY EXPENSE")</f>
        <v xml:space="preserve">          6286 - LAUNDRY EXPENSE</v>
      </c>
      <c r="C29" s="12"/>
      <c r="D29" s="7"/>
      <c r="E29" s="3"/>
      <c r="F29" s="8">
        <f t="shared" si="0"/>
        <v>0</v>
      </c>
      <c r="G29" s="3"/>
      <c r="H29" s="7"/>
      <c r="I29" s="3"/>
      <c r="J29" s="8">
        <f t="shared" si="1"/>
        <v>0</v>
      </c>
      <c r="K29" s="3"/>
      <c r="L29" s="7">
        <f t="shared" si="2"/>
        <v>0</v>
      </c>
      <c r="M29" s="3"/>
      <c r="N29" s="8">
        <f t="shared" si="3"/>
        <v>0</v>
      </c>
      <c r="O29" s="12"/>
      <c r="P29" s="7"/>
      <c r="Q29" s="3"/>
      <c r="R29" s="8">
        <f t="shared" si="4"/>
        <v>0</v>
      </c>
      <c r="S29" s="3"/>
      <c r="T29" s="7">
        <v>320.58</v>
      </c>
      <c r="U29" s="3"/>
      <c r="V29" s="8">
        <f t="shared" si="5"/>
        <v>0</v>
      </c>
      <c r="W29" s="3"/>
      <c r="X29" s="7">
        <f t="shared" si="6"/>
        <v>-320.58</v>
      </c>
      <c r="Y29" s="3"/>
      <c r="Z29" s="8">
        <f t="shared" si="7"/>
        <v>-1</v>
      </c>
    </row>
    <row r="30" spans="1:26" s="68" customFormat="1" ht="15" customHeight="1" outlineLevel="1" collapsed="1" x14ac:dyDescent="0.25">
      <c r="A30" s="26"/>
      <c r="B30" s="14" t="str">
        <f>CONCATENATE("     ","Telephone/Data Lines                              ")</f>
        <v xml:space="preserve">     Telephone/Data Lines                              </v>
      </c>
      <c r="C30" s="14"/>
      <c r="D30" s="2">
        <f>SUM(OSRRefD22_5x_0)</f>
        <v>0</v>
      </c>
      <c r="E30" s="2"/>
      <c r="F30" s="6">
        <f t="shared" si="0"/>
        <v>0</v>
      </c>
      <c r="G30" s="2"/>
      <c r="H30" s="2">
        <f>SUM(OSRRefH22_5x_0)</f>
        <v>36</v>
      </c>
      <c r="I30" s="2"/>
      <c r="J30" s="6">
        <f t="shared" si="1"/>
        <v>0</v>
      </c>
      <c r="K30" s="2"/>
      <c r="L30" s="2">
        <f t="shared" si="2"/>
        <v>-36</v>
      </c>
      <c r="M30" s="2"/>
      <c r="N30" s="6">
        <f t="shared" si="3"/>
        <v>-1</v>
      </c>
      <c r="O30" s="14"/>
      <c r="P30" s="2">
        <f>SUM(OSRRefP22_5x_0)</f>
        <v>135.6</v>
      </c>
      <c r="Q30" s="2"/>
      <c r="R30" s="6">
        <f t="shared" si="4"/>
        <v>0</v>
      </c>
      <c r="S30" s="2"/>
      <c r="T30" s="2">
        <f>SUM(OSRRefT22_5x_0)</f>
        <v>473.03</v>
      </c>
      <c r="U30" s="2"/>
      <c r="V30" s="6">
        <f t="shared" si="5"/>
        <v>0</v>
      </c>
      <c r="W30" s="2"/>
      <c r="X30" s="2">
        <f t="shared" si="6"/>
        <v>-337.42999999999995</v>
      </c>
      <c r="Y30" s="2"/>
      <c r="Z30" s="6">
        <f t="shared" si="7"/>
        <v>-0.71333742045959025</v>
      </c>
    </row>
    <row r="31" spans="1:26" s="69" customFormat="1" ht="15" hidden="1" customHeight="1" outlineLevel="2" x14ac:dyDescent="0.25">
      <c r="A31" s="25"/>
      <c r="B31" s="12" t="str">
        <f>CONCATENATE("          ","6309"," - ","TELEPHONE")</f>
        <v xml:space="preserve">          6309 - TELEPHONE</v>
      </c>
      <c r="C31" s="12"/>
      <c r="D31" s="7"/>
      <c r="E31" s="3"/>
      <c r="F31" s="8">
        <f t="shared" si="0"/>
        <v>0</v>
      </c>
      <c r="G31" s="3"/>
      <c r="H31" s="7">
        <v>36</v>
      </c>
      <c r="I31" s="3"/>
      <c r="J31" s="8">
        <f t="shared" si="1"/>
        <v>0</v>
      </c>
      <c r="K31" s="3"/>
      <c r="L31" s="7">
        <f t="shared" si="2"/>
        <v>-36</v>
      </c>
      <c r="M31" s="3"/>
      <c r="N31" s="8">
        <f t="shared" si="3"/>
        <v>-1</v>
      </c>
      <c r="O31" s="12"/>
      <c r="P31" s="7">
        <v>135.6</v>
      </c>
      <c r="Q31" s="3"/>
      <c r="R31" s="8">
        <f t="shared" si="4"/>
        <v>0</v>
      </c>
      <c r="S31" s="3"/>
      <c r="T31" s="7">
        <v>473.03</v>
      </c>
      <c r="U31" s="3"/>
      <c r="V31" s="8">
        <f t="shared" si="5"/>
        <v>0</v>
      </c>
      <c r="W31" s="3"/>
      <c r="X31" s="7">
        <f t="shared" si="6"/>
        <v>-337.42999999999995</v>
      </c>
      <c r="Y31" s="3"/>
      <c r="Z31" s="8">
        <f t="shared" si="7"/>
        <v>-0.71333742045959025</v>
      </c>
    </row>
    <row r="32" spans="1:26" s="64" customFormat="1" ht="15" customHeight="1" x14ac:dyDescent="0.25">
      <c r="A32" s="36"/>
      <c r="B32" s="36"/>
      <c r="C32" s="36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2" customFormat="1" ht="15" customHeight="1" x14ac:dyDescent="0.25">
      <c r="A33" s="11"/>
      <c r="B33" s="28" t="s">
        <v>290</v>
      </c>
      <c r="C33" s="11"/>
      <c r="D33" s="5">
        <f>SUM(0)</f>
        <v>0</v>
      </c>
      <c r="E33" s="5"/>
      <c r="F33" s="13">
        <f>IF(D$12=0,0,D33/D$12)</f>
        <v>0</v>
      </c>
      <c r="G33" s="5"/>
      <c r="H33" s="5">
        <f>SUM(0)</f>
        <v>0</v>
      </c>
      <c r="I33" s="5"/>
      <c r="J33" s="13">
        <f>IF(H$12=0,0,H33/H$12)</f>
        <v>0</v>
      </c>
      <c r="K33" s="5"/>
      <c r="L33" s="5">
        <f>+D33-H33</f>
        <v>0</v>
      </c>
      <c r="M33" s="5"/>
      <c r="N33" s="13">
        <f>IF(H33=0,0,L33/H33)</f>
        <v>0</v>
      </c>
      <c r="O33" s="11"/>
      <c r="P33" s="5">
        <f>SUM(0)</f>
        <v>0</v>
      </c>
      <c r="Q33" s="5"/>
      <c r="R33" s="13">
        <f>IF(P$12=0,0,P33/P$12)</f>
        <v>0</v>
      </c>
      <c r="S33" s="5"/>
      <c r="T33" s="5">
        <f>SUM(0)</f>
        <v>0</v>
      </c>
      <c r="U33" s="5"/>
      <c r="V33" s="13">
        <f>IF(T$12=0,0,T33/T$12)</f>
        <v>0</v>
      </c>
      <c r="W33" s="5"/>
      <c r="X33" s="5">
        <f>+P33-T33</f>
        <v>0</v>
      </c>
      <c r="Y33" s="5"/>
      <c r="Z33" s="13">
        <f>IF(T33=0,0,X33/T33)</f>
        <v>0</v>
      </c>
    </row>
    <row r="34" spans="1:26" ht="15" customHeight="1" x14ac:dyDescent="0.25">
      <c r="A34" s="10"/>
      <c r="B34" s="11"/>
      <c r="C34" s="11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O34" s="11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x14ac:dyDescent="0.25">
      <c r="A35" s="11"/>
      <c r="B35" s="27" t="s">
        <v>291</v>
      </c>
      <c r="C35" s="27"/>
      <c r="D35" s="22">
        <f>+D16-D18+D33</f>
        <v>-577.36</v>
      </c>
      <c r="E35" s="15"/>
      <c r="F35" s="23">
        <f>IF(D$12=0,0,D35/D$12)</f>
        <v>0</v>
      </c>
      <c r="G35" s="15"/>
      <c r="H35" s="22">
        <f>+H16-H18+H33</f>
        <v>-613.36</v>
      </c>
      <c r="I35" s="15"/>
      <c r="J35" s="23">
        <f>IF(H$12=0,0,H35/H$12)</f>
        <v>0</v>
      </c>
      <c r="K35" s="16"/>
      <c r="L35" s="22">
        <f>+D35-H35</f>
        <v>36</v>
      </c>
      <c r="M35" s="16"/>
      <c r="N35" s="23">
        <f>IF(H35=0,0,L35/H35)</f>
        <v>-5.8693100299986957E-2</v>
      </c>
      <c r="O35" s="28"/>
      <c r="P35" s="22">
        <f>+P16-P18+P33</f>
        <v>-6411.0000000000009</v>
      </c>
      <c r="Q35" s="15"/>
      <c r="R35" s="23">
        <f>IF(P$12=0,0,P35/P$12)</f>
        <v>0</v>
      </c>
      <c r="S35" s="15"/>
      <c r="T35" s="22">
        <f>+T16-T18+T33</f>
        <v>-9176.93</v>
      </c>
      <c r="U35" s="15"/>
      <c r="V35" s="23">
        <f>IF(T$12=0,0,T35/T$12)</f>
        <v>0</v>
      </c>
      <c r="W35" s="16"/>
      <c r="X35" s="22">
        <f>+P35-T35</f>
        <v>2765.9299999999994</v>
      </c>
      <c r="Y35" s="16"/>
      <c r="Z35" s="23">
        <f>IF(T35=0,0,X35/T35)</f>
        <v>-0.30140035937944382</v>
      </c>
    </row>
    <row r="36" spans="1:26" ht="15" customHeight="1" x14ac:dyDescent="0.25">
      <c r="A36" s="10"/>
      <c r="B36" s="11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25">
      <c r="A37" s="48"/>
      <c r="B37" s="11" t="s">
        <v>292</v>
      </c>
      <c r="C37" s="11"/>
      <c r="D37" s="5"/>
      <c r="E37" s="5"/>
      <c r="F37" s="13">
        <f>IF(D$12=0,0,D37/D$12)</f>
        <v>0</v>
      </c>
      <c r="G37" s="5"/>
      <c r="H37" s="5"/>
      <c r="I37" s="5"/>
      <c r="J37" s="13">
        <f>IF(H$12=0,0,H37/H$12)</f>
        <v>0</v>
      </c>
      <c r="K37" s="5"/>
      <c r="L37" s="5">
        <f>+D37-H37</f>
        <v>0</v>
      </c>
      <c r="M37" s="5"/>
      <c r="N37" s="13">
        <f>IF(H37=0,0,L37/H37)</f>
        <v>0</v>
      </c>
      <c r="O37" s="11"/>
      <c r="P37" s="5"/>
      <c r="Q37" s="5"/>
      <c r="R37" s="13">
        <f>IF(P$12=0,0,P37/P$12)</f>
        <v>0</v>
      </c>
      <c r="S37" s="5"/>
      <c r="T37" s="5"/>
      <c r="U37" s="5"/>
      <c r="V37" s="13">
        <f>IF(T$12=0,0,T37/T$12)</f>
        <v>0</v>
      </c>
      <c r="W37" s="5"/>
      <c r="X37" s="5">
        <f>+P37-T37</f>
        <v>0</v>
      </c>
      <c r="Y37" s="5"/>
      <c r="Z37" s="13">
        <f>IF(T37=0,0,X37/T37)</f>
        <v>0</v>
      </c>
    </row>
    <row r="38" spans="1:26" ht="15" customHeight="1" x14ac:dyDescent="0.25">
      <c r="A38" s="10"/>
      <c r="B38" s="11"/>
      <c r="C38" s="11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O38" s="11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25">
      <c r="A39" s="11"/>
      <c r="B39" s="27" t="s">
        <v>293</v>
      </c>
      <c r="C39" s="27"/>
      <c r="D39" s="35">
        <f>+D35-D37</f>
        <v>-577.36</v>
      </c>
      <c r="E39" s="15"/>
      <c r="F39" s="30">
        <f>IF(D$12=0,0,D39/D$12)</f>
        <v>0</v>
      </c>
      <c r="G39" s="15"/>
      <c r="H39" s="35">
        <f>+H35-H37</f>
        <v>-613.36</v>
      </c>
      <c r="I39" s="15"/>
      <c r="J39" s="30">
        <f>IF(H$12=0,0,H39/H$12)</f>
        <v>0</v>
      </c>
      <c r="K39" s="16"/>
      <c r="L39" s="35">
        <f>D39-H39</f>
        <v>36</v>
      </c>
      <c r="M39" s="16"/>
      <c r="N39" s="30">
        <f>IF(H39=0,0,L39/H39)</f>
        <v>-5.8693100299986957E-2</v>
      </c>
      <c r="O39" s="28"/>
      <c r="P39" s="35">
        <f>+P35-P37</f>
        <v>-6411.0000000000009</v>
      </c>
      <c r="Q39" s="15"/>
      <c r="R39" s="30">
        <f>IF(P$12=0,0,P39/P$12)</f>
        <v>0</v>
      </c>
      <c r="S39" s="15"/>
      <c r="T39" s="35">
        <f>+T35-T37</f>
        <v>-9176.93</v>
      </c>
      <c r="U39" s="15"/>
      <c r="V39" s="30">
        <f>IF(T$12=0,0,T39/T$12)</f>
        <v>0</v>
      </c>
      <c r="W39" s="16"/>
      <c r="X39" s="35">
        <f>P39-T39</f>
        <v>2765.9299999999994</v>
      </c>
      <c r="Y39" s="16"/>
      <c r="Z39" s="30">
        <f>IF(T39=0,0,X39/T39)</f>
        <v>-0.30140035937944382</v>
      </c>
    </row>
    <row r="40" spans="1:26" ht="15" customHeight="1" x14ac:dyDescent="0.25">
      <c r="A40" s="10"/>
      <c r="B40" s="10"/>
      <c r="C40" s="10"/>
      <c r="D40" s="4"/>
      <c r="E40" s="4"/>
      <c r="F40" s="9"/>
      <c r="G40" s="4"/>
      <c r="H40" s="4"/>
      <c r="I40" s="4"/>
      <c r="J40" s="9"/>
      <c r="K40" s="4"/>
      <c r="L40" s="4"/>
      <c r="M40" s="4"/>
      <c r="N40" s="9"/>
      <c r="P40" s="4"/>
      <c r="Q40" s="4"/>
      <c r="R40" s="9"/>
      <c r="S40" s="4"/>
      <c r="T40" s="4"/>
      <c r="U40" s="4"/>
      <c r="V40" s="9"/>
      <c r="W40" s="4"/>
      <c r="X40" s="4"/>
      <c r="Y40" s="4"/>
      <c r="Z40" s="9"/>
    </row>
    <row r="41" spans="1:26" ht="15" customHeight="1" x14ac:dyDescent="0.25">
      <c r="A41" s="10"/>
      <c r="B41" s="10"/>
      <c r="C41" s="10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2" customFormat="1" ht="15" customHeight="1" x14ac:dyDescent="0.25">
      <c r="A42" s="11"/>
      <c r="B42" s="27" t="s">
        <v>296</v>
      </c>
      <c r="C42" s="27"/>
      <c r="D42" s="32">
        <f>SUM(D39:D41)</f>
        <v>-577.36</v>
      </c>
      <c r="E42" s="15"/>
      <c r="F42" s="34">
        <f>IF(D$12=0,0,D42/D$12)</f>
        <v>0</v>
      </c>
      <c r="G42" s="15"/>
      <c r="H42" s="32">
        <f>SUM(H39:H41)</f>
        <v>-613.36</v>
      </c>
      <c r="I42" s="15"/>
      <c r="J42" s="34">
        <f>IF(H$12=0,0,H42/H$12)</f>
        <v>0</v>
      </c>
      <c r="K42" s="16"/>
      <c r="L42" s="32">
        <f>+D42-H42</f>
        <v>36</v>
      </c>
      <c r="M42" s="16"/>
      <c r="N42" s="34">
        <f>IF(H42=0,0,L42/H42)</f>
        <v>-5.8693100299986957E-2</v>
      </c>
      <c r="O42" s="28"/>
      <c r="P42" s="32">
        <f>SUM(P39:P41)</f>
        <v>-6411.0000000000009</v>
      </c>
      <c r="Q42" s="15"/>
      <c r="R42" s="34">
        <f>IF(P$12=0,0,P42/P$12)</f>
        <v>0</v>
      </c>
      <c r="S42" s="15"/>
      <c r="T42" s="32">
        <f>SUM(T39:T41)</f>
        <v>-9176.93</v>
      </c>
      <c r="U42" s="15"/>
      <c r="V42" s="34">
        <f>IF(T$12=0,0,T42/T$12)</f>
        <v>0</v>
      </c>
      <c r="W42" s="16"/>
      <c r="X42" s="32">
        <f>+P42-T42</f>
        <v>2765.9299999999994</v>
      </c>
      <c r="Y42" s="16"/>
      <c r="Z42" s="34">
        <f>IF(T42=0,0,X42/T42)</f>
        <v>-0.30140035937944382</v>
      </c>
    </row>
    <row r="43" spans="1:26" ht="15" customHeight="1" x14ac:dyDescent="0.25">
      <c r="A43" s="10"/>
      <c r="C43" s="10"/>
      <c r="D43" s="18"/>
      <c r="E43" s="18"/>
      <c r="G43" s="18"/>
      <c r="H43" s="18"/>
      <c r="I43" s="18"/>
      <c r="J43" s="41"/>
      <c r="K43" s="18"/>
      <c r="L43" s="18"/>
      <c r="M43" s="18"/>
      <c r="P43" s="18"/>
      <c r="Q43" s="18"/>
      <c r="R43" s="41"/>
      <c r="S43" s="18"/>
      <c r="T43" s="18"/>
      <c r="U43" s="18"/>
      <c r="V43" s="41"/>
      <c r="W43" s="18"/>
      <c r="X43" s="18"/>
    </row>
    <row r="44" spans="1:26" ht="15" customHeight="1" x14ac:dyDescent="0.25">
      <c r="A44" s="10"/>
      <c r="B44" s="50">
        <v>44727.879654085649</v>
      </c>
      <c r="D44" s="18"/>
      <c r="E44" s="18"/>
      <c r="G44" s="18"/>
      <c r="H44" s="18"/>
      <c r="I44" s="18"/>
      <c r="J44" s="41"/>
      <c r="K44" s="18"/>
      <c r="L44" s="18"/>
      <c r="M44" s="18"/>
      <c r="P44" s="18"/>
      <c r="Q44" s="18"/>
      <c r="R44" s="41"/>
      <c r="S44" s="18"/>
      <c r="T44" s="18"/>
      <c r="U44" s="18"/>
      <c r="V44" s="41"/>
      <c r="W44" s="18"/>
      <c r="X44" s="18"/>
    </row>
    <row r="45" spans="1:26" ht="15" customHeight="1" x14ac:dyDescent="0.25">
      <c r="A45" s="10"/>
      <c r="B45" s="53" t="s">
        <v>297</v>
      </c>
      <c r="D45" s="18"/>
      <c r="E45" s="18"/>
      <c r="G45" s="18"/>
      <c r="H45" s="18"/>
      <c r="I45" s="18"/>
      <c r="J45" s="41"/>
      <c r="K45" s="18"/>
      <c r="L45" s="18"/>
      <c r="M45" s="18"/>
      <c r="P45" s="18"/>
      <c r="Q45" s="18"/>
      <c r="R45" s="41"/>
      <c r="S45" s="18"/>
      <c r="T45" s="18"/>
      <c r="U45" s="18"/>
      <c r="V45" s="41"/>
      <c r="W45" s="18"/>
      <c r="X45" s="18"/>
    </row>
    <row r="46" spans="1:26" ht="15" customHeight="1" x14ac:dyDescent="0.25">
      <c r="A46" s="10"/>
      <c r="B46" s="55"/>
      <c r="D46" s="18"/>
      <c r="E46" s="18"/>
      <c r="G46" s="18"/>
      <c r="H46" s="18"/>
      <c r="I46" s="18"/>
      <c r="J46" s="41"/>
      <c r="K46" s="18"/>
      <c r="L46" s="18"/>
      <c r="M46" s="18"/>
      <c r="P46" s="18"/>
      <c r="Q46" s="18"/>
      <c r="R46" s="41"/>
      <c r="S46" s="18"/>
      <c r="T46" s="18"/>
      <c r="U46" s="18"/>
      <c r="V46" s="41"/>
      <c r="W46" s="18"/>
      <c r="X46" s="18"/>
    </row>
    <row r="47" spans="1:26" ht="15" customHeight="1" x14ac:dyDescent="0.25">
      <c r="D47" s="18"/>
      <c r="E47" s="18"/>
      <c r="G47" s="18"/>
      <c r="H47" s="18"/>
      <c r="I47" s="18"/>
      <c r="J47" s="41"/>
      <c r="K47" s="18"/>
      <c r="L47" s="18"/>
      <c r="M47" s="18"/>
      <c r="P47" s="18"/>
      <c r="Q47" s="18"/>
      <c r="R47" s="41"/>
      <c r="S47" s="18"/>
      <c r="T47" s="18"/>
      <c r="U47" s="18"/>
      <c r="V47" s="41"/>
      <c r="W47" s="18"/>
      <c r="X4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6EC9A-ADC8-44F3-91F6-AF56F2A22865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","413"," - ","Beach Walk")</f>
        <v>Department 413 - Beach Walk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58.03</v>
      </c>
      <c r="E18" s="21"/>
      <c r="F18" s="31">
        <f t="shared" ref="F18:F34" si="0">IF(D$12=0,0,D18/D$12)</f>
        <v>0</v>
      </c>
      <c r="G18" s="21"/>
      <c r="H18" s="21" cm="1">
        <f t="array" ref="H18">SUM(OSRRefH22x_0)</f>
        <v>58.03</v>
      </c>
      <c r="I18" s="21"/>
      <c r="J18" s="31">
        <f t="shared" ref="J18:J34" si="1">IF(H$12=0,0,H18/H$12)</f>
        <v>0</v>
      </c>
      <c r="K18" s="5"/>
      <c r="L18" s="21">
        <f t="shared" ref="L18:L34" si="2">+D18-H18</f>
        <v>0</v>
      </c>
      <c r="M18" s="5"/>
      <c r="N18" s="31">
        <f t="shared" ref="N18:N34" si="3">IF(H18=0,0,L18/H18)</f>
        <v>0</v>
      </c>
      <c r="O18" s="11"/>
      <c r="P18" s="21" cm="1">
        <f t="array" ref="P18">SUM(OSRRefP22x_0)</f>
        <v>1003.1400000000001</v>
      </c>
      <c r="Q18" s="21"/>
      <c r="R18" s="31">
        <f t="shared" ref="R18:R34" si="4">IF(P$12=0,0,P18/P$12)</f>
        <v>0</v>
      </c>
      <c r="S18" s="21"/>
      <c r="T18" s="21" cm="1">
        <f t="array" ref="T18">SUM(OSRRefT22x_0)</f>
        <v>5303.41</v>
      </c>
      <c r="U18" s="21"/>
      <c r="V18" s="31">
        <f t="shared" ref="V18:V34" si="5">IF(T$12=0,0,T18/T$12)</f>
        <v>0</v>
      </c>
      <c r="W18" s="5"/>
      <c r="X18" s="21">
        <f t="shared" ref="X18:X34" si="6">+P18-T18</f>
        <v>-4300.2699999999995</v>
      </c>
      <c r="Y18" s="5"/>
      <c r="Z18" s="31">
        <f t="shared" ref="Z18:Z34" si="7">IF(T18=0,0,X18/T18)</f>
        <v>-0.81085000028283682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1493.43</v>
      </c>
      <c r="U19" s="2"/>
      <c r="V19" s="6">
        <f t="shared" si="5"/>
        <v>0</v>
      </c>
      <c r="W19" s="2"/>
      <c r="X19" s="2">
        <f t="shared" si="6"/>
        <v>-1493.43</v>
      </c>
      <c r="Y19" s="2"/>
      <c r="Z19" s="6">
        <f t="shared" si="7"/>
        <v>-1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/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/>
      <c r="Q20" s="3"/>
      <c r="R20" s="8">
        <f t="shared" si="4"/>
        <v>0</v>
      </c>
      <c r="S20" s="3"/>
      <c r="T20" s="7">
        <v>191.51</v>
      </c>
      <c r="U20" s="3"/>
      <c r="V20" s="8">
        <f t="shared" si="5"/>
        <v>0</v>
      </c>
      <c r="W20" s="3"/>
      <c r="X20" s="7">
        <f t="shared" si="6"/>
        <v>-191.51</v>
      </c>
      <c r="Y20" s="3"/>
      <c r="Z20" s="8">
        <f t="shared" si="7"/>
        <v>-1</v>
      </c>
    </row>
    <row r="21" spans="1:26" s="69" customFormat="1" ht="15" hidden="1" customHeight="1" outlineLevel="2" x14ac:dyDescent="0.25">
      <c r="A21" s="25"/>
      <c r="B21" s="12" t="str">
        <f>CONCATENATE("          ","6113"," - ","GROUP INSURANCE")</f>
        <v xml:space="preserve">          6113 - GROUP INSURANCE</v>
      </c>
      <c r="C21" s="12"/>
      <c r="D21" s="7"/>
      <c r="E21" s="3"/>
      <c r="F21" s="8">
        <f t="shared" si="0"/>
        <v>0</v>
      </c>
      <c r="G21" s="3"/>
      <c r="H21" s="7"/>
      <c r="I21" s="3"/>
      <c r="J21" s="8">
        <f t="shared" si="1"/>
        <v>0</v>
      </c>
      <c r="K21" s="3"/>
      <c r="L21" s="7">
        <f t="shared" si="2"/>
        <v>0</v>
      </c>
      <c r="M21" s="3"/>
      <c r="N21" s="8">
        <f t="shared" si="3"/>
        <v>0</v>
      </c>
      <c r="O21" s="12"/>
      <c r="P21" s="7"/>
      <c r="Q21" s="3"/>
      <c r="R21" s="8">
        <f t="shared" si="4"/>
        <v>0</v>
      </c>
      <c r="S21" s="3"/>
      <c r="T21" s="7">
        <v>718.51</v>
      </c>
      <c r="U21" s="3"/>
      <c r="V21" s="8">
        <f t="shared" si="5"/>
        <v>0</v>
      </c>
      <c r="W21" s="3"/>
      <c r="X21" s="7">
        <f t="shared" si="6"/>
        <v>-718.51</v>
      </c>
      <c r="Y21" s="3"/>
      <c r="Z21" s="8">
        <f t="shared" si="7"/>
        <v>-1</v>
      </c>
    </row>
    <row r="22" spans="1:26" s="69" customFormat="1" ht="15" hidden="1" customHeight="1" outlineLevel="2" x14ac:dyDescent="0.25">
      <c r="A22" s="25"/>
      <c r="B22" s="12" t="str">
        <f>CONCATENATE("          ","6115"," - ","P.E.R.S.")</f>
        <v xml:space="preserve">          6115 - P.E.R.S.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/>
      <c r="Q22" s="3"/>
      <c r="R22" s="8">
        <f t="shared" si="4"/>
        <v>0</v>
      </c>
      <c r="S22" s="3"/>
      <c r="T22" s="7">
        <v>377.03</v>
      </c>
      <c r="U22" s="3"/>
      <c r="V22" s="8">
        <f t="shared" si="5"/>
        <v>0</v>
      </c>
      <c r="W22" s="3"/>
      <c r="X22" s="7">
        <f t="shared" si="6"/>
        <v>-377.03</v>
      </c>
      <c r="Y22" s="3"/>
      <c r="Z22" s="8">
        <f t="shared" si="7"/>
        <v>-1</v>
      </c>
    </row>
    <row r="23" spans="1:26" s="69" customFormat="1" ht="15" hidden="1" customHeight="1" outlineLevel="2" x14ac:dyDescent="0.25">
      <c r="A23" s="25"/>
      <c r="B23" s="12" t="str">
        <f>CONCATENATE("          ","6118"," - ","VACATION")</f>
        <v xml:space="preserve">          6118 - VACATION</v>
      </c>
      <c r="C23" s="12"/>
      <c r="D23" s="7"/>
      <c r="E23" s="3"/>
      <c r="F23" s="8">
        <f t="shared" si="0"/>
        <v>0</v>
      </c>
      <c r="G23" s="3"/>
      <c r="H23" s="7"/>
      <c r="I23" s="3"/>
      <c r="J23" s="8">
        <f t="shared" si="1"/>
        <v>0</v>
      </c>
      <c r="K23" s="3"/>
      <c r="L23" s="7">
        <f t="shared" si="2"/>
        <v>0</v>
      </c>
      <c r="M23" s="3"/>
      <c r="N23" s="8">
        <f t="shared" si="3"/>
        <v>0</v>
      </c>
      <c r="O23" s="12"/>
      <c r="P23" s="7"/>
      <c r="Q23" s="3"/>
      <c r="R23" s="8">
        <f t="shared" si="4"/>
        <v>0</v>
      </c>
      <c r="S23" s="3"/>
      <c r="T23" s="7">
        <v>93.89</v>
      </c>
      <c r="U23" s="3"/>
      <c r="V23" s="8">
        <f t="shared" si="5"/>
        <v>0</v>
      </c>
      <c r="W23" s="3"/>
      <c r="X23" s="7">
        <f t="shared" si="6"/>
        <v>-93.89</v>
      </c>
      <c r="Y23" s="3"/>
      <c r="Z23" s="8">
        <f t="shared" si="7"/>
        <v>-1</v>
      </c>
    </row>
    <row r="24" spans="1:26" s="69" customFormat="1" ht="15" hidden="1" customHeight="1" outlineLevel="2" x14ac:dyDescent="0.25">
      <c r="A24" s="25"/>
      <c r="B24" s="12" t="str">
        <f>CONCATENATE("          ","6119"," - ","SICK LEAVE")</f>
        <v xml:space="preserve">          6119 - SICK LEAVE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112.49</v>
      </c>
      <c r="U24" s="3"/>
      <c r="V24" s="8">
        <f t="shared" si="5"/>
        <v>0</v>
      </c>
      <c r="W24" s="3"/>
      <c r="X24" s="7">
        <f t="shared" si="6"/>
        <v>-112.49</v>
      </c>
      <c r="Y24" s="3"/>
      <c r="Z24" s="8">
        <f t="shared" si="7"/>
        <v>-1</v>
      </c>
    </row>
    <row r="25" spans="1:26" s="68" customFormat="1" ht="15" customHeight="1" outlineLevel="1" collapsed="1" x14ac:dyDescent="0.25">
      <c r="A25" s="26"/>
      <c r="B25" s="14" t="str">
        <f>CONCATENATE("     ","*Payroll                                          ")</f>
        <v xml:space="preserve">     *Payroll                                          </v>
      </c>
      <c r="C25" s="14"/>
      <c r="D25" s="2">
        <f>SUM(OSRRefD22_1x_0)</f>
        <v>0</v>
      </c>
      <c r="E25" s="2"/>
      <c r="F25" s="6">
        <f t="shared" si="0"/>
        <v>0</v>
      </c>
      <c r="G25" s="2"/>
      <c r="H25" s="2">
        <f>SUM(OSRRefH22_1x_0)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SUM(OSRRefP22_1x_0)</f>
        <v>0</v>
      </c>
      <c r="Q25" s="2"/>
      <c r="R25" s="6">
        <f t="shared" si="4"/>
        <v>0</v>
      </c>
      <c r="S25" s="2"/>
      <c r="T25" s="2">
        <f>SUM(OSRRefT22_1x_0)</f>
        <v>2259.48</v>
      </c>
      <c r="U25" s="2"/>
      <c r="V25" s="6">
        <f t="shared" si="5"/>
        <v>0</v>
      </c>
      <c r="W25" s="2"/>
      <c r="X25" s="2">
        <f t="shared" si="6"/>
        <v>-2259.48</v>
      </c>
      <c r="Y25" s="2"/>
      <c r="Z25" s="6">
        <f t="shared" si="7"/>
        <v>-1</v>
      </c>
    </row>
    <row r="26" spans="1:26" s="69" customFormat="1" ht="15" hidden="1" customHeight="1" outlineLevel="2" x14ac:dyDescent="0.25">
      <c r="A26" s="25"/>
      <c r="B26" s="12" t="str">
        <f>CONCATENATE("          ","6002"," - ","STAFF SALARIES")</f>
        <v xml:space="preserve">          6002 - STAFF SALARIES</v>
      </c>
      <c r="C26" s="12"/>
      <c r="D26" s="7"/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2259.48</v>
      </c>
      <c r="U26" s="3"/>
      <c r="V26" s="8">
        <f t="shared" si="5"/>
        <v>0</v>
      </c>
      <c r="W26" s="3"/>
      <c r="X26" s="7">
        <f t="shared" si="6"/>
        <v>-2259.48</v>
      </c>
      <c r="Y26" s="3"/>
      <c r="Z26" s="8">
        <f t="shared" si="7"/>
        <v>-1</v>
      </c>
    </row>
    <row r="27" spans="1:26" s="68" customFormat="1" ht="15" customHeight="1" outlineLevel="1" collapsed="1" x14ac:dyDescent="0.25">
      <c r="A27" s="26"/>
      <c r="B27" s="14" t="str">
        <f>CONCATENATE("     ","Depreciation                                      ")</f>
        <v xml:space="preserve">     Depreciation                                      </v>
      </c>
      <c r="C27" s="14"/>
      <c r="D27" s="2">
        <f>SUM(OSRRefD22_2x_0)</f>
        <v>58.03</v>
      </c>
      <c r="E27" s="2"/>
      <c r="F27" s="6">
        <f t="shared" si="0"/>
        <v>0</v>
      </c>
      <c r="G27" s="2"/>
      <c r="H27" s="2">
        <f>SUM(OSRRefH22_2x_0)</f>
        <v>58.03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SUM(OSRRefP22_2x_0)</f>
        <v>638.33000000000004</v>
      </c>
      <c r="Q27" s="2"/>
      <c r="R27" s="6">
        <f t="shared" si="4"/>
        <v>0</v>
      </c>
      <c r="S27" s="2"/>
      <c r="T27" s="2">
        <f>SUM(OSRRefT22_2x_0)</f>
        <v>638.33000000000004</v>
      </c>
      <c r="U27" s="2"/>
      <c r="V27" s="6">
        <f t="shared" si="5"/>
        <v>0</v>
      </c>
      <c r="W27" s="2"/>
      <c r="X27" s="2">
        <f t="shared" si="6"/>
        <v>0</v>
      </c>
      <c r="Y27" s="2"/>
      <c r="Z27" s="6">
        <f t="shared" si="7"/>
        <v>0</v>
      </c>
    </row>
    <row r="28" spans="1:26" s="69" customFormat="1" ht="15" hidden="1" customHeight="1" outlineLevel="2" x14ac:dyDescent="0.25">
      <c r="A28" s="25"/>
      <c r="B28" s="12" t="str">
        <f>CONCATENATE("          ","6322"," - ","EQUIPMENT DEPRECIATION EXPENSE")</f>
        <v xml:space="preserve">          6322 - EQUIPMENT DEPRECIATION EXPENSE</v>
      </c>
      <c r="C28" s="12"/>
      <c r="D28" s="7">
        <v>58.03</v>
      </c>
      <c r="E28" s="3"/>
      <c r="F28" s="8">
        <f t="shared" si="0"/>
        <v>0</v>
      </c>
      <c r="G28" s="3"/>
      <c r="H28" s="7">
        <v>58.03</v>
      </c>
      <c r="I28" s="3"/>
      <c r="J28" s="8">
        <f t="shared" si="1"/>
        <v>0</v>
      </c>
      <c r="K28" s="3"/>
      <c r="L28" s="7">
        <f t="shared" si="2"/>
        <v>0</v>
      </c>
      <c r="M28" s="3"/>
      <c r="N28" s="8">
        <f t="shared" si="3"/>
        <v>0</v>
      </c>
      <c r="O28" s="12"/>
      <c r="P28" s="7">
        <v>638.33000000000004</v>
      </c>
      <c r="Q28" s="3"/>
      <c r="R28" s="8">
        <f t="shared" si="4"/>
        <v>0</v>
      </c>
      <c r="S28" s="3"/>
      <c r="T28" s="7">
        <v>638.33000000000004</v>
      </c>
      <c r="U28" s="3"/>
      <c r="V28" s="8">
        <f t="shared" si="5"/>
        <v>0</v>
      </c>
      <c r="W28" s="3"/>
      <c r="X28" s="7">
        <f t="shared" si="6"/>
        <v>0</v>
      </c>
      <c r="Y28" s="3"/>
      <c r="Z28" s="8">
        <f t="shared" si="7"/>
        <v>0</v>
      </c>
    </row>
    <row r="29" spans="1:26" s="68" customFormat="1" ht="15" customHeight="1" outlineLevel="1" collapsed="1" x14ac:dyDescent="0.25">
      <c r="A29" s="26"/>
      <c r="B29" s="14" t="str">
        <f>CONCATENATE("     ","Repair and Maintenance                            ")</f>
        <v xml:space="preserve">     Repair and Maintenance                            </v>
      </c>
      <c r="C29" s="14"/>
      <c r="D29" s="2">
        <f>SUM(OSRRefD22_3x_0)</f>
        <v>0</v>
      </c>
      <c r="E29" s="2"/>
      <c r="F29" s="6">
        <f t="shared" si="0"/>
        <v>0</v>
      </c>
      <c r="G29" s="2"/>
      <c r="H29" s="2">
        <f>SUM(OSRRefH22_3x_0)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SUM(OSRRefP22_3x_0)</f>
        <v>364.81</v>
      </c>
      <c r="Q29" s="2"/>
      <c r="R29" s="6">
        <f t="shared" si="4"/>
        <v>0</v>
      </c>
      <c r="S29" s="2"/>
      <c r="T29" s="2">
        <f>SUM(OSRRefT22_3x_0)</f>
        <v>575.85</v>
      </c>
      <c r="U29" s="2"/>
      <c r="V29" s="6">
        <f t="shared" si="5"/>
        <v>0</v>
      </c>
      <c r="W29" s="2"/>
      <c r="X29" s="2">
        <f t="shared" si="6"/>
        <v>-211.04000000000002</v>
      </c>
      <c r="Y29" s="2"/>
      <c r="Z29" s="6">
        <f t="shared" si="7"/>
        <v>-0.36648432751584614</v>
      </c>
    </row>
    <row r="30" spans="1:26" s="69" customFormat="1" ht="15" hidden="1" customHeight="1" outlineLevel="2" x14ac:dyDescent="0.25">
      <c r="A30" s="25"/>
      <c r="B30" s="12" t="str">
        <f>CONCATENATE("          ","6373"," - ","MAINTENANCE CONTRACTS")</f>
        <v xml:space="preserve">          6373 - MAINTENANCE CONTRACTS</v>
      </c>
      <c r="C30" s="12"/>
      <c r="D30" s="7"/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>
        <v>364.81</v>
      </c>
      <c r="Q30" s="3"/>
      <c r="R30" s="8">
        <f t="shared" si="4"/>
        <v>0</v>
      </c>
      <c r="S30" s="3"/>
      <c r="T30" s="7">
        <v>575.85</v>
      </c>
      <c r="U30" s="3"/>
      <c r="V30" s="8">
        <f t="shared" si="5"/>
        <v>0</v>
      </c>
      <c r="W30" s="3"/>
      <c r="X30" s="7">
        <f t="shared" si="6"/>
        <v>-211.04000000000002</v>
      </c>
      <c r="Y30" s="3"/>
      <c r="Z30" s="8">
        <f t="shared" si="7"/>
        <v>-0.36648432751584614</v>
      </c>
    </row>
    <row r="31" spans="1:26" s="68" customFormat="1" ht="15" customHeight="1" outlineLevel="1" collapsed="1" x14ac:dyDescent="0.25">
      <c r="A31" s="26"/>
      <c r="B31" s="14" t="str">
        <f>CONCATENATE("     ","Services                                          ")</f>
        <v xml:space="preserve">     Services                                          </v>
      </c>
      <c r="C31" s="14"/>
      <c r="D31" s="2">
        <f>SUM(OSRRefD22_4x_0)</f>
        <v>0</v>
      </c>
      <c r="E31" s="2"/>
      <c r="F31" s="6">
        <f t="shared" si="0"/>
        <v>0</v>
      </c>
      <c r="G31" s="2"/>
      <c r="H31" s="2">
        <f>SUM(OSRRefH22_4x_0)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SUM(OSRRefP22_4x_0)</f>
        <v>0</v>
      </c>
      <c r="Q31" s="2"/>
      <c r="R31" s="6">
        <f t="shared" si="4"/>
        <v>0</v>
      </c>
      <c r="S31" s="2"/>
      <c r="T31" s="2">
        <f>SUM(OSRRefT22_4x_0)</f>
        <v>286.62</v>
      </c>
      <c r="U31" s="2"/>
      <c r="V31" s="6">
        <f t="shared" si="5"/>
        <v>0</v>
      </c>
      <c r="W31" s="2"/>
      <c r="X31" s="2">
        <f t="shared" si="6"/>
        <v>-286.62</v>
      </c>
      <c r="Y31" s="2"/>
      <c r="Z31" s="6">
        <f t="shared" si="7"/>
        <v>-1</v>
      </c>
    </row>
    <row r="32" spans="1:26" s="69" customFormat="1" ht="15" hidden="1" customHeight="1" outlineLevel="2" x14ac:dyDescent="0.25">
      <c r="A32" s="25"/>
      <c r="B32" s="12" t="str">
        <f>CONCATENATE("          ","6282"," - ","JANITORIAL/EXTERMINATOR EXPENS")</f>
        <v xml:space="preserve">          6282 - JANITORIAL/EXTERMINATOR EXPENS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286.62</v>
      </c>
      <c r="U32" s="3"/>
      <c r="V32" s="8">
        <f t="shared" si="5"/>
        <v>0</v>
      </c>
      <c r="W32" s="3"/>
      <c r="X32" s="7">
        <f t="shared" si="6"/>
        <v>-286.62</v>
      </c>
      <c r="Y32" s="3"/>
      <c r="Z32" s="8">
        <f t="shared" si="7"/>
        <v>-1</v>
      </c>
    </row>
    <row r="33" spans="1:26" s="68" customFormat="1" ht="15" customHeight="1" outlineLevel="1" collapsed="1" x14ac:dyDescent="0.25">
      <c r="A33" s="26"/>
      <c r="B33" s="14" t="str">
        <f>CONCATENATE("     ","Telephone/Data Lines                              ")</f>
        <v xml:space="preserve">     Telephone/Data Lines                              </v>
      </c>
      <c r="C33" s="14"/>
      <c r="D33" s="2">
        <f>SUM(OSRRefD22_5x_0)</f>
        <v>0</v>
      </c>
      <c r="E33" s="2"/>
      <c r="F33" s="6">
        <f t="shared" si="0"/>
        <v>0</v>
      </c>
      <c r="G33" s="2"/>
      <c r="H33" s="2">
        <f>SUM(OSRRefH22_5x_0)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SUM(OSRRefP22_5x_0)</f>
        <v>0</v>
      </c>
      <c r="Q33" s="2"/>
      <c r="R33" s="6">
        <f t="shared" si="4"/>
        <v>0</v>
      </c>
      <c r="S33" s="2"/>
      <c r="T33" s="2">
        <f>SUM(OSRRefT22_5x_0)</f>
        <v>49.7</v>
      </c>
      <c r="U33" s="2"/>
      <c r="V33" s="6">
        <f t="shared" si="5"/>
        <v>0</v>
      </c>
      <c r="W33" s="2"/>
      <c r="X33" s="2">
        <f t="shared" si="6"/>
        <v>-49.7</v>
      </c>
      <c r="Y33" s="2"/>
      <c r="Z33" s="6">
        <f t="shared" si="7"/>
        <v>-1</v>
      </c>
    </row>
    <row r="34" spans="1:26" s="69" customFormat="1" ht="15" hidden="1" customHeight="1" outlineLevel="2" x14ac:dyDescent="0.25">
      <c r="A34" s="25"/>
      <c r="B34" s="12" t="str">
        <f>CONCATENATE("          ","6309"," - ","TELEPHONE")</f>
        <v xml:space="preserve">          6309 - TELEPHONE</v>
      </c>
      <c r="C34" s="12"/>
      <c r="D34" s="7"/>
      <c r="E34" s="3"/>
      <c r="F34" s="8">
        <f t="shared" si="0"/>
        <v>0</v>
      </c>
      <c r="G34" s="3"/>
      <c r="H34" s="7"/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49.7</v>
      </c>
      <c r="U34" s="3"/>
      <c r="V34" s="8">
        <f t="shared" si="5"/>
        <v>0</v>
      </c>
      <c r="W34" s="3"/>
      <c r="X34" s="7">
        <f t="shared" si="6"/>
        <v>-49.7</v>
      </c>
      <c r="Y34" s="3"/>
      <c r="Z34" s="8">
        <f t="shared" si="7"/>
        <v>-1</v>
      </c>
    </row>
    <row r="35" spans="1:26" s="64" customFormat="1" ht="15" customHeight="1" x14ac:dyDescent="0.25">
      <c r="A35" s="36"/>
      <c r="B35" s="36"/>
      <c r="C35" s="36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O35" s="3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62" customFormat="1" ht="15" customHeight="1" x14ac:dyDescent="0.25">
      <c r="A36" s="11"/>
      <c r="B36" s="28" t="s">
        <v>290</v>
      </c>
      <c r="C36" s="11"/>
      <c r="D36" s="5">
        <f>SUM(0)</f>
        <v>0</v>
      </c>
      <c r="E36" s="5"/>
      <c r="F36" s="13">
        <f>IF(D$12=0,0,D36/D$12)</f>
        <v>0</v>
      </c>
      <c r="G36" s="5"/>
      <c r="H36" s="5">
        <f>SUM(0)</f>
        <v>0</v>
      </c>
      <c r="I36" s="5"/>
      <c r="J36" s="13">
        <f>IF(H$12=0,0,H36/H$12)</f>
        <v>0</v>
      </c>
      <c r="K36" s="5"/>
      <c r="L36" s="5">
        <f>+D36-H36</f>
        <v>0</v>
      </c>
      <c r="M36" s="5"/>
      <c r="N36" s="13">
        <f>IF(H36=0,0,L36/H36)</f>
        <v>0</v>
      </c>
      <c r="O36" s="11"/>
      <c r="P36" s="5">
        <f>SUM(0)</f>
        <v>0</v>
      </c>
      <c r="Q36" s="5"/>
      <c r="R36" s="13">
        <f>IF(P$12=0,0,P36/P$12)</f>
        <v>0</v>
      </c>
      <c r="S36" s="5"/>
      <c r="T36" s="5">
        <f>SUM(0)</f>
        <v>0</v>
      </c>
      <c r="U36" s="5"/>
      <c r="V36" s="13">
        <f>IF(T$12=0,0,T36/T$12)</f>
        <v>0</v>
      </c>
      <c r="W36" s="5"/>
      <c r="X36" s="5">
        <f>+P36-T36</f>
        <v>0</v>
      </c>
      <c r="Y36" s="5"/>
      <c r="Z36" s="13">
        <f>IF(T36=0,0,X36/T36)</f>
        <v>0</v>
      </c>
    </row>
    <row r="37" spans="1:26" ht="15" customHeight="1" x14ac:dyDescent="0.25">
      <c r="A37" s="10"/>
      <c r="B37" s="11"/>
      <c r="C37" s="11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O37" s="11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x14ac:dyDescent="0.25">
      <c r="A38" s="11"/>
      <c r="B38" s="27" t="s">
        <v>291</v>
      </c>
      <c r="C38" s="27"/>
      <c r="D38" s="22">
        <f>+D16-D18+D36</f>
        <v>-58.03</v>
      </c>
      <c r="E38" s="15"/>
      <c r="F38" s="23">
        <f>IF(D$12=0,0,D38/D$12)</f>
        <v>0</v>
      </c>
      <c r="G38" s="15"/>
      <c r="H38" s="22">
        <f>+H16-H18+H36</f>
        <v>-58.03</v>
      </c>
      <c r="I38" s="15"/>
      <c r="J38" s="23">
        <f>IF(H$12=0,0,H38/H$12)</f>
        <v>0</v>
      </c>
      <c r="K38" s="16"/>
      <c r="L38" s="22">
        <f>+D38-H38</f>
        <v>0</v>
      </c>
      <c r="M38" s="16"/>
      <c r="N38" s="23">
        <f>IF(H38=0,0,L38/H38)</f>
        <v>0</v>
      </c>
      <c r="O38" s="28"/>
      <c r="P38" s="22">
        <f>+P16-P18+P36</f>
        <v>-1003.1400000000001</v>
      </c>
      <c r="Q38" s="15"/>
      <c r="R38" s="23">
        <f>IF(P$12=0,0,P38/P$12)</f>
        <v>0</v>
      </c>
      <c r="S38" s="15"/>
      <c r="T38" s="22">
        <f>+T16-T18+T36</f>
        <v>-5303.41</v>
      </c>
      <c r="U38" s="15"/>
      <c r="V38" s="23">
        <f>IF(T$12=0,0,T38/T$12)</f>
        <v>0</v>
      </c>
      <c r="W38" s="16"/>
      <c r="X38" s="22">
        <f>+P38-T38</f>
        <v>4300.2699999999995</v>
      </c>
      <c r="Y38" s="16"/>
      <c r="Z38" s="23">
        <f>IF(T38=0,0,X38/T38)</f>
        <v>-0.81085000028283682</v>
      </c>
    </row>
    <row r="39" spans="1:26" ht="15" customHeight="1" x14ac:dyDescent="0.25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x14ac:dyDescent="0.25">
      <c r="A40" s="48"/>
      <c r="B40" s="11" t="s">
        <v>292</v>
      </c>
      <c r="C40" s="11"/>
      <c r="D40" s="5"/>
      <c r="E40" s="5"/>
      <c r="F40" s="13">
        <f>IF(D$12=0,0,D40/D$12)</f>
        <v>0</v>
      </c>
      <c r="G40" s="5"/>
      <c r="H40" s="5"/>
      <c r="I40" s="5"/>
      <c r="J40" s="13">
        <f>IF(H$12=0,0,H40/H$12)</f>
        <v>0</v>
      </c>
      <c r="K40" s="5"/>
      <c r="L40" s="5">
        <f>+D40-H40</f>
        <v>0</v>
      </c>
      <c r="M40" s="5"/>
      <c r="N40" s="13">
        <f>IF(H40=0,0,L40/H40)</f>
        <v>0</v>
      </c>
      <c r="O40" s="11"/>
      <c r="P40" s="5"/>
      <c r="Q40" s="5"/>
      <c r="R40" s="13">
        <f>IF(P$12=0,0,P40/P$12)</f>
        <v>0</v>
      </c>
      <c r="S40" s="5"/>
      <c r="T40" s="5"/>
      <c r="U40" s="5"/>
      <c r="V40" s="13">
        <f>IF(T$12=0,0,T40/T$12)</f>
        <v>0</v>
      </c>
      <c r="W40" s="5"/>
      <c r="X40" s="5">
        <f>+P40-T40</f>
        <v>0</v>
      </c>
      <c r="Y40" s="5"/>
      <c r="Z40" s="13">
        <f>IF(T40=0,0,X40/T40)</f>
        <v>0</v>
      </c>
    </row>
    <row r="41" spans="1:26" ht="15" customHeight="1" x14ac:dyDescent="0.25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2" customFormat="1" ht="15" customHeight="1" x14ac:dyDescent="0.25">
      <c r="A42" s="11"/>
      <c r="B42" s="27" t="s">
        <v>293</v>
      </c>
      <c r="C42" s="27"/>
      <c r="D42" s="35">
        <f>+D38-D40</f>
        <v>-58.03</v>
      </c>
      <c r="E42" s="15"/>
      <c r="F42" s="30">
        <f>IF(D$12=0,0,D42/D$12)</f>
        <v>0</v>
      </c>
      <c r="G42" s="15"/>
      <c r="H42" s="35">
        <f>+H38-H40</f>
        <v>-58.03</v>
      </c>
      <c r="I42" s="15"/>
      <c r="J42" s="30">
        <f>IF(H$12=0,0,H42/H$12)</f>
        <v>0</v>
      </c>
      <c r="K42" s="16"/>
      <c r="L42" s="35">
        <f>D42-H42</f>
        <v>0</v>
      </c>
      <c r="M42" s="16"/>
      <c r="N42" s="30">
        <f>IF(H42=0,0,L42/H42)</f>
        <v>0</v>
      </c>
      <c r="O42" s="28"/>
      <c r="P42" s="35">
        <f>+P38-P40</f>
        <v>-1003.1400000000001</v>
      </c>
      <c r="Q42" s="15"/>
      <c r="R42" s="30">
        <f>IF(P$12=0,0,P42/P$12)</f>
        <v>0</v>
      </c>
      <c r="S42" s="15"/>
      <c r="T42" s="35">
        <f>+T38-T40</f>
        <v>-5303.41</v>
      </c>
      <c r="U42" s="15"/>
      <c r="V42" s="30">
        <f>IF(T$12=0,0,T42/T$12)</f>
        <v>0</v>
      </c>
      <c r="W42" s="16"/>
      <c r="X42" s="35">
        <f>P42-T42</f>
        <v>4300.2699999999995</v>
      </c>
      <c r="Y42" s="16"/>
      <c r="Z42" s="30">
        <f>IF(T42=0,0,X42/T42)</f>
        <v>-0.81085000028283682</v>
      </c>
    </row>
    <row r="43" spans="1:26" ht="15" customHeight="1" x14ac:dyDescent="0.25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ht="15" customHeight="1" x14ac:dyDescent="0.25">
      <c r="A44" s="10"/>
      <c r="B44" s="10"/>
      <c r="C44" s="10"/>
      <c r="D44" s="4"/>
      <c r="E44" s="4"/>
      <c r="F44" s="9"/>
      <c r="G44" s="4"/>
      <c r="H44" s="4"/>
      <c r="I44" s="4"/>
      <c r="J44" s="9"/>
      <c r="K44" s="4"/>
      <c r="L44" s="4"/>
      <c r="M44" s="4"/>
      <c r="N44" s="9"/>
      <c r="P44" s="4"/>
      <c r="Q44" s="4"/>
      <c r="R44" s="9"/>
      <c r="S44" s="4"/>
      <c r="T44" s="4"/>
      <c r="U44" s="4"/>
      <c r="V44" s="9"/>
      <c r="W44" s="4"/>
      <c r="X44" s="4"/>
      <c r="Y44" s="4"/>
      <c r="Z44" s="9"/>
    </row>
    <row r="45" spans="1:26" s="62" customFormat="1" ht="15" customHeight="1" x14ac:dyDescent="0.25">
      <c r="A45" s="11"/>
      <c r="B45" s="27" t="s">
        <v>296</v>
      </c>
      <c r="C45" s="27"/>
      <c r="D45" s="32">
        <f>SUM(D42:D44)</f>
        <v>-58.03</v>
      </c>
      <c r="E45" s="15"/>
      <c r="F45" s="34">
        <f>IF(D$12=0,0,D45/D$12)</f>
        <v>0</v>
      </c>
      <c r="G45" s="15"/>
      <c r="H45" s="32">
        <f>SUM(H42:H44)</f>
        <v>-58.03</v>
      </c>
      <c r="I45" s="15"/>
      <c r="J45" s="34">
        <f>IF(H$12=0,0,H45/H$12)</f>
        <v>0</v>
      </c>
      <c r="K45" s="16"/>
      <c r="L45" s="32">
        <f>+D45-H45</f>
        <v>0</v>
      </c>
      <c r="M45" s="16"/>
      <c r="N45" s="34">
        <f>IF(H45=0,0,L45/H45)</f>
        <v>0</v>
      </c>
      <c r="O45" s="28"/>
      <c r="P45" s="32">
        <f>SUM(P42:P44)</f>
        <v>-1003.1400000000001</v>
      </c>
      <c r="Q45" s="15"/>
      <c r="R45" s="34">
        <f>IF(P$12=0,0,P45/P$12)</f>
        <v>0</v>
      </c>
      <c r="S45" s="15"/>
      <c r="T45" s="32">
        <f>SUM(T42:T44)</f>
        <v>-5303.41</v>
      </c>
      <c r="U45" s="15"/>
      <c r="V45" s="34">
        <f>IF(T$12=0,0,T45/T$12)</f>
        <v>0</v>
      </c>
      <c r="W45" s="16"/>
      <c r="X45" s="32">
        <f>+P45-T45</f>
        <v>4300.2699999999995</v>
      </c>
      <c r="Y45" s="16"/>
      <c r="Z45" s="34">
        <f>IF(T45=0,0,X45/T45)</f>
        <v>-0.81085000028283682</v>
      </c>
    </row>
    <row r="46" spans="1:26" ht="15" customHeight="1" x14ac:dyDescent="0.25">
      <c r="A46" s="10"/>
      <c r="C46" s="10"/>
      <c r="D46" s="18"/>
      <c r="E46" s="18"/>
      <c r="G46" s="18"/>
      <c r="H46" s="18"/>
      <c r="I46" s="18"/>
      <c r="J46" s="41"/>
      <c r="K46" s="18"/>
      <c r="L46" s="18"/>
      <c r="M46" s="18"/>
      <c r="P46" s="18"/>
      <c r="Q46" s="18"/>
      <c r="R46" s="41"/>
      <c r="S46" s="18"/>
      <c r="T46" s="18"/>
      <c r="U46" s="18"/>
      <c r="V46" s="41"/>
      <c r="W46" s="18"/>
      <c r="X46" s="18"/>
    </row>
    <row r="47" spans="1:26" ht="15" customHeight="1" x14ac:dyDescent="0.25">
      <c r="A47" s="10"/>
      <c r="B47" s="50">
        <v>44727.879654085649</v>
      </c>
      <c r="D47" s="18"/>
      <c r="E47" s="18"/>
      <c r="G47" s="18"/>
      <c r="H47" s="18"/>
      <c r="I47" s="18"/>
      <c r="J47" s="41"/>
      <c r="K47" s="18"/>
      <c r="L47" s="18"/>
      <c r="M47" s="18"/>
      <c r="P47" s="18"/>
      <c r="Q47" s="18"/>
      <c r="R47" s="41"/>
      <c r="S47" s="18"/>
      <c r="T47" s="18"/>
      <c r="U47" s="18"/>
      <c r="V47" s="41"/>
      <c r="W47" s="18"/>
      <c r="X47" s="18"/>
    </row>
    <row r="48" spans="1:26" ht="15" customHeight="1" x14ac:dyDescent="0.25">
      <c r="A48" s="10"/>
      <c r="B48" s="53" t="s">
        <v>297</v>
      </c>
      <c r="D48" s="18"/>
      <c r="E48" s="18"/>
      <c r="G48" s="18"/>
      <c r="H48" s="18"/>
      <c r="I48" s="18"/>
      <c r="J48" s="41"/>
      <c r="K48" s="18"/>
      <c r="L48" s="18"/>
      <c r="M48" s="18"/>
      <c r="P48" s="18"/>
      <c r="Q48" s="18"/>
      <c r="R48" s="41"/>
      <c r="S48" s="18"/>
      <c r="T48" s="18"/>
      <c r="U48" s="18"/>
      <c r="V48" s="41"/>
      <c r="W48" s="18"/>
      <c r="X48" s="18"/>
    </row>
    <row r="49" spans="1:24" ht="15" customHeight="1" x14ac:dyDescent="0.25">
      <c r="A49" s="10"/>
      <c r="B49" s="55"/>
      <c r="D49" s="18"/>
      <c r="E49" s="18"/>
      <c r="G49" s="18"/>
      <c r="H49" s="18"/>
      <c r="I49" s="18"/>
      <c r="J49" s="41"/>
      <c r="K49" s="18"/>
      <c r="L49" s="18"/>
      <c r="M49" s="18"/>
      <c r="P49" s="18"/>
      <c r="Q49" s="18"/>
      <c r="R49" s="41"/>
      <c r="S49" s="18"/>
      <c r="T49" s="18"/>
      <c r="U49" s="18"/>
      <c r="V49" s="41"/>
      <c r="W49" s="18"/>
      <c r="X49" s="18"/>
    </row>
    <row r="50" spans="1:24" ht="15" customHeight="1" x14ac:dyDescent="0.25">
      <c r="D50" s="18"/>
      <c r="E50" s="18"/>
      <c r="G50" s="18"/>
      <c r="H50" s="18"/>
      <c r="I50" s="18"/>
      <c r="J50" s="41"/>
      <c r="K50" s="18"/>
      <c r="L50" s="18"/>
      <c r="M50" s="18"/>
      <c r="P50" s="18"/>
      <c r="Q50" s="18"/>
      <c r="R50" s="41"/>
      <c r="S50" s="18"/>
      <c r="T50" s="18"/>
      <c r="U50" s="18"/>
      <c r="V50" s="41"/>
      <c r="W50" s="18"/>
      <c r="X5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7AA4C-F6E1-6EE3-F20B-9D6C70F1DCA7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298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39EF6-072C-05DE-6C98-4B27DA0D2DC4}">
  <sheetPr>
    <tabColor rgb="FF92D050"/>
    <outlinePr summaryBelow="0" summaryRight="0"/>
  </sheetPr>
  <dimension ref="A2:Z4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","414"," - ","Starbucks UDP")</f>
        <v>Department 414 - Starbucks UDP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SUM(OSRRefP13x_0)</f>
        <v>0</v>
      </c>
      <c r="Q12" s="5"/>
      <c r="R12" s="13"/>
      <c r="S12" s="5"/>
      <c r="T12" s="5">
        <f>SUM(OSRRefT13x_0)</f>
        <v>974.91</v>
      </c>
      <c r="U12" s="5"/>
      <c r="V12" s="13"/>
      <c r="W12" s="5"/>
      <c r="X12" s="5">
        <f>+P12-T12</f>
        <v>-974.91</v>
      </c>
      <c r="Y12" s="5"/>
      <c r="Z12" s="13">
        <f>IF(T12=0,0,X12/T12)</f>
        <v>-1</v>
      </c>
    </row>
    <row r="13" spans="1:26" s="69" customFormat="1" ht="15" hidden="1" customHeight="1" outlineLevel="1" x14ac:dyDescent="0.25">
      <c r="A13" s="42"/>
      <c r="B13" s="12" t="str">
        <f>CONCATENATE("          ","4058"," - ","TAXABLE SALES-FOOD")</f>
        <v xml:space="preserve">          4058 - TAXABLE SALES-FOOD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0</f>
        <v>0</v>
      </c>
      <c r="Q13" s="3"/>
      <c r="R13" s="20"/>
      <c r="S13" s="3"/>
      <c r="T13" s="3">
        <f>--974.91</f>
        <v>974.91</v>
      </c>
      <c r="U13" s="3"/>
      <c r="V13" s="20"/>
      <c r="W13" s="3"/>
      <c r="X13" s="3">
        <f>+P13-T13</f>
        <v>-974.91</v>
      </c>
      <c r="Y13" s="3"/>
      <c r="Z13" s="20">
        <f>IF(T13=0,0,X13/T13)</f>
        <v>-1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>
        <f>SUM(OSRRefD16x_0)</f>
        <v>0</v>
      </c>
      <c r="E15" s="5"/>
      <c r="F15" s="13">
        <f>IF(D$12=0,0,D15/D$12)</f>
        <v>0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SUM(OSRRefP16x_0)</f>
        <v>0</v>
      </c>
      <c r="Q15" s="5"/>
      <c r="R15" s="13">
        <f>IF(P$12=0,0,P15/P$12)</f>
        <v>0</v>
      </c>
      <c r="S15" s="5"/>
      <c r="T15" s="5">
        <f>SUM(OSRRefT16x_0)</f>
        <v>-2369.56</v>
      </c>
      <c r="U15" s="5"/>
      <c r="V15" s="13">
        <f>IF(T$12=0,0,T15/T$12)</f>
        <v>-2.4305423064693152</v>
      </c>
      <c r="W15" s="5"/>
      <c r="X15" s="5">
        <f>+P15-T15</f>
        <v>2369.56</v>
      </c>
      <c r="Y15" s="5"/>
      <c r="Z15" s="13">
        <f>IF(T15=0,0,X15/T15)</f>
        <v>-1</v>
      </c>
    </row>
    <row r="16" spans="1:26" s="69" customFormat="1" ht="15" hidden="1" customHeight="1" outlineLevel="1" x14ac:dyDescent="0.25">
      <c r="A16" s="42"/>
      <c r="B16" s="12" t="str">
        <f>CONCATENATE("          ","5053"," - ","PURCHASES @ COST-FOOD")</f>
        <v xml:space="preserve">          5053 - PURCHASES @ COST-FOOD</v>
      </c>
      <c r="C16" s="12"/>
      <c r="D16" s="3"/>
      <c r="E16" s="3"/>
      <c r="F16" s="20">
        <f>IF(D$12=0,0,D16/D$12)</f>
        <v>0</v>
      </c>
      <c r="G16" s="3"/>
      <c r="H16" s="3"/>
      <c r="I16" s="3"/>
      <c r="J16" s="20">
        <f>IF(H$12=0,0,H16/H$12)</f>
        <v>0</v>
      </c>
      <c r="K16" s="3"/>
      <c r="L16" s="3">
        <f>+D16-H16</f>
        <v>0</v>
      </c>
      <c r="M16" s="3"/>
      <c r="N16" s="20">
        <f>IF(H16=0,0,L16/H16)</f>
        <v>0</v>
      </c>
      <c r="O16" s="12"/>
      <c r="P16" s="3"/>
      <c r="Q16" s="3"/>
      <c r="R16" s="20">
        <f>IF(P$12=0,0,P16/P$12)</f>
        <v>0</v>
      </c>
      <c r="S16" s="3"/>
      <c r="T16" s="3">
        <v>-2369.56</v>
      </c>
      <c r="U16" s="3"/>
      <c r="V16" s="20">
        <f>IF(T$12=0,0,T16/T$12)</f>
        <v>-2.4305423064693152</v>
      </c>
      <c r="W16" s="3"/>
      <c r="X16" s="3">
        <f>+P16-T16</f>
        <v>2369.56</v>
      </c>
      <c r="Y16" s="3"/>
      <c r="Z16" s="20">
        <f>IF(T16=0,0,X16/T16)</f>
        <v>-1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>
        <f>D12-D15</f>
        <v>0</v>
      </c>
      <c r="E18" s="15"/>
      <c r="F18" s="23">
        <f>IF(D$12=0,0,D18/D$12)</f>
        <v>0</v>
      </c>
      <c r="G18" s="15"/>
      <c r="H18" s="22">
        <f>H12-H15</f>
        <v>0</v>
      </c>
      <c r="I18" s="15"/>
      <c r="J18" s="23">
        <f>IF(H$12=0,0,H18/H$12)</f>
        <v>0</v>
      </c>
      <c r="K18" s="16"/>
      <c r="L18" s="22">
        <f>+D18-H18</f>
        <v>0</v>
      </c>
      <c r="M18" s="16"/>
      <c r="N18" s="23">
        <f>IF(H18=0,0,L18/H18)</f>
        <v>0</v>
      </c>
      <c r="O18" s="28"/>
      <c r="P18" s="22">
        <f>P12-P15</f>
        <v>0</v>
      </c>
      <c r="Q18" s="15"/>
      <c r="R18" s="23">
        <f>IF(P$12=0,0,P18/P$12)</f>
        <v>0</v>
      </c>
      <c r="S18" s="15"/>
      <c r="T18" s="22">
        <f>T12-T15</f>
        <v>3344.47</v>
      </c>
      <c r="U18" s="15"/>
      <c r="V18" s="23">
        <f>IF(T$12=0,0,T18/T$12)</f>
        <v>3.4305423064693152</v>
      </c>
      <c r="W18" s="16"/>
      <c r="X18" s="22">
        <f>+P18-T18</f>
        <v>-3344.47</v>
      </c>
      <c r="Y18" s="16"/>
      <c r="Z18" s="23">
        <f>IF(T18=0,0,X18/T18)</f>
        <v>-1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cm="1">
        <f t="array" ref="D20">SUM(OSRRefD22x_0)</f>
        <v>0</v>
      </c>
      <c r="E20" s="21"/>
      <c r="F20" s="31">
        <f t="shared" ref="F20:F33" si="0">IF(D$12=0,0,D20/D$12)</f>
        <v>0</v>
      </c>
      <c r="G20" s="21"/>
      <c r="H20" s="21" cm="1">
        <f t="array" ref="H20">SUM(OSRRefH22x_0)</f>
        <v>1825.23</v>
      </c>
      <c r="I20" s="21"/>
      <c r="J20" s="31">
        <f t="shared" ref="J20:J33" si="1">IF(H$12=0,0,H20/H$12)</f>
        <v>0</v>
      </c>
      <c r="K20" s="5"/>
      <c r="L20" s="21">
        <f t="shared" ref="L20:L33" si="2">+D20-H20</f>
        <v>-1825.23</v>
      </c>
      <c r="M20" s="5"/>
      <c r="N20" s="31">
        <f t="shared" ref="N20:N33" si="3">IF(H20=0,0,L20/H20)</f>
        <v>-1</v>
      </c>
      <c r="O20" s="11"/>
      <c r="P20" s="21" cm="1">
        <f t="array" ref="P20">SUM(OSRRefP22x_0)</f>
        <v>372.9</v>
      </c>
      <c r="Q20" s="21"/>
      <c r="R20" s="31">
        <f t="shared" ref="R20:R33" si="4">IF(P$12=0,0,P20/P$12)</f>
        <v>0</v>
      </c>
      <c r="S20" s="21"/>
      <c r="T20" s="21" cm="1">
        <f t="array" ref="T20">SUM(OSRRefT22x_0)</f>
        <v>21742.579999999998</v>
      </c>
      <c r="U20" s="21"/>
      <c r="V20" s="31">
        <f t="shared" ref="V20:V33" si="5">IF(T$12=0,0,T20/T$12)</f>
        <v>22.302140710424549</v>
      </c>
      <c r="W20" s="5"/>
      <c r="X20" s="21">
        <f t="shared" ref="X20:X33" si="6">+P20-T20</f>
        <v>-21369.679999999997</v>
      </c>
      <c r="Y20" s="5"/>
      <c r="Z20" s="31">
        <f t="shared" ref="Z20:Z33" si="7">IF(T20=0,0,X20/T20)</f>
        <v>-0.98284932146966908</v>
      </c>
    </row>
    <row r="21" spans="1:26" s="68" customFormat="1" ht="15" customHeight="1" outlineLevel="1" collapsed="1" x14ac:dyDescent="0.25">
      <c r="A21" s="26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702.51</v>
      </c>
      <c r="U21" s="2"/>
      <c r="V21" s="6">
        <f t="shared" si="5"/>
        <v>0.72058959288549718</v>
      </c>
      <c r="W21" s="2"/>
      <c r="X21" s="2">
        <f t="shared" si="6"/>
        <v>-702.51</v>
      </c>
      <c r="Y21" s="2"/>
      <c r="Z21" s="6">
        <f t="shared" si="7"/>
        <v>-1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/>
      <c r="Q22" s="3"/>
      <c r="R22" s="8">
        <f t="shared" si="4"/>
        <v>0</v>
      </c>
      <c r="S22" s="3"/>
      <c r="T22" s="7">
        <v>702.51</v>
      </c>
      <c r="U22" s="3"/>
      <c r="V22" s="8">
        <f t="shared" si="5"/>
        <v>0.72058959288549718</v>
      </c>
      <c r="W22" s="3"/>
      <c r="X22" s="7">
        <f t="shared" si="6"/>
        <v>-702.51</v>
      </c>
      <c r="Y22" s="3"/>
      <c r="Z22" s="8">
        <f t="shared" si="7"/>
        <v>-1</v>
      </c>
    </row>
    <row r="23" spans="1:26" s="68" customFormat="1" ht="15" customHeight="1" outlineLevel="1" collapsed="1" x14ac:dyDescent="0.25">
      <c r="A23" s="26"/>
      <c r="B23" s="14" t="str">
        <f>CONCATENATE("     ","Advertising/Promo                                 ")</f>
        <v xml:space="preserve">     Advertising/Promo                                 </v>
      </c>
      <c r="C23" s="14"/>
      <c r="D23" s="2">
        <f>SUM(OSRRefD22_1x_0)</f>
        <v>0</v>
      </c>
      <c r="E23" s="2"/>
      <c r="F23" s="6">
        <f t="shared" si="0"/>
        <v>0</v>
      </c>
      <c r="G23" s="2"/>
      <c r="H23" s="2">
        <f>SUM(OSRRefH22_1x_0)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SUM(OSRRefP22_1x_0)</f>
        <v>0</v>
      </c>
      <c r="Q23" s="2"/>
      <c r="R23" s="6">
        <f t="shared" si="4"/>
        <v>0</v>
      </c>
      <c r="S23" s="2"/>
      <c r="T23" s="2">
        <f>SUM(OSRRefT22_1x_0)</f>
        <v>83.83</v>
      </c>
      <c r="U23" s="2"/>
      <c r="V23" s="6">
        <f t="shared" si="5"/>
        <v>8.5987424480208435E-2</v>
      </c>
      <c r="W23" s="2"/>
      <c r="X23" s="2">
        <f t="shared" si="6"/>
        <v>-83.83</v>
      </c>
      <c r="Y23" s="2"/>
      <c r="Z23" s="6">
        <f t="shared" si="7"/>
        <v>-1</v>
      </c>
    </row>
    <row r="24" spans="1:26" s="69" customFormat="1" ht="15" hidden="1" customHeight="1" outlineLevel="2" x14ac:dyDescent="0.25">
      <c r="A24" s="25"/>
      <c r="B24" s="12" t="str">
        <f>CONCATENATE("          ","6362"," - ","ADVERTISING EXPENSE")</f>
        <v xml:space="preserve">          6362 - ADVERTISING EXPENSE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83.83</v>
      </c>
      <c r="U24" s="3"/>
      <c r="V24" s="8">
        <f t="shared" si="5"/>
        <v>8.5987424480208435E-2</v>
      </c>
      <c r="W24" s="3"/>
      <c r="X24" s="7">
        <f t="shared" si="6"/>
        <v>-83.83</v>
      </c>
      <c r="Y24" s="3"/>
      <c r="Z24" s="8">
        <f t="shared" si="7"/>
        <v>-1</v>
      </c>
    </row>
    <row r="25" spans="1:26" s="68" customFormat="1" ht="15" customHeight="1" outlineLevel="1" collapsed="1" x14ac:dyDescent="0.25">
      <c r="A25" s="26"/>
      <c r="B25" s="14" t="str">
        <f>CONCATENATE("     ","Depreciation                                      ")</f>
        <v xml:space="preserve">     Depreciation                                      </v>
      </c>
      <c r="C25" s="14"/>
      <c r="D25" s="2">
        <f>SUM(OSRRefD22_2x_0)</f>
        <v>0</v>
      </c>
      <c r="E25" s="2"/>
      <c r="F25" s="6">
        <f t="shared" si="0"/>
        <v>0</v>
      </c>
      <c r="G25" s="2"/>
      <c r="H25" s="2">
        <f>SUM(OSRRefH22_2x_0)</f>
        <v>1825.23</v>
      </c>
      <c r="I25" s="2"/>
      <c r="J25" s="6">
        <f t="shared" si="1"/>
        <v>0</v>
      </c>
      <c r="K25" s="2"/>
      <c r="L25" s="2">
        <f t="shared" si="2"/>
        <v>-1825.23</v>
      </c>
      <c r="M25" s="2"/>
      <c r="N25" s="6">
        <f t="shared" si="3"/>
        <v>-1</v>
      </c>
      <c r="O25" s="14"/>
      <c r="P25" s="2">
        <f>SUM(OSRRefP22_2x_0)</f>
        <v>0</v>
      </c>
      <c r="Q25" s="2"/>
      <c r="R25" s="6">
        <f t="shared" si="4"/>
        <v>0</v>
      </c>
      <c r="S25" s="2"/>
      <c r="T25" s="2">
        <f>SUM(OSRRefT22_2x_0)</f>
        <v>20224.62</v>
      </c>
      <c r="U25" s="2"/>
      <c r="V25" s="6">
        <f t="shared" si="5"/>
        <v>20.745114933686185</v>
      </c>
      <c r="W25" s="2"/>
      <c r="X25" s="2">
        <f t="shared" si="6"/>
        <v>-20224.62</v>
      </c>
      <c r="Y25" s="2"/>
      <c r="Z25" s="6">
        <f t="shared" si="7"/>
        <v>-1</v>
      </c>
    </row>
    <row r="26" spans="1:26" s="69" customFormat="1" ht="15" hidden="1" customHeight="1" outlineLevel="2" x14ac:dyDescent="0.25">
      <c r="A26" s="25"/>
      <c r="B26" s="12" t="str">
        <f>CONCATENATE("          ","6322"," - ","EQUIPMENT DEPRECIATION EXPENSE")</f>
        <v xml:space="preserve">          6322 - EQUIPMENT DEPRECIATION EXPENSE</v>
      </c>
      <c r="C26" s="12"/>
      <c r="D26" s="7"/>
      <c r="E26" s="3"/>
      <c r="F26" s="8">
        <f t="shared" si="0"/>
        <v>0</v>
      </c>
      <c r="G26" s="3"/>
      <c r="H26" s="7">
        <v>1825.23</v>
      </c>
      <c r="I26" s="3"/>
      <c r="J26" s="8">
        <f t="shared" si="1"/>
        <v>0</v>
      </c>
      <c r="K26" s="3"/>
      <c r="L26" s="7">
        <f t="shared" si="2"/>
        <v>-1825.23</v>
      </c>
      <c r="M26" s="3"/>
      <c r="N26" s="8">
        <f t="shared" si="3"/>
        <v>-1</v>
      </c>
      <c r="O26" s="12"/>
      <c r="P26" s="7"/>
      <c r="Q26" s="3"/>
      <c r="R26" s="8">
        <f t="shared" si="4"/>
        <v>0</v>
      </c>
      <c r="S26" s="3"/>
      <c r="T26" s="7">
        <v>20224.62</v>
      </c>
      <c r="U26" s="3"/>
      <c r="V26" s="8">
        <f t="shared" si="5"/>
        <v>20.745114933686185</v>
      </c>
      <c r="W26" s="3"/>
      <c r="X26" s="7">
        <f t="shared" si="6"/>
        <v>-20224.62</v>
      </c>
      <c r="Y26" s="3"/>
      <c r="Z26" s="8">
        <f t="shared" si="7"/>
        <v>-1</v>
      </c>
    </row>
    <row r="27" spans="1:26" s="68" customFormat="1" ht="15" customHeight="1" outlineLevel="1" collapsed="1" x14ac:dyDescent="0.25">
      <c r="A27" s="26"/>
      <c r="B27" s="14" t="str">
        <f>CONCATENATE("     ","Equipment Rental                                  ")</f>
        <v xml:space="preserve">     Equipment Rental                                  </v>
      </c>
      <c r="C27" s="14"/>
      <c r="D27" s="2">
        <f>SUM(OSRRefD22_3x_0)</f>
        <v>0</v>
      </c>
      <c r="E27" s="2"/>
      <c r="F27" s="6">
        <f t="shared" si="0"/>
        <v>0</v>
      </c>
      <c r="G27" s="2"/>
      <c r="H27" s="2">
        <f>SUM(OSRRefH22_3x_0)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SUM(OSRRefP22_3x_0)</f>
        <v>118.91</v>
      </c>
      <c r="Q27" s="2"/>
      <c r="R27" s="6">
        <f t="shared" si="4"/>
        <v>0</v>
      </c>
      <c r="S27" s="2"/>
      <c r="T27" s="2">
        <f>SUM(OSRRefT22_3x_0)</f>
        <v>96.3</v>
      </c>
      <c r="U27" s="2"/>
      <c r="V27" s="6">
        <f t="shared" si="5"/>
        <v>9.8778348770655749E-2</v>
      </c>
      <c r="W27" s="2"/>
      <c r="X27" s="2">
        <f t="shared" si="6"/>
        <v>22.61</v>
      </c>
      <c r="Y27" s="2"/>
      <c r="Z27" s="6">
        <f t="shared" si="7"/>
        <v>0.2347871235721703</v>
      </c>
    </row>
    <row r="28" spans="1:26" s="69" customFormat="1" ht="15" hidden="1" customHeight="1" outlineLevel="2" x14ac:dyDescent="0.25">
      <c r="A28" s="25"/>
      <c r="B28" s="12" t="str">
        <f>CONCATENATE("          ","6351"," - ","EQUIPMENT RENTAL")</f>
        <v xml:space="preserve">          6351 - EQUIPMENT RENTAL</v>
      </c>
      <c r="C28" s="12"/>
      <c r="D28" s="7"/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0</v>
      </c>
      <c r="M28" s="3"/>
      <c r="N28" s="8">
        <f t="shared" si="3"/>
        <v>0</v>
      </c>
      <c r="O28" s="12"/>
      <c r="P28" s="7">
        <v>118.91</v>
      </c>
      <c r="Q28" s="3"/>
      <c r="R28" s="8">
        <f t="shared" si="4"/>
        <v>0</v>
      </c>
      <c r="S28" s="3"/>
      <c r="T28" s="7">
        <v>96.3</v>
      </c>
      <c r="U28" s="3"/>
      <c r="V28" s="8">
        <f t="shared" si="5"/>
        <v>9.8778348770655749E-2</v>
      </c>
      <c r="W28" s="3"/>
      <c r="X28" s="7">
        <f t="shared" si="6"/>
        <v>22.61</v>
      </c>
      <c r="Y28" s="3"/>
      <c r="Z28" s="8">
        <f t="shared" si="7"/>
        <v>0.2347871235721703</v>
      </c>
    </row>
    <row r="29" spans="1:26" s="68" customFormat="1" ht="15" customHeight="1" outlineLevel="1" collapsed="1" x14ac:dyDescent="0.25">
      <c r="A29" s="26"/>
      <c r="B29" s="14" t="str">
        <f>CONCATENATE("     ","General                                           ")</f>
        <v xml:space="preserve">     General                                           </v>
      </c>
      <c r="C29" s="14"/>
      <c r="D29" s="2">
        <f>SUM(OSRRefD22_4x_0)</f>
        <v>0</v>
      </c>
      <c r="E29" s="2"/>
      <c r="F29" s="6">
        <f t="shared" si="0"/>
        <v>0</v>
      </c>
      <c r="G29" s="2"/>
      <c r="H29" s="2">
        <f>SUM(OSRRefH22_4x_0)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SUM(OSRRefP22_4x_0)</f>
        <v>0</v>
      </c>
      <c r="Q29" s="2"/>
      <c r="R29" s="6">
        <f t="shared" si="4"/>
        <v>0</v>
      </c>
      <c r="S29" s="2"/>
      <c r="T29" s="2">
        <f>SUM(OSRRefT22_4x_0)</f>
        <v>7.28</v>
      </c>
      <c r="U29" s="2"/>
      <c r="V29" s="6">
        <f t="shared" si="5"/>
        <v>7.467355961063073E-3</v>
      </c>
      <c r="W29" s="2"/>
      <c r="X29" s="2">
        <f t="shared" si="6"/>
        <v>-7.28</v>
      </c>
      <c r="Y29" s="2"/>
      <c r="Z29" s="6">
        <f t="shared" si="7"/>
        <v>-1</v>
      </c>
    </row>
    <row r="30" spans="1:26" s="69" customFormat="1" ht="15" hidden="1" customHeight="1" outlineLevel="2" x14ac:dyDescent="0.25">
      <c r="A30" s="25"/>
      <c r="B30" s="12" t="str">
        <f>CONCATENATE("          ","6279"," - ","GENERAL EXPENSE")</f>
        <v xml:space="preserve">          6279 - GENERAL EXPENSE</v>
      </c>
      <c r="C30" s="12"/>
      <c r="D30" s="7"/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7.28</v>
      </c>
      <c r="U30" s="3"/>
      <c r="V30" s="8">
        <f t="shared" si="5"/>
        <v>7.467355961063073E-3</v>
      </c>
      <c r="W30" s="3"/>
      <c r="X30" s="7">
        <f t="shared" si="6"/>
        <v>-7.28</v>
      </c>
      <c r="Y30" s="3"/>
      <c r="Z30" s="8">
        <f t="shared" si="7"/>
        <v>-1</v>
      </c>
    </row>
    <row r="31" spans="1:26" s="68" customFormat="1" ht="15" customHeight="1" outlineLevel="1" collapsed="1" x14ac:dyDescent="0.25">
      <c r="A31" s="26"/>
      <c r="B31" s="14" t="str">
        <f>CONCATENATE("     ","Repair and Maintenance                            ")</f>
        <v xml:space="preserve">     Repair and Maintenance                            </v>
      </c>
      <c r="C31" s="14"/>
      <c r="D31" s="2">
        <f>SUM(OSRRefD22_5x_0)</f>
        <v>0</v>
      </c>
      <c r="E31" s="2"/>
      <c r="F31" s="6">
        <f t="shared" si="0"/>
        <v>0</v>
      </c>
      <c r="G31" s="2"/>
      <c r="H31" s="2">
        <f>SUM(OSRRefH22_5x_0)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SUM(OSRRefP22_5x_0)</f>
        <v>253.99</v>
      </c>
      <c r="Q31" s="2"/>
      <c r="R31" s="6">
        <f t="shared" si="4"/>
        <v>0</v>
      </c>
      <c r="S31" s="2"/>
      <c r="T31" s="2">
        <f>SUM(OSRRefT22_5x_0)</f>
        <v>628.04</v>
      </c>
      <c r="U31" s="2"/>
      <c r="V31" s="6">
        <f t="shared" si="5"/>
        <v>0.64420305464094119</v>
      </c>
      <c r="W31" s="2"/>
      <c r="X31" s="2">
        <f t="shared" si="6"/>
        <v>-374.04999999999995</v>
      </c>
      <c r="Y31" s="2"/>
      <c r="Z31" s="6">
        <f t="shared" si="7"/>
        <v>-0.59558308388000758</v>
      </c>
    </row>
    <row r="32" spans="1:26" s="69" customFormat="1" ht="15" hidden="1" customHeight="1" outlineLevel="2" x14ac:dyDescent="0.25">
      <c r="A32" s="25"/>
      <c r="B32" s="12" t="str">
        <f>CONCATENATE("          ","6373"," - ","MAINTENANCE CONTRACTS")</f>
        <v xml:space="preserve">          6373 - MAINTENANCE CONTRACTS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253.99</v>
      </c>
      <c r="Q32" s="3"/>
      <c r="R32" s="8">
        <f t="shared" si="4"/>
        <v>0</v>
      </c>
      <c r="S32" s="3"/>
      <c r="T32" s="7">
        <v>428.04</v>
      </c>
      <c r="U32" s="3"/>
      <c r="V32" s="8">
        <f t="shared" si="5"/>
        <v>0.43905591285349421</v>
      </c>
      <c r="W32" s="3"/>
      <c r="X32" s="7">
        <f t="shared" si="6"/>
        <v>-174.05</v>
      </c>
      <c r="Y32" s="3"/>
      <c r="Z32" s="8">
        <f t="shared" si="7"/>
        <v>-0.40662087655359314</v>
      </c>
    </row>
    <row r="33" spans="1:26" s="69" customFormat="1" ht="15" hidden="1" customHeight="1" outlineLevel="2" x14ac:dyDescent="0.25">
      <c r="A33" s="25"/>
      <c r="B33" s="12" t="str">
        <f>CONCATENATE("          ","6375"," - ","OUTSIDE REPAIRS &amp; MAINTENANCE")</f>
        <v xml:space="preserve">          6375 - OUTSIDE REPAIRS &amp; MAINTENANCE</v>
      </c>
      <c r="C33" s="12"/>
      <c r="D33" s="7"/>
      <c r="E33" s="3"/>
      <c r="F33" s="8">
        <f t="shared" si="0"/>
        <v>0</v>
      </c>
      <c r="G33" s="3"/>
      <c r="H33" s="7"/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200</v>
      </c>
      <c r="U33" s="3"/>
      <c r="V33" s="8">
        <f t="shared" si="5"/>
        <v>0.20514714178744706</v>
      </c>
      <c r="W33" s="3"/>
      <c r="X33" s="7">
        <f t="shared" si="6"/>
        <v>-200</v>
      </c>
      <c r="Y33" s="3"/>
      <c r="Z33" s="8">
        <f t="shared" si="7"/>
        <v>-1</v>
      </c>
    </row>
    <row r="34" spans="1:26" s="64" customFormat="1" ht="15" customHeight="1" x14ac:dyDescent="0.25">
      <c r="A34" s="36"/>
      <c r="B34" s="36"/>
      <c r="C34" s="36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3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62" customFormat="1" ht="15" customHeight="1" x14ac:dyDescent="0.25">
      <c r="A35" s="11"/>
      <c r="B35" s="28" t="s">
        <v>290</v>
      </c>
      <c r="C35" s="11"/>
      <c r="D35" s="5">
        <f>SUM(0)</f>
        <v>0</v>
      </c>
      <c r="E35" s="5"/>
      <c r="F35" s="13">
        <f>IF(D$12=0,0,D35/D$12)</f>
        <v>0</v>
      </c>
      <c r="G35" s="5"/>
      <c r="H35" s="5">
        <f>SUM(0)</f>
        <v>0</v>
      </c>
      <c r="I35" s="5"/>
      <c r="J35" s="13">
        <f>IF(H$12=0,0,H35/H$12)</f>
        <v>0</v>
      </c>
      <c r="K35" s="5"/>
      <c r="L35" s="5">
        <f>+D35-H35</f>
        <v>0</v>
      </c>
      <c r="M35" s="5"/>
      <c r="N35" s="13">
        <f>IF(H35=0,0,L35/H35)</f>
        <v>0</v>
      </c>
      <c r="O35" s="11"/>
      <c r="P35" s="5">
        <f>SUM(0)</f>
        <v>0</v>
      </c>
      <c r="Q35" s="5"/>
      <c r="R35" s="13">
        <f>IF(P$12=0,0,P35/P$12)</f>
        <v>0</v>
      </c>
      <c r="S35" s="5"/>
      <c r="T35" s="5">
        <f>SUM(0)</f>
        <v>0</v>
      </c>
      <c r="U35" s="5"/>
      <c r="V35" s="13">
        <f>IF(T$12=0,0,T35/T$12)</f>
        <v>0</v>
      </c>
      <c r="W35" s="5"/>
      <c r="X35" s="5">
        <f>+P35-T35</f>
        <v>0</v>
      </c>
      <c r="Y35" s="5"/>
      <c r="Z35" s="13">
        <f>IF(T35=0,0,X35/T35)</f>
        <v>0</v>
      </c>
    </row>
    <row r="36" spans="1:26" ht="15" customHeight="1" x14ac:dyDescent="0.25">
      <c r="A36" s="10"/>
      <c r="B36" s="11"/>
      <c r="C36" s="11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O36" s="11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25">
      <c r="A37" s="11"/>
      <c r="B37" s="27" t="s">
        <v>291</v>
      </c>
      <c r="C37" s="27"/>
      <c r="D37" s="22">
        <f>+D18-D20+D35</f>
        <v>0</v>
      </c>
      <c r="E37" s="15"/>
      <c r="F37" s="23">
        <f>IF(D$12=0,0,D37/D$12)</f>
        <v>0</v>
      </c>
      <c r="G37" s="15"/>
      <c r="H37" s="22">
        <f>+H18-H20+H35</f>
        <v>-1825.23</v>
      </c>
      <c r="I37" s="15"/>
      <c r="J37" s="23">
        <f>IF(H$12=0,0,H37/H$12)</f>
        <v>0</v>
      </c>
      <c r="K37" s="16"/>
      <c r="L37" s="22">
        <f>+D37-H37</f>
        <v>1825.23</v>
      </c>
      <c r="M37" s="16"/>
      <c r="N37" s="23">
        <f>IF(H37=0,0,L37/H37)</f>
        <v>-1</v>
      </c>
      <c r="O37" s="28"/>
      <c r="P37" s="22">
        <f>+P18-P20+P35</f>
        <v>-372.9</v>
      </c>
      <c r="Q37" s="15"/>
      <c r="R37" s="23">
        <f>IF(P$12=0,0,P37/P$12)</f>
        <v>0</v>
      </c>
      <c r="S37" s="15"/>
      <c r="T37" s="22">
        <f>+T18-T20+T35</f>
        <v>-18398.109999999997</v>
      </c>
      <c r="U37" s="15"/>
      <c r="V37" s="23">
        <f>IF(T$12=0,0,T37/T$12)</f>
        <v>-18.871598403955236</v>
      </c>
      <c r="W37" s="16"/>
      <c r="X37" s="22">
        <f>+P37-T37</f>
        <v>18025.209999999995</v>
      </c>
      <c r="Y37" s="16"/>
      <c r="Z37" s="23">
        <f>IF(T37=0,0,X37/T37)</f>
        <v>-0.97973161373641093</v>
      </c>
    </row>
    <row r="38" spans="1:26" ht="15" customHeight="1" x14ac:dyDescent="0.25">
      <c r="A38" s="10"/>
      <c r="B38" s="11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25">
      <c r="A39" s="48"/>
      <c r="B39" s="11" t="s">
        <v>292</v>
      </c>
      <c r="C39" s="11"/>
      <c r="D39" s="5"/>
      <c r="E39" s="5"/>
      <c r="F39" s="13">
        <f>IF(D$12=0,0,D39/D$12)</f>
        <v>0</v>
      </c>
      <c r="G39" s="5"/>
      <c r="H39" s="5">
        <v>4.37</v>
      </c>
      <c r="I39" s="5"/>
      <c r="J39" s="13">
        <f>IF(H$12=0,0,H39/H$12)</f>
        <v>0</v>
      </c>
      <c r="K39" s="5"/>
      <c r="L39" s="5">
        <f>+D39-H39</f>
        <v>-4.37</v>
      </c>
      <c r="M39" s="5"/>
      <c r="N39" s="13">
        <f>IF(H39=0,0,L39/H39)</f>
        <v>-1</v>
      </c>
      <c r="O39" s="11"/>
      <c r="P39" s="5"/>
      <c r="Q39" s="5"/>
      <c r="R39" s="13">
        <f>IF(P$12=0,0,P39/P$12)</f>
        <v>0</v>
      </c>
      <c r="S39" s="5"/>
      <c r="T39" s="5">
        <v>208.33</v>
      </c>
      <c r="U39" s="5"/>
      <c r="V39" s="13">
        <f>IF(T$12=0,0,T39/T$12)</f>
        <v>0.21369152024289423</v>
      </c>
      <c r="W39" s="5"/>
      <c r="X39" s="5">
        <f>+P39-T39</f>
        <v>-208.33</v>
      </c>
      <c r="Y39" s="5"/>
      <c r="Z39" s="13">
        <f>IF(T39=0,0,X39/T39)</f>
        <v>-1</v>
      </c>
    </row>
    <row r="40" spans="1:26" ht="15" customHeight="1" x14ac:dyDescent="0.25">
      <c r="A40" s="10"/>
      <c r="B40" s="11"/>
      <c r="C40" s="11"/>
      <c r="D40" s="4"/>
      <c r="E40" s="4"/>
      <c r="F40" s="9"/>
      <c r="G40" s="4"/>
      <c r="H40" s="4"/>
      <c r="I40" s="4"/>
      <c r="J40" s="9"/>
      <c r="K40" s="4"/>
      <c r="L40" s="4"/>
      <c r="M40" s="4"/>
      <c r="N40" s="9"/>
      <c r="O40" s="11"/>
      <c r="P40" s="4"/>
      <c r="Q40" s="4"/>
      <c r="R40" s="9"/>
      <c r="S40" s="4"/>
      <c r="T40" s="4"/>
      <c r="U40" s="4"/>
      <c r="V40" s="9"/>
      <c r="W40" s="4"/>
      <c r="X40" s="4"/>
      <c r="Y40" s="4"/>
      <c r="Z40" s="9"/>
    </row>
    <row r="41" spans="1:26" s="62" customFormat="1" ht="15" customHeight="1" x14ac:dyDescent="0.25">
      <c r="A41" s="11"/>
      <c r="B41" s="27" t="s">
        <v>293</v>
      </c>
      <c r="C41" s="27"/>
      <c r="D41" s="35">
        <f>+D37-D39</f>
        <v>0</v>
      </c>
      <c r="E41" s="15"/>
      <c r="F41" s="30">
        <f>IF(D$12=0,0,D41/D$12)</f>
        <v>0</v>
      </c>
      <c r="G41" s="15"/>
      <c r="H41" s="35">
        <f>+H37-H39</f>
        <v>-1829.6</v>
      </c>
      <c r="I41" s="15"/>
      <c r="J41" s="30">
        <f>IF(H$12=0,0,H41/H$12)</f>
        <v>0</v>
      </c>
      <c r="K41" s="16"/>
      <c r="L41" s="35">
        <f>D41-H41</f>
        <v>1829.6</v>
      </c>
      <c r="M41" s="16"/>
      <c r="N41" s="30">
        <f>IF(H41=0,0,L41/H41)</f>
        <v>-1</v>
      </c>
      <c r="O41" s="28"/>
      <c r="P41" s="35">
        <f>+P37-P39</f>
        <v>-372.9</v>
      </c>
      <c r="Q41" s="15"/>
      <c r="R41" s="30">
        <f>IF(P$12=0,0,P41/P$12)</f>
        <v>0</v>
      </c>
      <c r="S41" s="15"/>
      <c r="T41" s="35">
        <f>+T37-T39</f>
        <v>-18606.439999999999</v>
      </c>
      <c r="U41" s="15"/>
      <c r="V41" s="30">
        <f>IF(T$12=0,0,T41/T$12)</f>
        <v>-19.085289924198129</v>
      </c>
      <c r="W41" s="16"/>
      <c r="X41" s="35">
        <f>P41-T41</f>
        <v>18233.539999999997</v>
      </c>
      <c r="Y41" s="16"/>
      <c r="Z41" s="30">
        <f>IF(T41=0,0,X41/T41)</f>
        <v>-0.97995855198522652</v>
      </c>
    </row>
    <row r="42" spans="1:26" ht="15" customHeight="1" x14ac:dyDescent="0.25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ht="15" customHeight="1" x14ac:dyDescent="0.25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s="62" customFormat="1" ht="15" customHeight="1" x14ac:dyDescent="0.25">
      <c r="A44" s="11"/>
      <c r="B44" s="27" t="s">
        <v>296</v>
      </c>
      <c r="C44" s="27"/>
      <c r="D44" s="32">
        <f>SUM(D41:D43)</f>
        <v>0</v>
      </c>
      <c r="E44" s="15"/>
      <c r="F44" s="34">
        <f>IF(D$12=0,0,D44/D$12)</f>
        <v>0</v>
      </c>
      <c r="G44" s="15"/>
      <c r="H44" s="32">
        <f>SUM(H41:H43)</f>
        <v>-1829.6</v>
      </c>
      <c r="I44" s="15"/>
      <c r="J44" s="34">
        <f>IF(H$12=0,0,H44/H$12)</f>
        <v>0</v>
      </c>
      <c r="K44" s="16"/>
      <c r="L44" s="32">
        <f>+D44-H44</f>
        <v>1829.6</v>
      </c>
      <c r="M44" s="16"/>
      <c r="N44" s="34">
        <f>IF(H44=0,0,L44/H44)</f>
        <v>-1</v>
      </c>
      <c r="O44" s="28"/>
      <c r="P44" s="32">
        <f>SUM(P41:P43)</f>
        <v>-372.9</v>
      </c>
      <c r="Q44" s="15"/>
      <c r="R44" s="34">
        <f>IF(P$12=0,0,P44/P$12)</f>
        <v>0</v>
      </c>
      <c r="S44" s="15"/>
      <c r="T44" s="32">
        <f>SUM(T41:T43)</f>
        <v>-18606.439999999999</v>
      </c>
      <c r="U44" s="15"/>
      <c r="V44" s="34">
        <f>IF(T$12=0,0,T44/T$12)</f>
        <v>-19.085289924198129</v>
      </c>
      <c r="W44" s="16"/>
      <c r="X44" s="32">
        <f>+P44-T44</f>
        <v>18233.539999999997</v>
      </c>
      <c r="Y44" s="16"/>
      <c r="Z44" s="34">
        <f>IF(T44=0,0,X44/T44)</f>
        <v>-0.97995855198522652</v>
      </c>
    </row>
    <row r="45" spans="1:26" ht="15" customHeight="1" x14ac:dyDescent="0.25">
      <c r="A45" s="10"/>
      <c r="C45" s="10"/>
      <c r="D45" s="18"/>
      <c r="E45" s="18"/>
      <c r="G45" s="18"/>
      <c r="H45" s="18"/>
      <c r="I45" s="18"/>
      <c r="J45" s="41"/>
      <c r="K45" s="18"/>
      <c r="L45" s="18"/>
      <c r="M45" s="18"/>
      <c r="P45" s="18"/>
      <c r="Q45" s="18"/>
      <c r="R45" s="41"/>
      <c r="S45" s="18"/>
      <c r="T45" s="18"/>
      <c r="U45" s="18"/>
      <c r="V45" s="41"/>
      <c r="W45" s="18"/>
      <c r="X45" s="18"/>
    </row>
    <row r="46" spans="1:26" ht="15" customHeight="1" x14ac:dyDescent="0.25">
      <c r="A46" s="10"/>
      <c r="B46" s="50">
        <v>44727.879654085649</v>
      </c>
      <c r="D46" s="18"/>
      <c r="E46" s="18"/>
      <c r="G46" s="18"/>
      <c r="H46" s="18"/>
      <c r="I46" s="18"/>
      <c r="J46" s="41"/>
      <c r="K46" s="18"/>
      <c r="L46" s="18"/>
      <c r="M46" s="18"/>
      <c r="P46" s="18"/>
      <c r="Q46" s="18"/>
      <c r="R46" s="41"/>
      <c r="S46" s="18"/>
      <c r="T46" s="18"/>
      <c r="U46" s="18"/>
      <c r="V46" s="41"/>
      <c r="W46" s="18"/>
      <c r="X46" s="18"/>
    </row>
    <row r="47" spans="1:26" ht="15" customHeight="1" x14ac:dyDescent="0.25">
      <c r="A47" s="10"/>
      <c r="B47" s="53" t="s">
        <v>297</v>
      </c>
      <c r="D47" s="18"/>
      <c r="E47" s="18"/>
      <c r="G47" s="18"/>
      <c r="H47" s="18"/>
      <c r="I47" s="18"/>
      <c r="J47" s="41"/>
      <c r="K47" s="18"/>
      <c r="L47" s="18"/>
      <c r="M47" s="18"/>
      <c r="P47" s="18"/>
      <c r="Q47" s="18"/>
      <c r="R47" s="41"/>
      <c r="S47" s="18"/>
      <c r="T47" s="18"/>
      <c r="U47" s="18"/>
      <c r="V47" s="41"/>
      <c r="W47" s="18"/>
      <c r="X47" s="18"/>
    </row>
    <row r="48" spans="1:26" ht="15" customHeight="1" x14ac:dyDescent="0.25">
      <c r="A48" s="10"/>
      <c r="B48" s="55"/>
      <c r="D48" s="18"/>
      <c r="E48" s="18"/>
      <c r="G48" s="18"/>
      <c r="H48" s="18"/>
      <c r="I48" s="18"/>
      <c r="J48" s="41"/>
      <c r="K48" s="18"/>
      <c r="L48" s="18"/>
      <c r="M48" s="18"/>
      <c r="P48" s="18"/>
      <c r="Q48" s="18"/>
      <c r="R48" s="41"/>
      <c r="S48" s="18"/>
      <c r="T48" s="18"/>
      <c r="U48" s="18"/>
      <c r="V48" s="41"/>
      <c r="W48" s="18"/>
      <c r="X48" s="18"/>
    </row>
    <row r="49" spans="4:24" ht="15" customHeight="1" x14ac:dyDescent="0.25">
      <c r="D49" s="18"/>
      <c r="E49" s="18"/>
      <c r="G49" s="18"/>
      <c r="H49" s="18"/>
      <c r="I49" s="18"/>
      <c r="J49" s="41"/>
      <c r="K49" s="18"/>
      <c r="L49" s="18"/>
      <c r="M49" s="18"/>
      <c r="P49" s="18"/>
      <c r="Q49" s="18"/>
      <c r="R49" s="41"/>
      <c r="S49" s="18"/>
      <c r="T49" s="18"/>
      <c r="U49" s="18"/>
      <c r="V49" s="41"/>
      <c r="W49" s="18"/>
      <c r="X4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CB0E-87CE-987E-32F2-50B3F7EADE0B}">
  <sheetPr>
    <tabColor rgb="FF92D050"/>
    <outlinePr summaryBelow="0" summaryRight="0"/>
  </sheetPr>
  <dimension ref="A2:Z9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","415"," - ","Outpost")</f>
        <v>Department 415 - Outpost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45721.79</v>
      </c>
      <c r="E12" s="5"/>
      <c r="F12" s="13"/>
      <c r="G12" s="5"/>
      <c r="H12" s="5">
        <f>SUM(OSRRefH13x_0)</f>
        <v>13776.529999999999</v>
      </c>
      <c r="I12" s="5"/>
      <c r="J12" s="13"/>
      <c r="K12" s="5"/>
      <c r="L12" s="5">
        <f>+D12-H12</f>
        <v>31945.260000000002</v>
      </c>
      <c r="M12" s="5"/>
      <c r="N12" s="13">
        <f>IF(H12=0,0,L12/H12)</f>
        <v>2.3188175832375792</v>
      </c>
      <c r="O12" s="11"/>
      <c r="P12" s="5">
        <f>SUM(OSRRefP13x_0)</f>
        <v>811164.91999999993</v>
      </c>
      <c r="Q12" s="5"/>
      <c r="R12" s="13"/>
      <c r="S12" s="5"/>
      <c r="T12" s="5">
        <f>SUM(OSRRefT13x_0)</f>
        <v>77166.19</v>
      </c>
      <c r="U12" s="5"/>
      <c r="V12" s="13"/>
      <c r="W12" s="5"/>
      <c r="X12" s="5">
        <f>+P12-T12</f>
        <v>733998.73</v>
      </c>
      <c r="Y12" s="5"/>
      <c r="Z12" s="13">
        <f>IF(T12=0,0,X12/T12)</f>
        <v>9.5119213479374842</v>
      </c>
    </row>
    <row r="13" spans="1:26" s="69" customFormat="1" ht="15" hidden="1" customHeight="1" outlineLevel="1" x14ac:dyDescent="0.25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--20064.48</f>
        <v>20064.48</v>
      </c>
      <c r="E13" s="3"/>
      <c r="F13" s="20"/>
      <c r="G13" s="3"/>
      <c r="H13" s="3">
        <f>--7161.66</f>
        <v>7161.66</v>
      </c>
      <c r="I13" s="3"/>
      <c r="J13" s="20"/>
      <c r="K13" s="3"/>
      <c r="L13" s="3">
        <f>+D13-H13</f>
        <v>12902.82</v>
      </c>
      <c r="M13" s="3"/>
      <c r="N13" s="20">
        <f>IF(H13=0,0,L13/H13)</f>
        <v>1.8016521309305384</v>
      </c>
      <c r="O13" s="12"/>
      <c r="P13" s="3">
        <f>--281609.35</f>
        <v>281609.34999999998</v>
      </c>
      <c r="Q13" s="3"/>
      <c r="R13" s="20"/>
      <c r="S13" s="3"/>
      <c r="T13" s="3">
        <f>--39282.92</f>
        <v>39282.92</v>
      </c>
      <c r="U13" s="3"/>
      <c r="V13" s="20"/>
      <c r="W13" s="3"/>
      <c r="X13" s="3">
        <f>+P13-T13</f>
        <v>242326.43</v>
      </c>
      <c r="Y13" s="3"/>
      <c r="Z13" s="20">
        <f>IF(T13=0,0,X13/T13)</f>
        <v>6.1687478934865334</v>
      </c>
    </row>
    <row r="14" spans="1:26" s="69" customFormat="1" ht="15" hidden="1" customHeight="1" outlineLevel="1" x14ac:dyDescent="0.25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--25657.31</f>
        <v>25657.31</v>
      </c>
      <c r="E14" s="3"/>
      <c r="F14" s="20"/>
      <c r="G14" s="3"/>
      <c r="H14" s="3">
        <f>--6614.87</f>
        <v>6614.87</v>
      </c>
      <c r="I14" s="3"/>
      <c r="J14" s="20"/>
      <c r="K14" s="3"/>
      <c r="L14" s="3">
        <f>+D14-H14</f>
        <v>19042.440000000002</v>
      </c>
      <c r="M14" s="3"/>
      <c r="N14" s="20">
        <f>IF(H14=0,0,L14/H14)</f>
        <v>2.8787323106878899</v>
      </c>
      <c r="O14" s="12"/>
      <c r="P14" s="3">
        <f>--529555.57</f>
        <v>529555.56999999995</v>
      </c>
      <c r="Q14" s="3"/>
      <c r="R14" s="20"/>
      <c r="S14" s="3"/>
      <c r="T14" s="3">
        <f>--37883.27</f>
        <v>37883.269999999997</v>
      </c>
      <c r="U14" s="3"/>
      <c r="V14" s="20"/>
      <c r="W14" s="3"/>
      <c r="X14" s="3">
        <f>+P14-T14</f>
        <v>491672.29999999993</v>
      </c>
      <c r="Y14" s="3"/>
      <c r="Z14" s="20">
        <f>IF(T14=0,0,X14/T14)</f>
        <v>12.978612986682512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25">
      <c r="A16" s="11"/>
      <c r="B16" s="28" t="s">
        <v>287</v>
      </c>
      <c r="C16" s="11"/>
      <c r="D16" s="5">
        <f>SUM(OSRRefD16x_0)</f>
        <v>37800.980000000003</v>
      </c>
      <c r="E16" s="5"/>
      <c r="F16" s="13">
        <f>IF(D$12=0,0,D16/D$12)</f>
        <v>0.82676071956062969</v>
      </c>
      <c r="G16" s="5"/>
      <c r="H16" s="5">
        <f>SUM(OSRRefH16x_0)</f>
        <v>4243.1399999999994</v>
      </c>
      <c r="I16" s="5"/>
      <c r="J16" s="13">
        <f>IF(H$12=0,0,H16/H$12)</f>
        <v>0.30799773237527883</v>
      </c>
      <c r="K16" s="5"/>
      <c r="L16" s="5">
        <f>+D16-H16</f>
        <v>33557.840000000004</v>
      </c>
      <c r="M16" s="5"/>
      <c r="N16" s="13">
        <f>IF(H16=0,0,L16/H16)</f>
        <v>7.9087279703238655</v>
      </c>
      <c r="O16" s="11"/>
      <c r="P16" s="5">
        <f>SUM(OSRRefP16x_0)</f>
        <v>282151.15999999997</v>
      </c>
      <c r="Q16" s="5"/>
      <c r="R16" s="13">
        <f>IF(P$12=0,0,P16/P$12)</f>
        <v>0.34783451927383646</v>
      </c>
      <c r="S16" s="5"/>
      <c r="T16" s="5">
        <f>SUM(OSRRefT16x_0)</f>
        <v>29397.629999999997</v>
      </c>
      <c r="U16" s="5"/>
      <c r="V16" s="13">
        <f>IF(T$12=0,0,T16/T$12)</f>
        <v>0.38096516103749578</v>
      </c>
      <c r="W16" s="5"/>
      <c r="X16" s="5">
        <f>+P16-T16</f>
        <v>252753.52999999997</v>
      </c>
      <c r="Y16" s="5"/>
      <c r="Z16" s="13">
        <f>IF(T16=0,0,X16/T16)</f>
        <v>8.5977519276213759</v>
      </c>
    </row>
    <row r="17" spans="1:26" s="69" customFormat="1" ht="15" hidden="1" customHeight="1" outlineLevel="1" x14ac:dyDescent="0.25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27223.83</v>
      </c>
      <c r="E17" s="3"/>
      <c r="F17" s="20">
        <f>IF(D$12=0,0,D17/D$12)</f>
        <v>0.59542353875471632</v>
      </c>
      <c r="G17" s="3"/>
      <c r="H17" s="3">
        <v>3991.14</v>
      </c>
      <c r="I17" s="3"/>
      <c r="J17" s="20">
        <f>IF(H$12=0,0,H17/H$12)</f>
        <v>0.28970575319038977</v>
      </c>
      <c r="K17" s="3"/>
      <c r="L17" s="3">
        <f>+D17-H17</f>
        <v>23232.690000000002</v>
      </c>
      <c r="M17" s="3"/>
      <c r="N17" s="20">
        <f>IF(H17=0,0,L17/H17)</f>
        <v>5.8210661615478294</v>
      </c>
      <c r="O17" s="12"/>
      <c r="P17" s="3">
        <v>280578.98</v>
      </c>
      <c r="Q17" s="3"/>
      <c r="R17" s="20">
        <f>IF(P$12=0,0,P17/P$12)</f>
        <v>0.34589634374228118</v>
      </c>
      <c r="S17" s="3"/>
      <c r="T17" s="3">
        <v>23761.62</v>
      </c>
      <c r="U17" s="3"/>
      <c r="V17" s="20">
        <f>IF(T$12=0,0,T17/T$12)</f>
        <v>0.30792786322610977</v>
      </c>
      <c r="W17" s="3"/>
      <c r="X17" s="3">
        <f>+P17-T17</f>
        <v>256817.36</v>
      </c>
      <c r="Y17" s="3"/>
      <c r="Z17" s="20">
        <f>IF(T17=0,0,X17/T17)</f>
        <v>10.808074533638699</v>
      </c>
    </row>
    <row r="18" spans="1:26" s="69" customFormat="1" ht="15" hidden="1" customHeight="1" outlineLevel="1" x14ac:dyDescent="0.25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10577.15</v>
      </c>
      <c r="E18" s="3"/>
      <c r="F18" s="20">
        <f>IF(D$12=0,0,D18/D$12)</f>
        <v>0.23133718080591331</v>
      </c>
      <c r="G18" s="3"/>
      <c r="H18" s="3">
        <v>252</v>
      </c>
      <c r="I18" s="3"/>
      <c r="J18" s="20">
        <f>IF(H$12=0,0,H18/H$12)</f>
        <v>1.8291979184889083E-2</v>
      </c>
      <c r="K18" s="3"/>
      <c r="L18" s="3">
        <f>+D18-H18</f>
        <v>10325.15</v>
      </c>
      <c r="M18" s="3"/>
      <c r="N18" s="20">
        <f>IF(H18=0,0,L18/H18)</f>
        <v>40.972817460317458</v>
      </c>
      <c r="O18" s="12"/>
      <c r="P18" s="3">
        <v>1572.18</v>
      </c>
      <c r="Q18" s="3"/>
      <c r="R18" s="20">
        <f>IF(P$12=0,0,P18/P$12)</f>
        <v>1.9381755315552849E-3</v>
      </c>
      <c r="S18" s="3"/>
      <c r="T18" s="3">
        <v>5636.01</v>
      </c>
      <c r="U18" s="3"/>
      <c r="V18" s="20">
        <f>IF(T$12=0,0,T18/T$12)</f>
        <v>7.3037297811386043E-2</v>
      </c>
      <c r="W18" s="3"/>
      <c r="X18" s="3">
        <f>+P18-T18</f>
        <v>-4063.83</v>
      </c>
      <c r="Y18" s="3"/>
      <c r="Z18" s="20">
        <f>IF(T18=0,0,X18/T18)</f>
        <v>-0.72104733667967225</v>
      </c>
    </row>
    <row r="19" spans="1:26" ht="15" customHeight="1" x14ac:dyDescent="0.25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25">
      <c r="A20" s="11"/>
      <c r="B20" s="27" t="s">
        <v>288</v>
      </c>
      <c r="C20" s="27"/>
      <c r="D20" s="22">
        <f>D12-D16</f>
        <v>7920.8099999999977</v>
      </c>
      <c r="E20" s="15"/>
      <c r="F20" s="23">
        <f>IF(D$12=0,0,D20/D$12)</f>
        <v>0.17323928043937031</v>
      </c>
      <c r="G20" s="15"/>
      <c r="H20" s="22">
        <f>H12-H16</f>
        <v>9533.39</v>
      </c>
      <c r="I20" s="15"/>
      <c r="J20" s="23">
        <f>IF(H$12=0,0,H20/H$12)</f>
        <v>0.69200226762472117</v>
      </c>
      <c r="K20" s="16"/>
      <c r="L20" s="22">
        <f>+D20-H20</f>
        <v>-1612.5800000000017</v>
      </c>
      <c r="M20" s="16"/>
      <c r="N20" s="23">
        <f>IF(H20=0,0,L20/H20)</f>
        <v>-0.1691507428102702</v>
      </c>
      <c r="O20" s="28"/>
      <c r="P20" s="22">
        <f>P12-P16</f>
        <v>529013.76000000001</v>
      </c>
      <c r="Q20" s="15"/>
      <c r="R20" s="23">
        <f>IF(P$12=0,0,P20/P$12)</f>
        <v>0.65216548072616365</v>
      </c>
      <c r="S20" s="15"/>
      <c r="T20" s="22">
        <f>T12-T16</f>
        <v>47768.560000000005</v>
      </c>
      <c r="U20" s="15"/>
      <c r="V20" s="23">
        <f>IF(T$12=0,0,T20/T$12)</f>
        <v>0.61903483896250422</v>
      </c>
      <c r="W20" s="16"/>
      <c r="X20" s="22">
        <f>+P20-T20</f>
        <v>481245.2</v>
      </c>
      <c r="Y20" s="16"/>
      <c r="Z20" s="23">
        <f>IF(T20=0,0,X20/T20)</f>
        <v>10.074517632518123</v>
      </c>
    </row>
    <row r="21" spans="1:26" ht="15" customHeight="1" x14ac:dyDescent="0.25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25">
      <c r="A22" s="11"/>
      <c r="B22" s="28" t="s">
        <v>289</v>
      </c>
      <c r="C22" s="11"/>
      <c r="D22" s="21" cm="1">
        <f t="array" ref="D22">SUM(OSRRefD22x_0)</f>
        <v>74517.59</v>
      </c>
      <c r="E22" s="21"/>
      <c r="F22" s="31">
        <f t="shared" ref="F22:F53" si="0">IF(D$12=0,0,D22/D$12)</f>
        <v>1.6298047386158765</v>
      </c>
      <c r="G22" s="21"/>
      <c r="H22" s="21" cm="1">
        <f t="array" ref="H22">SUM(OSRRefH22x_0)</f>
        <v>61557.009999999987</v>
      </c>
      <c r="I22" s="21"/>
      <c r="J22" s="31">
        <f t="shared" ref="J22:J53" si="1">IF(H$12=0,0,H22/H$12)</f>
        <v>4.468252165095274</v>
      </c>
      <c r="K22" s="5"/>
      <c r="L22" s="21">
        <f t="shared" ref="L22:L53" si="2">+D22-H22</f>
        <v>12960.580000000009</v>
      </c>
      <c r="M22" s="5"/>
      <c r="N22" s="31">
        <f t="shared" ref="N22:N53" si="3">IF(H22=0,0,L22/H22)</f>
        <v>0.21054596381468191</v>
      </c>
      <c r="O22" s="11"/>
      <c r="P22" s="21" cm="1">
        <f t="array" ref="P22">SUM(OSRRefP22x_0)</f>
        <v>876282.48999999987</v>
      </c>
      <c r="Q22" s="21"/>
      <c r="R22" s="31">
        <f t="shared" ref="R22:R53" si="4">IF(P$12=0,0,P22/P$12)</f>
        <v>1.0802766100881187</v>
      </c>
      <c r="S22" s="21"/>
      <c r="T22" s="21" cm="1">
        <f t="array" ref="T22">SUM(OSRRefT22x_0)</f>
        <v>669077.43000000017</v>
      </c>
      <c r="U22" s="21"/>
      <c r="V22" s="31">
        <f t="shared" ref="V22:V53" si="5">IF(T$12=0,0,T22/T$12)</f>
        <v>8.670603408046972</v>
      </c>
      <c r="W22" s="5"/>
      <c r="X22" s="21">
        <f t="shared" ref="X22:X53" si="6">+P22-T22</f>
        <v>207205.05999999971</v>
      </c>
      <c r="Y22" s="5"/>
      <c r="Z22" s="31">
        <f t="shared" ref="Z22:Z53" si="7">IF(T22=0,0,X22/T22)</f>
        <v>0.30968771432029868</v>
      </c>
    </row>
    <row r="23" spans="1:26" s="68" customFormat="1" ht="15" customHeight="1" outlineLevel="1" collapsed="1" x14ac:dyDescent="0.25">
      <c r="A23" s="26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8845.7199999999993</v>
      </c>
      <c r="E23" s="2"/>
      <c r="F23" s="6">
        <f t="shared" si="0"/>
        <v>0.1934683659585506</v>
      </c>
      <c r="G23" s="2"/>
      <c r="H23" s="2">
        <f>SUM(OSRRefH22_0x_0)</f>
        <v>13574.920000000002</v>
      </c>
      <c r="I23" s="2"/>
      <c r="J23" s="6">
        <f t="shared" si="1"/>
        <v>0.98536569077989911</v>
      </c>
      <c r="K23" s="2"/>
      <c r="L23" s="2">
        <f t="shared" si="2"/>
        <v>-4729.2000000000025</v>
      </c>
      <c r="M23" s="2"/>
      <c r="N23" s="6">
        <f t="shared" si="3"/>
        <v>-0.3483777436625779</v>
      </c>
      <c r="O23" s="14"/>
      <c r="P23" s="2">
        <f>SUM(OSRRefP22_0x_0)</f>
        <v>136123.04999999999</v>
      </c>
      <c r="Q23" s="2"/>
      <c r="R23" s="6">
        <f t="shared" si="4"/>
        <v>0.16781180576694565</v>
      </c>
      <c r="S23" s="2"/>
      <c r="T23" s="2">
        <f>SUM(OSRRefT22_0x_0)</f>
        <v>149043.84000000003</v>
      </c>
      <c r="U23" s="2"/>
      <c r="V23" s="6">
        <f t="shared" si="5"/>
        <v>1.9314655809752952</v>
      </c>
      <c r="W23" s="2"/>
      <c r="X23" s="2">
        <f t="shared" si="6"/>
        <v>-12920.790000000037</v>
      </c>
      <c r="Y23" s="2"/>
      <c r="Z23" s="6">
        <f t="shared" si="7"/>
        <v>-8.6691204413413089E-2</v>
      </c>
    </row>
    <row r="24" spans="1:26" s="69" customFormat="1" ht="15" hidden="1" customHeight="1" outlineLevel="2" x14ac:dyDescent="0.25">
      <c r="A24" s="25"/>
      <c r="B24" s="12" t="str">
        <f>CONCATENATE("          ","6111"," - ","F.I.C.A.")</f>
        <v xml:space="preserve">          6111 - F.I.C.A.</v>
      </c>
      <c r="C24" s="12"/>
      <c r="D24" s="7">
        <v>1753.78</v>
      </c>
      <c r="E24" s="3"/>
      <c r="F24" s="8">
        <f t="shared" si="0"/>
        <v>3.8357640853518636E-2</v>
      </c>
      <c r="G24" s="3"/>
      <c r="H24" s="7">
        <v>1543.68</v>
      </c>
      <c r="I24" s="3"/>
      <c r="J24" s="8">
        <f t="shared" si="1"/>
        <v>0.11205143820686343</v>
      </c>
      <c r="K24" s="3"/>
      <c r="L24" s="7">
        <f t="shared" si="2"/>
        <v>210.09999999999991</v>
      </c>
      <c r="M24" s="3"/>
      <c r="N24" s="8">
        <f t="shared" si="3"/>
        <v>0.13610333747927025</v>
      </c>
      <c r="O24" s="12"/>
      <c r="P24" s="7">
        <v>20964.53</v>
      </c>
      <c r="Q24" s="3"/>
      <c r="R24" s="8">
        <f t="shared" si="4"/>
        <v>2.584496627393601E-2</v>
      </c>
      <c r="S24" s="3"/>
      <c r="T24" s="7">
        <v>17344.330000000002</v>
      </c>
      <c r="U24" s="3"/>
      <c r="V24" s="8">
        <f t="shared" si="5"/>
        <v>0.22476592404004916</v>
      </c>
      <c r="W24" s="3"/>
      <c r="X24" s="7">
        <f t="shared" si="6"/>
        <v>3620.1999999999971</v>
      </c>
      <c r="Y24" s="3"/>
      <c r="Z24" s="8">
        <f t="shared" si="7"/>
        <v>0.20872527217828515</v>
      </c>
    </row>
    <row r="25" spans="1:26" s="69" customFormat="1" ht="15" hidden="1" customHeight="1" outlineLevel="2" x14ac:dyDescent="0.25">
      <c r="A25" s="25"/>
      <c r="B25" s="12" t="str">
        <f>CONCATENATE("          ","6112"," - ","COMPENSATION INSURANCE")</f>
        <v xml:space="preserve">          6112 - COMPENSATION INSURANCE</v>
      </c>
      <c r="C25" s="12"/>
      <c r="D25" s="7">
        <v>1935.36</v>
      </c>
      <c r="E25" s="3"/>
      <c r="F25" s="8">
        <f t="shared" si="0"/>
        <v>4.232905142165256E-2</v>
      </c>
      <c r="G25" s="3"/>
      <c r="H25" s="7">
        <v>865.26</v>
      </c>
      <c r="I25" s="3"/>
      <c r="J25" s="8">
        <f t="shared" si="1"/>
        <v>6.2806817101258447E-2</v>
      </c>
      <c r="K25" s="3"/>
      <c r="L25" s="7">
        <f t="shared" si="2"/>
        <v>1070.0999999999999</v>
      </c>
      <c r="M25" s="3"/>
      <c r="N25" s="8">
        <f t="shared" si="3"/>
        <v>1.2367380902850009</v>
      </c>
      <c r="O25" s="12"/>
      <c r="P25" s="7">
        <v>12606.5</v>
      </c>
      <c r="Q25" s="3"/>
      <c r="R25" s="8">
        <f t="shared" si="4"/>
        <v>1.5541229273080499E-2</v>
      </c>
      <c r="S25" s="3"/>
      <c r="T25" s="7">
        <v>7365.94</v>
      </c>
      <c r="U25" s="3"/>
      <c r="V25" s="8">
        <f t="shared" si="5"/>
        <v>9.5455535643265518E-2</v>
      </c>
      <c r="W25" s="3"/>
      <c r="X25" s="7">
        <f t="shared" si="6"/>
        <v>5240.5600000000004</v>
      </c>
      <c r="Y25" s="3"/>
      <c r="Z25" s="8">
        <f t="shared" si="7"/>
        <v>0.71145841535499887</v>
      </c>
    </row>
    <row r="26" spans="1:26" s="69" customFormat="1" ht="15" hidden="1" customHeight="1" outlineLevel="2" x14ac:dyDescent="0.25">
      <c r="A26" s="25"/>
      <c r="B26" s="12" t="str">
        <f>CONCATENATE("          ","6113"," - ","GROUP INSURANCE")</f>
        <v xml:space="preserve">          6113 - GROUP INSURANCE</v>
      </c>
      <c r="C26" s="12"/>
      <c r="D26" s="7">
        <v>4330.21</v>
      </c>
      <c r="E26" s="3"/>
      <c r="F26" s="8">
        <f t="shared" si="0"/>
        <v>9.4707796873219535E-2</v>
      </c>
      <c r="G26" s="3"/>
      <c r="H26" s="7">
        <v>6634.06</v>
      </c>
      <c r="I26" s="3"/>
      <c r="J26" s="8">
        <f t="shared" si="1"/>
        <v>0.4815479659972432</v>
      </c>
      <c r="K26" s="3"/>
      <c r="L26" s="7">
        <f t="shared" si="2"/>
        <v>-2303.8500000000004</v>
      </c>
      <c r="M26" s="3"/>
      <c r="N26" s="8">
        <f t="shared" si="3"/>
        <v>-0.34727602704829325</v>
      </c>
      <c r="O26" s="12"/>
      <c r="P26" s="7">
        <v>64423.12</v>
      </c>
      <c r="Q26" s="3"/>
      <c r="R26" s="8">
        <f t="shared" si="4"/>
        <v>7.9420495649639294E-2</v>
      </c>
      <c r="S26" s="3"/>
      <c r="T26" s="7">
        <v>74101.69</v>
      </c>
      <c r="U26" s="3"/>
      <c r="V26" s="8">
        <f t="shared" si="5"/>
        <v>0.96028701170810693</v>
      </c>
      <c r="W26" s="3"/>
      <c r="X26" s="7">
        <f t="shared" si="6"/>
        <v>-9678.57</v>
      </c>
      <c r="Y26" s="3"/>
      <c r="Z26" s="8">
        <f t="shared" si="7"/>
        <v>-0.13061200088688935</v>
      </c>
    </row>
    <row r="27" spans="1:26" s="69" customFormat="1" ht="15" hidden="1" customHeight="1" outlineLevel="2" x14ac:dyDescent="0.25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7">
        <v>139.78</v>
      </c>
      <c r="E27" s="3"/>
      <c r="F27" s="8">
        <f t="shared" si="0"/>
        <v>3.0571856438691486E-3</v>
      </c>
      <c r="G27" s="3"/>
      <c r="H27" s="7">
        <v>74.930000000000007</v>
      </c>
      <c r="I27" s="3"/>
      <c r="J27" s="8">
        <f t="shared" si="1"/>
        <v>5.438960318744997E-3</v>
      </c>
      <c r="K27" s="3"/>
      <c r="L27" s="7">
        <f t="shared" si="2"/>
        <v>64.849999999999994</v>
      </c>
      <c r="M27" s="3"/>
      <c r="N27" s="8">
        <f t="shared" si="3"/>
        <v>0.86547444281329222</v>
      </c>
      <c r="O27" s="12"/>
      <c r="P27" s="7">
        <v>910.48</v>
      </c>
      <c r="Q27" s="3"/>
      <c r="R27" s="8">
        <f t="shared" si="4"/>
        <v>1.1224351270022871E-3</v>
      </c>
      <c r="S27" s="3"/>
      <c r="T27" s="7">
        <v>646.92999999999995</v>
      </c>
      <c r="U27" s="3"/>
      <c r="V27" s="8">
        <f t="shared" si="5"/>
        <v>8.3835939029774566E-3</v>
      </c>
      <c r="W27" s="3"/>
      <c r="X27" s="7">
        <f t="shared" si="6"/>
        <v>263.55000000000007</v>
      </c>
      <c r="Y27" s="3"/>
      <c r="Z27" s="8">
        <f t="shared" si="7"/>
        <v>0.40738565223439954</v>
      </c>
    </row>
    <row r="28" spans="1:26" s="69" customFormat="1" ht="15" hidden="1" customHeight="1" outlineLevel="2" x14ac:dyDescent="0.25">
      <c r="A28" s="25"/>
      <c r="B28" s="12" t="str">
        <f>CONCATENATE("          ","6115"," - ","P.E.R.S.")</f>
        <v xml:space="preserve">          6115 - P.E.R.S.</v>
      </c>
      <c r="C28" s="12"/>
      <c r="D28" s="7">
        <v>-199.33</v>
      </c>
      <c r="E28" s="3"/>
      <c r="F28" s="8">
        <f t="shared" si="0"/>
        <v>-4.3596280898013842E-3</v>
      </c>
      <c r="G28" s="3"/>
      <c r="H28" s="7">
        <v>1562.6</v>
      </c>
      <c r="I28" s="3"/>
      <c r="J28" s="8">
        <f t="shared" si="1"/>
        <v>0.11342478839010985</v>
      </c>
      <c r="K28" s="3"/>
      <c r="L28" s="7">
        <f t="shared" si="2"/>
        <v>-1761.9299999999998</v>
      </c>
      <c r="M28" s="3"/>
      <c r="N28" s="8">
        <f t="shared" si="3"/>
        <v>-1.1275630359656981</v>
      </c>
      <c r="O28" s="12"/>
      <c r="P28" s="7">
        <v>7130.78</v>
      </c>
      <c r="Q28" s="3"/>
      <c r="R28" s="8">
        <f t="shared" si="4"/>
        <v>8.7907894241777626E-3</v>
      </c>
      <c r="S28" s="3"/>
      <c r="T28" s="7">
        <v>17490.72</v>
      </c>
      <c r="U28" s="3"/>
      <c r="V28" s="8">
        <f t="shared" si="5"/>
        <v>0.2266629983934674</v>
      </c>
      <c r="W28" s="3"/>
      <c r="X28" s="7">
        <f t="shared" si="6"/>
        <v>-10359.940000000002</v>
      </c>
      <c r="Y28" s="3"/>
      <c r="Z28" s="8">
        <f t="shared" si="7"/>
        <v>-0.59231066531280596</v>
      </c>
    </row>
    <row r="29" spans="1:26" s="69" customFormat="1" ht="15" hidden="1" customHeight="1" outlineLevel="2" x14ac:dyDescent="0.25">
      <c r="A29" s="25"/>
      <c r="B29" s="12" t="str">
        <f>CONCATENATE("          ","6117"," - ","RETIREMENT STAFF HOURLY")</f>
        <v xml:space="preserve">          6117 - RETIREMENT STAFF HOURLY</v>
      </c>
      <c r="C29" s="12"/>
      <c r="D29" s="7">
        <v>89.33</v>
      </c>
      <c r="E29" s="3"/>
      <c r="F29" s="8">
        <f t="shared" si="0"/>
        <v>1.9537730259467094E-3</v>
      </c>
      <c r="G29" s="3"/>
      <c r="H29" s="7"/>
      <c r="I29" s="3"/>
      <c r="J29" s="8">
        <f t="shared" si="1"/>
        <v>0</v>
      </c>
      <c r="K29" s="3"/>
      <c r="L29" s="7">
        <f t="shared" si="2"/>
        <v>89.33</v>
      </c>
      <c r="M29" s="3"/>
      <c r="N29" s="8">
        <f t="shared" si="3"/>
        <v>0</v>
      </c>
      <c r="O29" s="12"/>
      <c r="P29" s="7">
        <v>282.25</v>
      </c>
      <c r="Q29" s="3"/>
      <c r="R29" s="8">
        <f t="shared" si="4"/>
        <v>3.4795636872462387E-4</v>
      </c>
      <c r="S29" s="3"/>
      <c r="T29" s="7"/>
      <c r="U29" s="3"/>
      <c r="V29" s="8">
        <f t="shared" si="5"/>
        <v>0</v>
      </c>
      <c r="W29" s="3"/>
      <c r="X29" s="7">
        <f t="shared" si="6"/>
        <v>282.25</v>
      </c>
      <c r="Y29" s="3"/>
      <c r="Z29" s="8">
        <f t="shared" si="7"/>
        <v>0</v>
      </c>
    </row>
    <row r="30" spans="1:26" s="69" customFormat="1" ht="15" hidden="1" customHeight="1" outlineLevel="2" x14ac:dyDescent="0.25">
      <c r="A30" s="25"/>
      <c r="B30" s="12" t="str">
        <f>CONCATENATE("          ","6118"," - ","VACATION")</f>
        <v xml:space="preserve">          6118 - VACATION</v>
      </c>
      <c r="C30" s="12"/>
      <c r="D30" s="7">
        <v>205.6</v>
      </c>
      <c r="E30" s="3"/>
      <c r="F30" s="8">
        <f t="shared" si="0"/>
        <v>4.4967618284410997E-3</v>
      </c>
      <c r="G30" s="3"/>
      <c r="H30" s="7">
        <v>1440.4</v>
      </c>
      <c r="I30" s="3"/>
      <c r="J30" s="8">
        <f t="shared" si="1"/>
        <v>0.10455463022981841</v>
      </c>
      <c r="K30" s="3"/>
      <c r="L30" s="7">
        <f t="shared" si="2"/>
        <v>-1234.8000000000002</v>
      </c>
      <c r="M30" s="3"/>
      <c r="N30" s="8">
        <f t="shared" si="3"/>
        <v>-0.85726187170230495</v>
      </c>
      <c r="O30" s="12"/>
      <c r="P30" s="7">
        <v>12096.98</v>
      </c>
      <c r="Q30" s="3"/>
      <c r="R30" s="8">
        <f t="shared" si="4"/>
        <v>1.491309560083047E-2</v>
      </c>
      <c r="S30" s="3"/>
      <c r="T30" s="7">
        <v>16699.28</v>
      </c>
      <c r="U30" s="3"/>
      <c r="V30" s="8">
        <f t="shared" si="5"/>
        <v>0.21640669313853642</v>
      </c>
      <c r="W30" s="3"/>
      <c r="X30" s="7">
        <f t="shared" si="6"/>
        <v>-4602.2999999999993</v>
      </c>
      <c r="Y30" s="3"/>
      <c r="Z30" s="8">
        <f t="shared" si="7"/>
        <v>-0.27559870844731027</v>
      </c>
    </row>
    <row r="31" spans="1:26" s="69" customFormat="1" ht="15" hidden="1" customHeight="1" outlineLevel="2" x14ac:dyDescent="0.25">
      <c r="A31" s="25"/>
      <c r="B31" s="12" t="str">
        <f>CONCATENATE("          ","6119"," - ","SICK LEAVE")</f>
        <v xml:space="preserve">          6119 - SICK LEAVE</v>
      </c>
      <c r="C31" s="12"/>
      <c r="D31" s="7">
        <v>164.58</v>
      </c>
      <c r="E31" s="3"/>
      <c r="F31" s="8">
        <f t="shared" si="0"/>
        <v>3.5995966037200206E-3</v>
      </c>
      <c r="G31" s="3"/>
      <c r="H31" s="7">
        <v>872.28</v>
      </c>
      <c r="I31" s="3"/>
      <c r="J31" s="8">
        <f t="shared" si="1"/>
        <v>6.3316379378551793E-2</v>
      </c>
      <c r="K31" s="3"/>
      <c r="L31" s="7">
        <f t="shared" si="2"/>
        <v>-707.69999999999993</v>
      </c>
      <c r="M31" s="3"/>
      <c r="N31" s="8">
        <f t="shared" si="3"/>
        <v>-0.81132205255193279</v>
      </c>
      <c r="O31" s="12"/>
      <c r="P31" s="7">
        <v>9950.7999999999993</v>
      </c>
      <c r="Q31" s="3"/>
      <c r="R31" s="8">
        <f t="shared" si="4"/>
        <v>1.2267295779999954E-2</v>
      </c>
      <c r="S31" s="3"/>
      <c r="T31" s="7">
        <v>10382.14</v>
      </c>
      <c r="U31" s="3"/>
      <c r="V31" s="8">
        <f t="shared" si="5"/>
        <v>0.13454260214220762</v>
      </c>
      <c r="W31" s="3"/>
      <c r="X31" s="7">
        <f t="shared" si="6"/>
        <v>-431.34000000000015</v>
      </c>
      <c r="Y31" s="3"/>
      <c r="Z31" s="8">
        <f t="shared" si="7"/>
        <v>-4.1546347862772046E-2</v>
      </c>
    </row>
    <row r="32" spans="1:26" s="69" customFormat="1" ht="15" hidden="1" customHeight="1" outlineLevel="2" x14ac:dyDescent="0.25">
      <c r="A32" s="25"/>
      <c r="B32" s="12" t="str">
        <f>CONCATENATE("          ","6156"," - ","EMPLOYEE MEALS")</f>
        <v xml:space="preserve">          6156 - EMPLOYEE MEALS</v>
      </c>
      <c r="C32" s="12"/>
      <c r="D32" s="7">
        <v>426.41</v>
      </c>
      <c r="E32" s="3"/>
      <c r="F32" s="8">
        <f t="shared" si="0"/>
        <v>9.3261877979842877E-3</v>
      </c>
      <c r="G32" s="3"/>
      <c r="H32" s="7">
        <v>581.71</v>
      </c>
      <c r="I32" s="3"/>
      <c r="J32" s="8">
        <f t="shared" si="1"/>
        <v>4.2224711157308852E-2</v>
      </c>
      <c r="K32" s="3"/>
      <c r="L32" s="7">
        <f t="shared" si="2"/>
        <v>-155.30000000000001</v>
      </c>
      <c r="M32" s="3"/>
      <c r="N32" s="8">
        <f t="shared" si="3"/>
        <v>-0.2669715150160733</v>
      </c>
      <c r="O32" s="12"/>
      <c r="P32" s="7">
        <v>7757.61</v>
      </c>
      <c r="Q32" s="3"/>
      <c r="R32" s="8">
        <f t="shared" si="4"/>
        <v>9.563542269554753E-3</v>
      </c>
      <c r="S32" s="3"/>
      <c r="T32" s="7">
        <v>5012.8100000000004</v>
      </c>
      <c r="U32" s="3"/>
      <c r="V32" s="8">
        <f t="shared" si="5"/>
        <v>6.4961222006684541E-2</v>
      </c>
      <c r="W32" s="3"/>
      <c r="X32" s="7">
        <f t="shared" si="6"/>
        <v>2744.7999999999993</v>
      </c>
      <c r="Y32" s="3"/>
      <c r="Z32" s="8">
        <f t="shared" si="7"/>
        <v>0.54755715855976972</v>
      </c>
    </row>
    <row r="33" spans="1:26" s="68" customFormat="1" ht="15" customHeight="1" outlineLevel="1" collapsed="1" x14ac:dyDescent="0.25">
      <c r="A33" s="26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22093.42</v>
      </c>
      <c r="E33" s="2"/>
      <c r="F33" s="6">
        <f t="shared" si="0"/>
        <v>0.48321423986243756</v>
      </c>
      <c r="G33" s="2"/>
      <c r="H33" s="2">
        <f>SUM(OSRRefH22_1x_0)</f>
        <v>18285.079999999998</v>
      </c>
      <c r="I33" s="2"/>
      <c r="J33" s="6">
        <f t="shared" si="1"/>
        <v>1.3272631061667923</v>
      </c>
      <c r="K33" s="2"/>
      <c r="L33" s="2">
        <f t="shared" si="2"/>
        <v>3808.34</v>
      </c>
      <c r="M33" s="2"/>
      <c r="N33" s="6">
        <f t="shared" si="3"/>
        <v>0.2082758183174479</v>
      </c>
      <c r="O33" s="14"/>
      <c r="P33" s="2">
        <f>SUM(OSRRefP22_1x_0)</f>
        <v>322200.19</v>
      </c>
      <c r="Q33" s="2"/>
      <c r="R33" s="6">
        <f t="shared" si="4"/>
        <v>0.39720676037124492</v>
      </c>
      <c r="S33" s="2"/>
      <c r="T33" s="2">
        <f>SUM(OSRRefT22_1x_0)</f>
        <v>191911.69</v>
      </c>
      <c r="U33" s="2"/>
      <c r="V33" s="6">
        <f t="shared" si="5"/>
        <v>2.4869919066886674</v>
      </c>
      <c r="W33" s="2"/>
      <c r="X33" s="2">
        <f t="shared" si="6"/>
        <v>130288.5</v>
      </c>
      <c r="Y33" s="2"/>
      <c r="Z33" s="6">
        <f t="shared" si="7"/>
        <v>0.67889819531056184</v>
      </c>
    </row>
    <row r="34" spans="1:26" s="69" customFormat="1" ht="15" hidden="1" customHeight="1" outlineLevel="2" x14ac:dyDescent="0.25">
      <c r="A34" s="25"/>
      <c r="B34" s="12" t="str">
        <f>CONCATENATE("          ","6002"," - ","STAFF SALARIES")</f>
        <v xml:space="preserve">          6002 - STAFF SALARIES</v>
      </c>
      <c r="C34" s="12"/>
      <c r="D34" s="7">
        <v>-2625.26</v>
      </c>
      <c r="E34" s="3"/>
      <c r="F34" s="8">
        <f t="shared" si="0"/>
        <v>-5.7418136953955659E-2</v>
      </c>
      <c r="G34" s="3"/>
      <c r="H34" s="7">
        <v>14361.06</v>
      </c>
      <c r="I34" s="3"/>
      <c r="J34" s="8">
        <f t="shared" si="1"/>
        <v>1.0424294071148541</v>
      </c>
      <c r="K34" s="3"/>
      <c r="L34" s="7">
        <f t="shared" si="2"/>
        <v>-16986.32</v>
      </c>
      <c r="M34" s="3"/>
      <c r="N34" s="8">
        <f t="shared" si="3"/>
        <v>-1.1828040548538896</v>
      </c>
      <c r="O34" s="12"/>
      <c r="P34" s="7">
        <v>76304.429999999993</v>
      </c>
      <c r="Q34" s="3"/>
      <c r="R34" s="8">
        <f t="shared" si="4"/>
        <v>9.406771436812135E-2</v>
      </c>
      <c r="S34" s="3"/>
      <c r="T34" s="7">
        <v>156344.57</v>
      </c>
      <c r="U34" s="3"/>
      <c r="V34" s="8">
        <f t="shared" si="5"/>
        <v>2.02607605740286</v>
      </c>
      <c r="W34" s="3"/>
      <c r="X34" s="7">
        <f t="shared" si="6"/>
        <v>-80040.140000000014</v>
      </c>
      <c r="Y34" s="3"/>
      <c r="Z34" s="8">
        <f t="shared" si="7"/>
        <v>-0.51194704107728217</v>
      </c>
    </row>
    <row r="35" spans="1:26" s="69" customFormat="1" ht="15" hidden="1" customHeight="1" outlineLevel="2" x14ac:dyDescent="0.25">
      <c r="A35" s="25"/>
      <c r="B35" s="12" t="str">
        <f>CONCATENATE("          ","6004"," - ","STAFF HOURLY")</f>
        <v xml:space="preserve">          6004 - STAFF HOURLY</v>
      </c>
      <c r="C35" s="12"/>
      <c r="D35" s="7">
        <v>4068.08</v>
      </c>
      <c r="E35" s="3"/>
      <c r="F35" s="8">
        <f t="shared" si="0"/>
        <v>8.8974644256053836E-2</v>
      </c>
      <c r="G35" s="3"/>
      <c r="H35" s="7">
        <v>2883.67</v>
      </c>
      <c r="I35" s="3"/>
      <c r="J35" s="8">
        <f t="shared" si="1"/>
        <v>0.20931758577813139</v>
      </c>
      <c r="K35" s="3"/>
      <c r="L35" s="7">
        <f t="shared" si="2"/>
        <v>1184.4099999999999</v>
      </c>
      <c r="M35" s="3"/>
      <c r="N35" s="8">
        <f t="shared" si="3"/>
        <v>0.4107300766037722</v>
      </c>
      <c r="O35" s="12"/>
      <c r="P35" s="7">
        <v>74843.520000000004</v>
      </c>
      <c r="Q35" s="3"/>
      <c r="R35" s="8">
        <f t="shared" si="4"/>
        <v>9.2266711928321574E-2</v>
      </c>
      <c r="S35" s="3"/>
      <c r="T35" s="7">
        <v>31393.03</v>
      </c>
      <c r="U35" s="3"/>
      <c r="V35" s="8">
        <f t="shared" si="5"/>
        <v>0.40682363610280614</v>
      </c>
      <c r="W35" s="3"/>
      <c r="X35" s="7">
        <f t="shared" si="6"/>
        <v>43450.490000000005</v>
      </c>
      <c r="Y35" s="3"/>
      <c r="Z35" s="8">
        <f t="shared" si="7"/>
        <v>1.3840807975528329</v>
      </c>
    </row>
    <row r="36" spans="1:26" s="69" customFormat="1" ht="15" hidden="1" customHeight="1" outlineLevel="2" x14ac:dyDescent="0.25">
      <c r="A36" s="25"/>
      <c r="B36" s="12" t="str">
        <f>CONCATENATE("          ","6005"," - ","TEMPORARY WAGES-HOURLY")</f>
        <v xml:space="preserve">          6005 - TEMPORARY WAGES-HOURLY</v>
      </c>
      <c r="C36" s="12"/>
      <c r="D36" s="7">
        <v>11414.84</v>
      </c>
      <c r="E36" s="3"/>
      <c r="F36" s="8">
        <f t="shared" si="0"/>
        <v>0.24965864197355353</v>
      </c>
      <c r="G36" s="3"/>
      <c r="H36" s="7">
        <v>1040.3499999999999</v>
      </c>
      <c r="I36" s="3"/>
      <c r="J36" s="8">
        <f t="shared" si="1"/>
        <v>7.5516113273806973E-2</v>
      </c>
      <c r="K36" s="3"/>
      <c r="L36" s="7">
        <f t="shared" si="2"/>
        <v>10374.49</v>
      </c>
      <c r="M36" s="3"/>
      <c r="N36" s="8">
        <f t="shared" si="3"/>
        <v>9.9721151535540926</v>
      </c>
      <c r="O36" s="12"/>
      <c r="P36" s="7">
        <v>95059.87</v>
      </c>
      <c r="Q36" s="3"/>
      <c r="R36" s="8">
        <f t="shared" si="4"/>
        <v>0.11718932569224025</v>
      </c>
      <c r="S36" s="3"/>
      <c r="T36" s="7">
        <v>4026.4</v>
      </c>
      <c r="U36" s="3"/>
      <c r="V36" s="8">
        <f t="shared" si="5"/>
        <v>5.2178292073251253E-2</v>
      </c>
      <c r="W36" s="3"/>
      <c r="X36" s="7">
        <f t="shared" si="6"/>
        <v>91033.47</v>
      </c>
      <c r="Y36" s="3"/>
      <c r="Z36" s="8">
        <f t="shared" si="7"/>
        <v>22.609147128948937</v>
      </c>
    </row>
    <row r="37" spans="1:26" s="69" customFormat="1" ht="15" hidden="1" customHeight="1" outlineLevel="2" x14ac:dyDescent="0.25">
      <c r="A37" s="25"/>
      <c r="B37" s="12" t="str">
        <f>CONCATENATE("          ","6007"," - ","STUDENT HOURLY")</f>
        <v xml:space="preserve">          6007 - STUDENT HOURLY</v>
      </c>
      <c r="C37" s="12"/>
      <c r="D37" s="7">
        <v>7023.32</v>
      </c>
      <c r="E37" s="3"/>
      <c r="F37" s="8">
        <f t="shared" si="0"/>
        <v>0.15360990897338009</v>
      </c>
      <c r="G37" s="3"/>
      <c r="H37" s="7"/>
      <c r="I37" s="3"/>
      <c r="J37" s="8">
        <f t="shared" si="1"/>
        <v>0</v>
      </c>
      <c r="K37" s="3"/>
      <c r="L37" s="7">
        <f t="shared" si="2"/>
        <v>7023.32</v>
      </c>
      <c r="M37" s="3"/>
      <c r="N37" s="8">
        <f t="shared" si="3"/>
        <v>0</v>
      </c>
      <c r="O37" s="12"/>
      <c r="P37" s="7">
        <v>66723</v>
      </c>
      <c r="Q37" s="3"/>
      <c r="R37" s="8">
        <f t="shared" si="4"/>
        <v>8.2255776051064933E-2</v>
      </c>
      <c r="S37" s="3"/>
      <c r="T37" s="7">
        <v>147.69</v>
      </c>
      <c r="U37" s="3"/>
      <c r="V37" s="8">
        <f t="shared" si="5"/>
        <v>1.9139211097502675E-3</v>
      </c>
      <c r="W37" s="3"/>
      <c r="X37" s="7">
        <f t="shared" si="6"/>
        <v>66575.31</v>
      </c>
      <c r="Y37" s="3"/>
      <c r="Z37" s="8">
        <f t="shared" si="7"/>
        <v>450.77737152143004</v>
      </c>
    </row>
    <row r="38" spans="1:26" s="69" customFormat="1" ht="15" hidden="1" customHeight="1" outlineLevel="2" x14ac:dyDescent="0.25">
      <c r="A38" s="25"/>
      <c r="B38" s="12" t="str">
        <f>CONCATENATE("          ","6008"," - ","STUDENT HOURLY-FICA EXEMPT")</f>
        <v xml:space="preserve">          6008 - STUDENT HOURLY-FICA EXEMPT</v>
      </c>
      <c r="C38" s="12"/>
      <c r="D38" s="7">
        <v>2212.44</v>
      </c>
      <c r="E38" s="3"/>
      <c r="F38" s="8">
        <f t="shared" si="0"/>
        <v>4.8389181613405774E-2</v>
      </c>
      <c r="G38" s="3"/>
      <c r="H38" s="7"/>
      <c r="I38" s="3"/>
      <c r="J38" s="8">
        <f t="shared" si="1"/>
        <v>0</v>
      </c>
      <c r="K38" s="3"/>
      <c r="L38" s="7">
        <f t="shared" si="2"/>
        <v>2212.44</v>
      </c>
      <c r="M38" s="3"/>
      <c r="N38" s="8">
        <f t="shared" si="3"/>
        <v>0</v>
      </c>
      <c r="O38" s="12"/>
      <c r="P38" s="7">
        <v>9269.3700000000008</v>
      </c>
      <c r="Q38" s="3"/>
      <c r="R38" s="8">
        <f t="shared" si="4"/>
        <v>1.1427232331496784E-2</v>
      </c>
      <c r="S38" s="3"/>
      <c r="T38" s="7"/>
      <c r="U38" s="3"/>
      <c r="V38" s="8">
        <f t="shared" si="5"/>
        <v>0</v>
      </c>
      <c r="W38" s="3"/>
      <c r="X38" s="7">
        <f t="shared" si="6"/>
        <v>9269.3700000000008</v>
      </c>
      <c r="Y38" s="3"/>
      <c r="Z38" s="8">
        <f t="shared" si="7"/>
        <v>0</v>
      </c>
    </row>
    <row r="39" spans="1:26" s="68" customFormat="1" ht="15" customHeight="1" outlineLevel="1" collapsed="1" x14ac:dyDescent="0.25">
      <c r="A39" s="26"/>
      <c r="B39" s="14" t="str">
        <f>CONCATENATE("     ","Advertising/Promo                                 ")</f>
        <v xml:space="preserve">     Advertising/Promo                                 </v>
      </c>
      <c r="C39" s="14"/>
      <c r="D39" s="2">
        <f>SUM(OSRRefD22_2x_0)</f>
        <v>43.35</v>
      </c>
      <c r="E39" s="2"/>
      <c r="F39" s="6">
        <f t="shared" si="0"/>
        <v>9.4812560925545562E-4</v>
      </c>
      <c r="G39" s="2"/>
      <c r="H39" s="2">
        <f>SUM(OSRRefH22_2x_0)</f>
        <v>6.3</v>
      </c>
      <c r="I39" s="2"/>
      <c r="J39" s="6">
        <f t="shared" si="1"/>
        <v>4.5729947962222712E-4</v>
      </c>
      <c r="K39" s="2"/>
      <c r="L39" s="2">
        <f t="shared" si="2"/>
        <v>37.050000000000004</v>
      </c>
      <c r="M39" s="2"/>
      <c r="N39" s="6">
        <f t="shared" si="3"/>
        <v>5.8809523809523814</v>
      </c>
      <c r="O39" s="14"/>
      <c r="P39" s="2">
        <f>SUM(OSRRefP22_2x_0)</f>
        <v>1615.16</v>
      </c>
      <c r="Q39" s="2"/>
      <c r="R39" s="6">
        <f t="shared" si="4"/>
        <v>1.991161057605894E-3</v>
      </c>
      <c r="S39" s="2"/>
      <c r="T39" s="2">
        <f>SUM(OSRRefT22_2x_0)</f>
        <v>300.07</v>
      </c>
      <c r="U39" s="2"/>
      <c r="V39" s="6">
        <f t="shared" si="5"/>
        <v>3.8886201327291135E-3</v>
      </c>
      <c r="W39" s="2"/>
      <c r="X39" s="2">
        <f t="shared" si="6"/>
        <v>1315.0900000000001</v>
      </c>
      <c r="Y39" s="2"/>
      <c r="Z39" s="6">
        <f t="shared" si="7"/>
        <v>4.3826107241643619</v>
      </c>
    </row>
    <row r="40" spans="1:26" s="69" customFormat="1" ht="15" hidden="1" customHeight="1" outlineLevel="2" x14ac:dyDescent="0.25">
      <c r="A40" s="25"/>
      <c r="B40" s="12" t="str">
        <f>CONCATENATE("          ","6362"," - ","ADVERTISING EXPENSE")</f>
        <v xml:space="preserve">          6362 - ADVERTISING EXPENSE</v>
      </c>
      <c r="C40" s="12"/>
      <c r="D40" s="7">
        <v>43.35</v>
      </c>
      <c r="E40" s="3"/>
      <c r="F40" s="8">
        <f t="shared" si="0"/>
        <v>9.4812560925545562E-4</v>
      </c>
      <c r="G40" s="3"/>
      <c r="H40" s="7">
        <v>6.3</v>
      </c>
      <c r="I40" s="3"/>
      <c r="J40" s="8">
        <f t="shared" si="1"/>
        <v>4.5729947962222712E-4</v>
      </c>
      <c r="K40" s="3"/>
      <c r="L40" s="7">
        <f t="shared" si="2"/>
        <v>37.050000000000004</v>
      </c>
      <c r="M40" s="3"/>
      <c r="N40" s="8">
        <f t="shared" si="3"/>
        <v>5.8809523809523814</v>
      </c>
      <c r="O40" s="12"/>
      <c r="P40" s="7">
        <v>1615.16</v>
      </c>
      <c r="Q40" s="3"/>
      <c r="R40" s="8">
        <f t="shared" si="4"/>
        <v>1.991161057605894E-3</v>
      </c>
      <c r="S40" s="3"/>
      <c r="T40" s="7">
        <v>300.07</v>
      </c>
      <c r="U40" s="3"/>
      <c r="V40" s="8">
        <f t="shared" si="5"/>
        <v>3.8886201327291135E-3</v>
      </c>
      <c r="W40" s="3"/>
      <c r="X40" s="7">
        <f t="shared" si="6"/>
        <v>1315.0900000000001</v>
      </c>
      <c r="Y40" s="3"/>
      <c r="Z40" s="8">
        <f t="shared" si="7"/>
        <v>4.3826107241643619</v>
      </c>
    </row>
    <row r="41" spans="1:26" s="68" customFormat="1" ht="15" customHeight="1" outlineLevel="1" collapsed="1" x14ac:dyDescent="0.25">
      <c r="A41" s="26"/>
      <c r="B41" s="14" t="str">
        <f>CONCATENATE("     ","Bad Debts/Over/Short                              ")</f>
        <v xml:space="preserve">     Bad Debts/Over/Short                              </v>
      </c>
      <c r="C41" s="14"/>
      <c r="D41" s="2">
        <f>SUM(OSRRefD22_3x_0)</f>
        <v>-4.49</v>
      </c>
      <c r="E41" s="2"/>
      <c r="F41" s="6">
        <f t="shared" si="0"/>
        <v>-9.8202629424613524E-5</v>
      </c>
      <c r="G41" s="2"/>
      <c r="H41" s="2">
        <f>SUM(OSRRefH22_3x_0)</f>
        <v>7.22</v>
      </c>
      <c r="I41" s="2"/>
      <c r="J41" s="6">
        <f t="shared" si="1"/>
        <v>5.2407972109086974E-4</v>
      </c>
      <c r="K41" s="2"/>
      <c r="L41" s="2">
        <f t="shared" si="2"/>
        <v>-11.71</v>
      </c>
      <c r="M41" s="2"/>
      <c r="N41" s="6">
        <f t="shared" si="3"/>
        <v>-1.6218836565096955</v>
      </c>
      <c r="O41" s="14"/>
      <c r="P41" s="2">
        <f>SUM(OSRRefP22_3x_0)</f>
        <v>-8.0399999999999991</v>
      </c>
      <c r="Q41" s="2"/>
      <c r="R41" s="6">
        <f t="shared" si="4"/>
        <v>-9.911671229569445E-6</v>
      </c>
      <c r="S41" s="2"/>
      <c r="T41" s="2">
        <f>SUM(OSRRefT22_3x_0)</f>
        <v>16.2</v>
      </c>
      <c r="U41" s="2"/>
      <c r="V41" s="6">
        <f t="shared" si="5"/>
        <v>2.0993650198357594E-4</v>
      </c>
      <c r="W41" s="2"/>
      <c r="X41" s="2">
        <f t="shared" si="6"/>
        <v>-24.24</v>
      </c>
      <c r="Y41" s="2"/>
      <c r="Z41" s="6">
        <f t="shared" si="7"/>
        <v>-1.4962962962962962</v>
      </c>
    </row>
    <row r="42" spans="1:26" s="69" customFormat="1" ht="15" hidden="1" customHeight="1" outlineLevel="2" x14ac:dyDescent="0.25">
      <c r="A42" s="25"/>
      <c r="B42" s="12" t="str">
        <f>CONCATENATE("          ","6272"," - ","CASH (OVER/SHORT)")</f>
        <v xml:space="preserve">          6272 - CASH (OVER/SHORT)</v>
      </c>
      <c r="C42" s="12"/>
      <c r="D42" s="7">
        <v>-4.49</v>
      </c>
      <c r="E42" s="3"/>
      <c r="F42" s="8">
        <f t="shared" si="0"/>
        <v>-9.8202629424613524E-5</v>
      </c>
      <c r="G42" s="3"/>
      <c r="H42" s="7">
        <v>7.22</v>
      </c>
      <c r="I42" s="3"/>
      <c r="J42" s="8">
        <f t="shared" si="1"/>
        <v>5.2407972109086974E-4</v>
      </c>
      <c r="K42" s="3"/>
      <c r="L42" s="7">
        <f t="shared" si="2"/>
        <v>-11.71</v>
      </c>
      <c r="M42" s="3"/>
      <c r="N42" s="8">
        <f t="shared" si="3"/>
        <v>-1.6218836565096955</v>
      </c>
      <c r="O42" s="12"/>
      <c r="P42" s="7">
        <v>-8.0399999999999991</v>
      </c>
      <c r="Q42" s="3"/>
      <c r="R42" s="8">
        <f t="shared" si="4"/>
        <v>-9.911671229569445E-6</v>
      </c>
      <c r="S42" s="3"/>
      <c r="T42" s="7">
        <v>16.2</v>
      </c>
      <c r="U42" s="3"/>
      <c r="V42" s="8">
        <f t="shared" si="5"/>
        <v>2.0993650198357594E-4</v>
      </c>
      <c r="W42" s="3"/>
      <c r="X42" s="7">
        <f t="shared" si="6"/>
        <v>-24.24</v>
      </c>
      <c r="Y42" s="3"/>
      <c r="Z42" s="8">
        <f t="shared" si="7"/>
        <v>-1.4962962962962962</v>
      </c>
    </row>
    <row r="43" spans="1:26" s="68" customFormat="1" ht="15" customHeight="1" outlineLevel="1" collapsed="1" x14ac:dyDescent="0.25">
      <c r="A43" s="26"/>
      <c r="B43" s="14" t="str">
        <f>CONCATENATE("     ","Bank/card Fees                                    ")</f>
        <v xml:space="preserve">     Bank/card Fees                                    </v>
      </c>
      <c r="C43" s="14"/>
      <c r="D43" s="2">
        <f>SUM(OSRRefD22_4x_0)</f>
        <v>4414.9799999999996</v>
      </c>
      <c r="E43" s="2"/>
      <c r="F43" s="6">
        <f t="shared" si="0"/>
        <v>9.6561836271064613E-2</v>
      </c>
      <c r="G43" s="2"/>
      <c r="H43" s="2">
        <f>SUM(OSRRefH22_4x_0)</f>
        <v>449.17</v>
      </c>
      <c r="I43" s="2"/>
      <c r="J43" s="6">
        <f t="shared" si="1"/>
        <v>3.2604001152685039E-2</v>
      </c>
      <c r="K43" s="2"/>
      <c r="L43" s="2">
        <f t="shared" si="2"/>
        <v>3965.8099999999995</v>
      </c>
      <c r="M43" s="2"/>
      <c r="N43" s="6">
        <f t="shared" si="3"/>
        <v>8.8291960727564156</v>
      </c>
      <c r="O43" s="14"/>
      <c r="P43" s="2">
        <f>SUM(OSRRefP22_4x_0)</f>
        <v>26863.29</v>
      </c>
      <c r="Q43" s="2"/>
      <c r="R43" s="6">
        <f t="shared" si="4"/>
        <v>3.3116927689624452E-2</v>
      </c>
      <c r="S43" s="2"/>
      <c r="T43" s="2">
        <f>SUM(OSRRefT22_4x_0)</f>
        <v>2398.91</v>
      </c>
      <c r="U43" s="2"/>
      <c r="V43" s="6">
        <f t="shared" si="5"/>
        <v>3.1087578640334578E-2</v>
      </c>
      <c r="W43" s="2"/>
      <c r="X43" s="2">
        <f t="shared" si="6"/>
        <v>24464.38</v>
      </c>
      <c r="Y43" s="2"/>
      <c r="Z43" s="6">
        <f t="shared" si="7"/>
        <v>10.198123314338597</v>
      </c>
    </row>
    <row r="44" spans="1:26" s="69" customFormat="1" ht="15" hidden="1" customHeight="1" outlineLevel="2" x14ac:dyDescent="0.25">
      <c r="A44" s="25"/>
      <c r="B44" s="12" t="str">
        <f>CONCATENATE("          ","6381"," - ","BANK/CREDIT CARD FEES")</f>
        <v xml:space="preserve">          6381 - BANK/CREDIT CARD FEES</v>
      </c>
      <c r="C44" s="12"/>
      <c r="D44" s="7">
        <v>4414.9799999999996</v>
      </c>
      <c r="E44" s="3"/>
      <c r="F44" s="8">
        <f t="shared" si="0"/>
        <v>9.6561836271064613E-2</v>
      </c>
      <c r="G44" s="3"/>
      <c r="H44" s="7">
        <v>449.17</v>
      </c>
      <c r="I44" s="3"/>
      <c r="J44" s="8">
        <f t="shared" si="1"/>
        <v>3.2604001152685039E-2</v>
      </c>
      <c r="K44" s="3"/>
      <c r="L44" s="7">
        <f t="shared" si="2"/>
        <v>3965.8099999999995</v>
      </c>
      <c r="M44" s="3"/>
      <c r="N44" s="8">
        <f t="shared" si="3"/>
        <v>8.8291960727564156</v>
      </c>
      <c r="O44" s="12"/>
      <c r="P44" s="7">
        <v>26863.29</v>
      </c>
      <c r="Q44" s="3"/>
      <c r="R44" s="8">
        <f t="shared" si="4"/>
        <v>3.3116927689624452E-2</v>
      </c>
      <c r="S44" s="3"/>
      <c r="T44" s="7">
        <v>2398.91</v>
      </c>
      <c r="U44" s="3"/>
      <c r="V44" s="8">
        <f t="shared" si="5"/>
        <v>3.1087578640334578E-2</v>
      </c>
      <c r="W44" s="3"/>
      <c r="X44" s="7">
        <f t="shared" si="6"/>
        <v>24464.38</v>
      </c>
      <c r="Y44" s="3"/>
      <c r="Z44" s="8">
        <f t="shared" si="7"/>
        <v>10.198123314338597</v>
      </c>
    </row>
    <row r="45" spans="1:26" s="68" customFormat="1" ht="15" customHeight="1" outlineLevel="1" collapsed="1" x14ac:dyDescent="0.25">
      <c r="A45" s="26"/>
      <c r="B45" s="14" t="str">
        <f>CONCATENATE("     ","Depreciation                                      ")</f>
        <v xml:space="preserve">     Depreciation                                      </v>
      </c>
      <c r="C45" s="14"/>
      <c r="D45" s="2">
        <f>SUM(OSRRefD22_5x_0)</f>
        <v>14275.04</v>
      </c>
      <c r="E45" s="2"/>
      <c r="F45" s="6">
        <f t="shared" si="0"/>
        <v>0.31221524791570937</v>
      </c>
      <c r="G45" s="2"/>
      <c r="H45" s="2">
        <f>SUM(OSRRefH22_5x_0)</f>
        <v>13902.32</v>
      </c>
      <c r="I45" s="2"/>
      <c r="J45" s="6">
        <f t="shared" si="1"/>
        <v>1.0091307462764572</v>
      </c>
      <c r="K45" s="2"/>
      <c r="L45" s="2">
        <f t="shared" si="2"/>
        <v>372.72000000000116</v>
      </c>
      <c r="M45" s="2"/>
      <c r="N45" s="6">
        <f t="shared" si="3"/>
        <v>2.6809913741015972E-2</v>
      </c>
      <c r="O45" s="14"/>
      <c r="P45" s="2">
        <f>SUM(OSRRefP22_5x_0)</f>
        <v>154577.9</v>
      </c>
      <c r="Q45" s="2"/>
      <c r="R45" s="6">
        <f t="shared" si="4"/>
        <v>0.19056285126334113</v>
      </c>
      <c r="S45" s="2"/>
      <c r="T45" s="2">
        <f>SUM(OSRRefT22_5x_0)</f>
        <v>152890.79999999999</v>
      </c>
      <c r="U45" s="2"/>
      <c r="V45" s="6">
        <f t="shared" si="5"/>
        <v>1.9813185023129947</v>
      </c>
      <c r="W45" s="2"/>
      <c r="X45" s="2">
        <f t="shared" si="6"/>
        <v>1687.1000000000058</v>
      </c>
      <c r="Y45" s="2"/>
      <c r="Z45" s="6">
        <f t="shared" si="7"/>
        <v>1.1034673113097753E-2</v>
      </c>
    </row>
    <row r="46" spans="1:26" s="69" customFormat="1" ht="15" hidden="1" customHeight="1" outlineLevel="2" x14ac:dyDescent="0.25">
      <c r="A46" s="25"/>
      <c r="B46" s="12" t="str">
        <f>CONCATENATE("          ","6321"," - ","BUILDING DEPRECIATION")</f>
        <v xml:space="preserve">          6321 - BUILDING DEPRECIATION</v>
      </c>
      <c r="C46" s="12"/>
      <c r="D46" s="7">
        <v>10597.26</v>
      </c>
      <c r="E46" s="3"/>
      <c r="F46" s="8">
        <f t="shared" si="0"/>
        <v>0.2317770148544053</v>
      </c>
      <c r="G46" s="3"/>
      <c r="H46" s="7">
        <v>10597.26</v>
      </c>
      <c r="I46" s="3"/>
      <c r="J46" s="8">
        <f t="shared" si="1"/>
        <v>0.76922563228911789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116569.86</v>
      </c>
      <c r="Q46" s="3"/>
      <c r="R46" s="8">
        <f t="shared" si="4"/>
        <v>0.14370673228817638</v>
      </c>
      <c r="S46" s="3"/>
      <c r="T46" s="7">
        <v>116569.86</v>
      </c>
      <c r="U46" s="3"/>
      <c r="V46" s="8">
        <f t="shared" si="5"/>
        <v>1.510633866982418</v>
      </c>
      <c r="W46" s="3"/>
      <c r="X46" s="7">
        <f t="shared" si="6"/>
        <v>0</v>
      </c>
      <c r="Y46" s="3"/>
      <c r="Z46" s="8">
        <f t="shared" si="7"/>
        <v>0</v>
      </c>
    </row>
    <row r="47" spans="1:26" s="69" customFormat="1" ht="15" hidden="1" customHeight="1" outlineLevel="2" x14ac:dyDescent="0.25">
      <c r="A47" s="25"/>
      <c r="B47" s="12" t="str">
        <f>CONCATENATE("          ","6322"," - ","EQUIPMENT DEPRECIATION EXPENSE")</f>
        <v xml:space="preserve">          6322 - EQUIPMENT DEPRECIATION EXPENSE</v>
      </c>
      <c r="C47" s="12"/>
      <c r="D47" s="7">
        <v>3677.78</v>
      </c>
      <c r="E47" s="3"/>
      <c r="F47" s="8">
        <f t="shared" si="0"/>
        <v>8.0438233061304029E-2</v>
      </c>
      <c r="G47" s="3"/>
      <c r="H47" s="7">
        <v>3305.06</v>
      </c>
      <c r="I47" s="3"/>
      <c r="J47" s="8">
        <f t="shared" si="1"/>
        <v>0.23990511398733935</v>
      </c>
      <c r="K47" s="3"/>
      <c r="L47" s="7">
        <f t="shared" si="2"/>
        <v>372.72000000000025</v>
      </c>
      <c r="M47" s="3"/>
      <c r="N47" s="8">
        <f t="shared" si="3"/>
        <v>0.11277253665591555</v>
      </c>
      <c r="O47" s="12"/>
      <c r="P47" s="7">
        <v>38008.04</v>
      </c>
      <c r="Q47" s="3"/>
      <c r="R47" s="8">
        <f t="shared" si="4"/>
        <v>4.6856118975164757E-2</v>
      </c>
      <c r="S47" s="3"/>
      <c r="T47" s="7">
        <v>36320.94</v>
      </c>
      <c r="U47" s="3"/>
      <c r="V47" s="8">
        <f t="shared" si="5"/>
        <v>0.47068463533057681</v>
      </c>
      <c r="W47" s="3"/>
      <c r="X47" s="7">
        <f t="shared" si="6"/>
        <v>1687.0999999999985</v>
      </c>
      <c r="Y47" s="3"/>
      <c r="Z47" s="8">
        <f t="shared" si="7"/>
        <v>4.6449789019777532E-2</v>
      </c>
    </row>
    <row r="48" spans="1:26" s="68" customFormat="1" ht="15" customHeight="1" outlineLevel="1" collapsed="1" x14ac:dyDescent="0.25">
      <c r="A48" s="26"/>
      <c r="B48" s="14" t="str">
        <f>CONCATENATE("     ","Employees' Appreciation                           ")</f>
        <v xml:space="preserve">     Employees' Appreciation                           </v>
      </c>
      <c r="C48" s="14"/>
      <c r="D48" s="2">
        <f>SUM(OSRRefD22_6x_0)</f>
        <v>0</v>
      </c>
      <c r="E48" s="2"/>
      <c r="F48" s="6">
        <f t="shared" si="0"/>
        <v>0</v>
      </c>
      <c r="G48" s="2"/>
      <c r="H48" s="2">
        <f>SUM(OSRRefH22_6x_0)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SUM(OSRRefP22_6x_0)</f>
        <v>61.45</v>
      </c>
      <c r="Q48" s="2"/>
      <c r="R48" s="6">
        <f t="shared" si="4"/>
        <v>7.5755248390179406E-5</v>
      </c>
      <c r="S48" s="2"/>
      <c r="T48" s="2">
        <f>SUM(OSRRefT22_6x_0)</f>
        <v>10</v>
      </c>
      <c r="U48" s="2"/>
      <c r="V48" s="6">
        <f t="shared" si="5"/>
        <v>1.2959043332319505E-4</v>
      </c>
      <c r="W48" s="2"/>
      <c r="X48" s="2">
        <f t="shared" si="6"/>
        <v>51.45</v>
      </c>
      <c r="Y48" s="2"/>
      <c r="Z48" s="6">
        <f t="shared" si="7"/>
        <v>5.1450000000000005</v>
      </c>
    </row>
    <row r="49" spans="1:26" s="69" customFormat="1" ht="15" hidden="1" customHeight="1" outlineLevel="2" x14ac:dyDescent="0.25">
      <c r="A49" s="25"/>
      <c r="B49" s="12" t="str">
        <f>CONCATENATE("          ","6277"," - ","EMPLOYEE APPRECIATION")</f>
        <v xml:space="preserve">          6277 - EMPLOYEE APPRECIATION</v>
      </c>
      <c r="C49" s="12"/>
      <c r="D49" s="7"/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0</v>
      </c>
      <c r="M49" s="3"/>
      <c r="N49" s="8">
        <f t="shared" si="3"/>
        <v>0</v>
      </c>
      <c r="O49" s="12"/>
      <c r="P49" s="7">
        <v>61.45</v>
      </c>
      <c r="Q49" s="3"/>
      <c r="R49" s="8">
        <f t="shared" si="4"/>
        <v>7.5755248390179406E-5</v>
      </c>
      <c r="S49" s="3"/>
      <c r="T49" s="7">
        <v>10</v>
      </c>
      <c r="U49" s="3"/>
      <c r="V49" s="8">
        <f t="shared" si="5"/>
        <v>1.2959043332319505E-4</v>
      </c>
      <c r="W49" s="3"/>
      <c r="X49" s="7">
        <f t="shared" si="6"/>
        <v>51.45</v>
      </c>
      <c r="Y49" s="3"/>
      <c r="Z49" s="8">
        <f t="shared" si="7"/>
        <v>5.1450000000000005</v>
      </c>
    </row>
    <row r="50" spans="1:26" s="68" customFormat="1" ht="15" customHeight="1" outlineLevel="1" collapsed="1" x14ac:dyDescent="0.25">
      <c r="A50" s="26"/>
      <c r="B50" s="14" t="str">
        <f>CONCATENATE("     ","Equipment Rental                                  ")</f>
        <v xml:space="preserve">     Equipment Rental                                  </v>
      </c>
      <c r="C50" s="14"/>
      <c r="D50" s="2">
        <f>SUM(OSRRefD22_7x_0)</f>
        <v>438.41</v>
      </c>
      <c r="E50" s="2"/>
      <c r="F50" s="6">
        <f t="shared" si="0"/>
        <v>9.5886447140411616E-3</v>
      </c>
      <c r="G50" s="2"/>
      <c r="H50" s="2">
        <f>SUM(OSRRefH22_7x_0)</f>
        <v>288.97000000000003</v>
      </c>
      <c r="I50" s="2"/>
      <c r="J50" s="6">
        <f t="shared" si="1"/>
        <v>2.0975528670862695E-2</v>
      </c>
      <c r="K50" s="2"/>
      <c r="L50" s="2">
        <f t="shared" si="2"/>
        <v>149.44</v>
      </c>
      <c r="M50" s="2"/>
      <c r="N50" s="6">
        <f t="shared" si="3"/>
        <v>0.51714710869640446</v>
      </c>
      <c r="O50" s="14"/>
      <c r="P50" s="2">
        <f>SUM(OSRRefP22_7x_0)</f>
        <v>3767.2</v>
      </c>
      <c r="Q50" s="2"/>
      <c r="R50" s="6">
        <f t="shared" si="4"/>
        <v>4.6441850567206485E-3</v>
      </c>
      <c r="S50" s="2"/>
      <c r="T50" s="2">
        <f>SUM(OSRRefT22_7x_0)</f>
        <v>2093.46</v>
      </c>
      <c r="U50" s="2"/>
      <c r="V50" s="6">
        <f t="shared" si="5"/>
        <v>2.7129238854477589E-2</v>
      </c>
      <c r="W50" s="2"/>
      <c r="X50" s="2">
        <f t="shared" si="6"/>
        <v>1673.7399999999998</v>
      </c>
      <c r="Y50" s="2"/>
      <c r="Z50" s="6">
        <f t="shared" si="7"/>
        <v>0.79950894691085561</v>
      </c>
    </row>
    <row r="51" spans="1:26" s="69" customFormat="1" ht="15" hidden="1" customHeight="1" outlineLevel="2" x14ac:dyDescent="0.25">
      <c r="A51" s="25"/>
      <c r="B51" s="12" t="str">
        <f>CONCATENATE("          ","6351"," - ","EQUIPMENT RENTAL")</f>
        <v xml:space="preserve">          6351 - EQUIPMENT RENTAL</v>
      </c>
      <c r="C51" s="12"/>
      <c r="D51" s="7">
        <v>438.41</v>
      </c>
      <c r="E51" s="3"/>
      <c r="F51" s="8">
        <f t="shared" si="0"/>
        <v>9.5886447140411616E-3</v>
      </c>
      <c r="G51" s="3"/>
      <c r="H51" s="7">
        <v>288.97000000000003</v>
      </c>
      <c r="I51" s="3"/>
      <c r="J51" s="8">
        <f t="shared" si="1"/>
        <v>2.0975528670862695E-2</v>
      </c>
      <c r="K51" s="3"/>
      <c r="L51" s="7">
        <f t="shared" si="2"/>
        <v>149.44</v>
      </c>
      <c r="M51" s="3"/>
      <c r="N51" s="8">
        <f t="shared" si="3"/>
        <v>0.51714710869640446</v>
      </c>
      <c r="O51" s="12"/>
      <c r="P51" s="7">
        <v>3767.2</v>
      </c>
      <c r="Q51" s="3"/>
      <c r="R51" s="8">
        <f t="shared" si="4"/>
        <v>4.6441850567206485E-3</v>
      </c>
      <c r="S51" s="3"/>
      <c r="T51" s="7">
        <v>2093.46</v>
      </c>
      <c r="U51" s="3"/>
      <c r="V51" s="8">
        <f t="shared" si="5"/>
        <v>2.7129238854477589E-2</v>
      </c>
      <c r="W51" s="3"/>
      <c r="X51" s="7">
        <f t="shared" si="6"/>
        <v>1673.7399999999998</v>
      </c>
      <c r="Y51" s="3"/>
      <c r="Z51" s="8">
        <f t="shared" si="7"/>
        <v>0.79950894691085561</v>
      </c>
    </row>
    <row r="52" spans="1:26" s="68" customFormat="1" ht="15" customHeight="1" outlineLevel="1" collapsed="1" x14ac:dyDescent="0.25">
      <c r="A52" s="26"/>
      <c r="B52" s="14" t="str">
        <f>CONCATENATE("     ","General                                           ")</f>
        <v xml:space="preserve">     General                                           </v>
      </c>
      <c r="C52" s="14"/>
      <c r="D52" s="2">
        <f>SUM(OSRRefD22_8x_0)</f>
        <v>0</v>
      </c>
      <c r="E52" s="2"/>
      <c r="F52" s="6">
        <f t="shared" si="0"/>
        <v>0</v>
      </c>
      <c r="G52" s="2"/>
      <c r="H52" s="2">
        <f>SUM(OSRRefH22_8x_0)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SUM(OSRRefP22_8x_0)</f>
        <v>1575.57</v>
      </c>
      <c r="Q52" s="2"/>
      <c r="R52" s="6">
        <f t="shared" si="4"/>
        <v>1.9423547063647675E-3</v>
      </c>
      <c r="S52" s="2"/>
      <c r="T52" s="2">
        <f>SUM(OSRRefT22_8x_0)</f>
        <v>2498.69</v>
      </c>
      <c r="U52" s="2"/>
      <c r="V52" s="6">
        <f t="shared" si="5"/>
        <v>3.2380631984033424E-2</v>
      </c>
      <c r="W52" s="2"/>
      <c r="X52" s="2">
        <f t="shared" si="6"/>
        <v>-923.12000000000012</v>
      </c>
      <c r="Y52" s="2"/>
      <c r="Z52" s="6">
        <f t="shared" si="7"/>
        <v>-0.36944158739179334</v>
      </c>
    </row>
    <row r="53" spans="1:26" s="69" customFormat="1" ht="15" hidden="1" customHeight="1" outlineLevel="2" x14ac:dyDescent="0.25">
      <c r="A53" s="25"/>
      <c r="B53" s="12" t="str">
        <f>CONCATENATE("          ","6279"," - ","GENERAL EXPENSE")</f>
        <v xml:space="preserve">          6279 - GENERAL EXPENSE</v>
      </c>
      <c r="C53" s="12"/>
      <c r="D53" s="7"/>
      <c r="E53" s="3"/>
      <c r="F53" s="8">
        <f t="shared" si="0"/>
        <v>0</v>
      </c>
      <c r="G53" s="3"/>
      <c r="H53" s="7"/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>
        <v>1575.57</v>
      </c>
      <c r="Q53" s="3"/>
      <c r="R53" s="8">
        <f t="shared" si="4"/>
        <v>1.9423547063647675E-3</v>
      </c>
      <c r="S53" s="3"/>
      <c r="T53" s="7">
        <v>2498.69</v>
      </c>
      <c r="U53" s="3"/>
      <c r="V53" s="8">
        <f t="shared" si="5"/>
        <v>3.2380631984033424E-2</v>
      </c>
      <c r="W53" s="3"/>
      <c r="X53" s="7">
        <f t="shared" si="6"/>
        <v>-923.12000000000012</v>
      </c>
      <c r="Y53" s="3"/>
      <c r="Z53" s="8">
        <f t="shared" si="7"/>
        <v>-0.36944158739179334</v>
      </c>
    </row>
    <row r="54" spans="1:26" s="68" customFormat="1" ht="15" customHeight="1" outlineLevel="1" collapsed="1" x14ac:dyDescent="0.25">
      <c r="A54" s="26"/>
      <c r="B54" s="14" t="str">
        <f>CONCATENATE("     ","Insurance                                         ")</f>
        <v xml:space="preserve">     Insurance                                         </v>
      </c>
      <c r="C54" s="14"/>
      <c r="D54" s="2">
        <f>SUM(OSRRefD22_9x_0)</f>
        <v>871.61</v>
      </c>
      <c r="E54" s="2"/>
      <c r="F54" s="6">
        <f t="shared" ref="F54:F81" si="8">IF(D$12=0,0,D54/D$12)</f>
        <v>1.9063339383694294E-2</v>
      </c>
      <c r="G54" s="2"/>
      <c r="H54" s="2">
        <f>SUM(OSRRefH22_9x_0)</f>
        <v>641.28</v>
      </c>
      <c r="I54" s="2"/>
      <c r="J54" s="6">
        <f t="shared" ref="J54:J81" si="9">IF(H$12=0,0,H54/H$12)</f>
        <v>4.6548731792403458E-2</v>
      </c>
      <c r="K54" s="2"/>
      <c r="L54" s="2">
        <f t="shared" ref="L54:L81" si="10">+D54-H54</f>
        <v>230.33000000000004</v>
      </c>
      <c r="M54" s="2"/>
      <c r="N54" s="6">
        <f t="shared" ref="N54:N81" si="11">IF(H54=0,0,L54/H54)</f>
        <v>0.35917228043912186</v>
      </c>
      <c r="O54" s="14"/>
      <c r="P54" s="2">
        <f>SUM(OSRRefP22_9x_0)</f>
        <v>9587.7099999999991</v>
      </c>
      <c r="Q54" s="2"/>
      <c r="R54" s="6">
        <f t="shared" ref="R54:R81" si="12">IF(P$12=0,0,P54/P$12)</f>
        <v>1.1819680269210852E-2</v>
      </c>
      <c r="S54" s="2"/>
      <c r="T54" s="2">
        <f>SUM(OSRRefT22_9x_0)</f>
        <v>7054.08</v>
      </c>
      <c r="U54" s="2"/>
      <c r="V54" s="6">
        <f t="shared" ref="V54:V81" si="13">IF(T$12=0,0,T54/T$12)</f>
        <v>9.1414128389648366E-2</v>
      </c>
      <c r="W54" s="2"/>
      <c r="X54" s="2">
        <f t="shared" ref="X54:X81" si="14">+P54-T54</f>
        <v>2533.6299999999992</v>
      </c>
      <c r="Y54" s="2"/>
      <c r="Z54" s="6">
        <f t="shared" ref="Z54:Z81" si="15">IF(T54=0,0,X54/T54)</f>
        <v>0.35917228043912164</v>
      </c>
    </row>
    <row r="55" spans="1:26" s="69" customFormat="1" ht="15" hidden="1" customHeight="1" outlineLevel="2" x14ac:dyDescent="0.25">
      <c r="A55" s="25"/>
      <c r="B55" s="12" t="str">
        <f>CONCATENATE("          ","6314"," - ","LIABILITY INSURANCE")</f>
        <v xml:space="preserve">          6314 - LIABILITY INSURANCE</v>
      </c>
      <c r="C55" s="12"/>
      <c r="D55" s="7">
        <v>871.61</v>
      </c>
      <c r="E55" s="3"/>
      <c r="F55" s="8">
        <f t="shared" si="8"/>
        <v>1.9063339383694294E-2</v>
      </c>
      <c r="G55" s="3"/>
      <c r="H55" s="7">
        <v>641.28</v>
      </c>
      <c r="I55" s="3"/>
      <c r="J55" s="8">
        <f t="shared" si="9"/>
        <v>4.6548731792403458E-2</v>
      </c>
      <c r="K55" s="3"/>
      <c r="L55" s="7">
        <f t="shared" si="10"/>
        <v>230.33000000000004</v>
      </c>
      <c r="M55" s="3"/>
      <c r="N55" s="8">
        <f t="shared" si="11"/>
        <v>0.35917228043912186</v>
      </c>
      <c r="O55" s="12"/>
      <c r="P55" s="7">
        <v>9587.7099999999991</v>
      </c>
      <c r="Q55" s="3"/>
      <c r="R55" s="8">
        <f t="shared" si="12"/>
        <v>1.1819680269210852E-2</v>
      </c>
      <c r="S55" s="3"/>
      <c r="T55" s="7">
        <v>7054.08</v>
      </c>
      <c r="U55" s="3"/>
      <c r="V55" s="8">
        <f t="shared" si="13"/>
        <v>9.1414128389648366E-2</v>
      </c>
      <c r="W55" s="3"/>
      <c r="X55" s="7">
        <f t="shared" si="14"/>
        <v>2533.6299999999992</v>
      </c>
      <c r="Y55" s="3"/>
      <c r="Z55" s="8">
        <f t="shared" si="15"/>
        <v>0.35917228043912164</v>
      </c>
    </row>
    <row r="56" spans="1:26" s="68" customFormat="1" ht="15" customHeight="1" outlineLevel="1" collapsed="1" x14ac:dyDescent="0.25">
      <c r="A56" s="26"/>
      <c r="B56" s="14" t="str">
        <f>CONCATENATE("     ","Interest                                          ")</f>
        <v xml:space="preserve">     Interest                                          </v>
      </c>
      <c r="C56" s="14"/>
      <c r="D56" s="2">
        <f>SUM(OSRRefD22_10x_0)</f>
        <v>7253</v>
      </c>
      <c r="E56" s="2"/>
      <c r="F56" s="6">
        <f t="shared" si="8"/>
        <v>0.15863333434670865</v>
      </c>
      <c r="G56" s="2"/>
      <c r="H56" s="2">
        <f>SUM(OSRRefH22_10x_0)</f>
        <v>7510</v>
      </c>
      <c r="I56" s="2"/>
      <c r="J56" s="6">
        <f t="shared" si="9"/>
        <v>0.54513001459728982</v>
      </c>
      <c r="K56" s="2"/>
      <c r="L56" s="2">
        <f t="shared" si="10"/>
        <v>-257</v>
      </c>
      <c r="M56" s="2"/>
      <c r="N56" s="6">
        <f t="shared" si="11"/>
        <v>-3.4221038615179764E-2</v>
      </c>
      <c r="O56" s="14"/>
      <c r="P56" s="2">
        <f>SUM(OSRRefP22_10x_0)</f>
        <v>77645</v>
      </c>
      <c r="Q56" s="2"/>
      <c r="R56" s="6">
        <f t="shared" si="12"/>
        <v>9.5720362266159154E-2</v>
      </c>
      <c r="S56" s="2"/>
      <c r="T56" s="2">
        <f>SUM(OSRRefT22_10x_0)</f>
        <v>80580.149999999994</v>
      </c>
      <c r="U56" s="2"/>
      <c r="V56" s="6">
        <f t="shared" si="13"/>
        <v>1.0442416555748053</v>
      </c>
      <c r="W56" s="2"/>
      <c r="X56" s="2">
        <f t="shared" si="14"/>
        <v>-2935.1499999999942</v>
      </c>
      <c r="Y56" s="2"/>
      <c r="Z56" s="6">
        <f t="shared" si="15"/>
        <v>-3.6425223829938194E-2</v>
      </c>
    </row>
    <row r="57" spans="1:26" s="69" customFormat="1" ht="15" hidden="1" customHeight="1" outlineLevel="2" x14ac:dyDescent="0.25">
      <c r="A57" s="25"/>
      <c r="B57" s="12" t="str">
        <f>CONCATENATE("          ","6401"," - ","INTEREST EXPENSE")</f>
        <v xml:space="preserve">          6401 - INTEREST EXPENSE</v>
      </c>
      <c r="C57" s="12"/>
      <c r="D57" s="7">
        <v>7253</v>
      </c>
      <c r="E57" s="3"/>
      <c r="F57" s="8">
        <f t="shared" si="8"/>
        <v>0.15863333434670865</v>
      </c>
      <c r="G57" s="3"/>
      <c r="H57" s="7">
        <v>7510</v>
      </c>
      <c r="I57" s="3"/>
      <c r="J57" s="8">
        <f t="shared" si="9"/>
        <v>0.54513001459728982</v>
      </c>
      <c r="K57" s="3"/>
      <c r="L57" s="7">
        <f t="shared" si="10"/>
        <v>-257</v>
      </c>
      <c r="M57" s="3"/>
      <c r="N57" s="8">
        <f t="shared" si="11"/>
        <v>-3.4221038615179764E-2</v>
      </c>
      <c r="O57" s="12"/>
      <c r="P57" s="7">
        <v>77645</v>
      </c>
      <c r="Q57" s="3"/>
      <c r="R57" s="8">
        <f t="shared" si="12"/>
        <v>9.5720362266159154E-2</v>
      </c>
      <c r="S57" s="3"/>
      <c r="T57" s="7">
        <v>80580.149999999994</v>
      </c>
      <c r="U57" s="3"/>
      <c r="V57" s="8">
        <f t="shared" si="13"/>
        <v>1.0442416555748053</v>
      </c>
      <c r="W57" s="3"/>
      <c r="X57" s="7">
        <f t="shared" si="14"/>
        <v>-2935.1499999999942</v>
      </c>
      <c r="Y57" s="3"/>
      <c r="Z57" s="8">
        <f t="shared" si="15"/>
        <v>-3.6425223829938194E-2</v>
      </c>
    </row>
    <row r="58" spans="1:26" s="68" customFormat="1" ht="15" customHeight="1" outlineLevel="1" collapsed="1" x14ac:dyDescent="0.25">
      <c r="A58" s="26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SUM(OSRRefD22_11x_0)</f>
        <v>4943.6099999999997</v>
      </c>
      <c r="E58" s="2"/>
      <c r="F58" s="6">
        <f t="shared" si="8"/>
        <v>0.10812371956566004</v>
      </c>
      <c r="G58" s="2"/>
      <c r="H58" s="2">
        <f>SUM(OSRRefH22_11x_0)</f>
        <v>153.85</v>
      </c>
      <c r="I58" s="2"/>
      <c r="J58" s="6">
        <f t="shared" si="9"/>
        <v>1.1167543641250737E-2</v>
      </c>
      <c r="K58" s="2"/>
      <c r="L58" s="2">
        <f t="shared" si="10"/>
        <v>4789.7599999999993</v>
      </c>
      <c r="M58" s="2"/>
      <c r="N58" s="6">
        <f t="shared" si="11"/>
        <v>31.132661683457911</v>
      </c>
      <c r="O58" s="14"/>
      <c r="P58" s="2">
        <f>SUM(OSRRefP22_11x_0)</f>
        <v>35290.729999999996</v>
      </c>
      <c r="Q58" s="2"/>
      <c r="R58" s="6">
        <f t="shared" si="12"/>
        <v>4.3506232986505383E-2</v>
      </c>
      <c r="S58" s="2"/>
      <c r="T58" s="2">
        <f>SUM(OSRRefT22_11x_0)</f>
        <v>24778.760000000002</v>
      </c>
      <c r="U58" s="2"/>
      <c r="V58" s="6">
        <f t="shared" si="13"/>
        <v>0.32110902456114526</v>
      </c>
      <c r="W58" s="2"/>
      <c r="X58" s="2">
        <f t="shared" si="14"/>
        <v>10511.969999999994</v>
      </c>
      <c r="Y58" s="2"/>
      <c r="Z58" s="6">
        <f t="shared" si="15"/>
        <v>0.424233093181418</v>
      </c>
    </row>
    <row r="59" spans="1:26" s="69" customFormat="1" ht="15" hidden="1" customHeight="1" outlineLevel="2" x14ac:dyDescent="0.25">
      <c r="A59" s="25"/>
      <c r="B59" s="12" t="str">
        <f>CONCATENATE("          ","6373"," - ","MAINTENANCE CONTRACTS")</f>
        <v xml:space="preserve">          6373 - MAINTENANCE CONTRACTS</v>
      </c>
      <c r="C59" s="12"/>
      <c r="D59" s="7">
        <v>2905.33</v>
      </c>
      <c r="E59" s="3"/>
      <c r="F59" s="8">
        <f t="shared" si="8"/>
        <v>6.354366266062636E-2</v>
      </c>
      <c r="G59" s="3"/>
      <c r="H59" s="7"/>
      <c r="I59" s="3"/>
      <c r="J59" s="8">
        <f t="shared" si="9"/>
        <v>0</v>
      </c>
      <c r="K59" s="3"/>
      <c r="L59" s="7">
        <f t="shared" si="10"/>
        <v>2905.33</v>
      </c>
      <c r="M59" s="3"/>
      <c r="N59" s="8">
        <f t="shared" si="11"/>
        <v>0</v>
      </c>
      <c r="O59" s="12"/>
      <c r="P59" s="7">
        <v>7053.84</v>
      </c>
      <c r="Q59" s="3"/>
      <c r="R59" s="8">
        <f t="shared" si="12"/>
        <v>8.6959381823365836E-3</v>
      </c>
      <c r="S59" s="3"/>
      <c r="T59" s="7">
        <v>7467.86</v>
      </c>
      <c r="U59" s="3"/>
      <c r="V59" s="8">
        <f t="shared" si="13"/>
        <v>9.677632133969552E-2</v>
      </c>
      <c r="W59" s="3"/>
      <c r="X59" s="7">
        <f t="shared" si="14"/>
        <v>-414.01999999999953</v>
      </c>
      <c r="Y59" s="3"/>
      <c r="Z59" s="8">
        <f t="shared" si="15"/>
        <v>-5.5440246603444564E-2</v>
      </c>
    </row>
    <row r="60" spans="1:26" s="69" customFormat="1" ht="15" hidden="1" customHeight="1" outlineLevel="2" x14ac:dyDescent="0.25">
      <c r="A60" s="25"/>
      <c r="B60" s="12" t="str">
        <f>CONCATENATE("          ","6375"," - ","OUTSIDE REPAIRS &amp; MAINTENANCE")</f>
        <v xml:space="preserve">          6375 - OUTSIDE REPAIRS &amp; MAINTENANCE</v>
      </c>
      <c r="C60" s="12"/>
      <c r="D60" s="7">
        <v>2038.28</v>
      </c>
      <c r="E60" s="3"/>
      <c r="F60" s="8">
        <f t="shared" si="8"/>
        <v>4.458005690503368E-2</v>
      </c>
      <c r="G60" s="3"/>
      <c r="H60" s="7">
        <v>153.85</v>
      </c>
      <c r="I60" s="3"/>
      <c r="J60" s="8">
        <f t="shared" si="9"/>
        <v>1.1167543641250737E-2</v>
      </c>
      <c r="K60" s="3"/>
      <c r="L60" s="7">
        <f t="shared" si="10"/>
        <v>1884.43</v>
      </c>
      <c r="M60" s="3"/>
      <c r="N60" s="8">
        <f t="shared" si="11"/>
        <v>12.248488787780307</v>
      </c>
      <c r="O60" s="12"/>
      <c r="P60" s="7">
        <v>28236.89</v>
      </c>
      <c r="Q60" s="3"/>
      <c r="R60" s="8">
        <f t="shared" si="12"/>
        <v>3.48102948041688E-2</v>
      </c>
      <c r="S60" s="3"/>
      <c r="T60" s="7">
        <v>17310.900000000001</v>
      </c>
      <c r="U60" s="3"/>
      <c r="V60" s="8">
        <f t="shared" si="13"/>
        <v>0.22433270322144971</v>
      </c>
      <c r="W60" s="3"/>
      <c r="X60" s="7">
        <f t="shared" si="14"/>
        <v>10925.989999999998</v>
      </c>
      <c r="Y60" s="3"/>
      <c r="Z60" s="8">
        <f t="shared" si="15"/>
        <v>0.63116244678208511</v>
      </c>
    </row>
    <row r="61" spans="1:26" s="68" customFormat="1" ht="15" customHeight="1" outlineLevel="1" collapsed="1" x14ac:dyDescent="0.25">
      <c r="A61" s="26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SUM(OSRRefD22_12x_0)</f>
        <v>3628.65</v>
      </c>
      <c r="E61" s="2"/>
      <c r="F61" s="6">
        <f t="shared" si="8"/>
        <v>7.9363690704147852E-2</v>
      </c>
      <c r="G61" s="2"/>
      <c r="H61" s="2">
        <f>SUM(OSRRefH22_12x_0)</f>
        <v>4146.5200000000004</v>
      </c>
      <c r="I61" s="2"/>
      <c r="J61" s="6">
        <f t="shared" si="9"/>
        <v>0.30098435527669165</v>
      </c>
      <c r="K61" s="2"/>
      <c r="L61" s="2">
        <f t="shared" si="10"/>
        <v>-517.87000000000035</v>
      </c>
      <c r="M61" s="2"/>
      <c r="N61" s="6">
        <f t="shared" si="11"/>
        <v>-0.12489268109161425</v>
      </c>
      <c r="O61" s="14"/>
      <c r="P61" s="2">
        <f>SUM(OSRRefP22_12x_0)</f>
        <v>54699.16</v>
      </c>
      <c r="Q61" s="2"/>
      <c r="R61" s="6">
        <f t="shared" si="12"/>
        <v>6.7432847071345253E-2</v>
      </c>
      <c r="S61" s="2"/>
      <c r="T61" s="2">
        <f>SUM(OSRRefT22_12x_0)</f>
        <v>30791.370000000003</v>
      </c>
      <c r="U61" s="2"/>
      <c r="V61" s="6">
        <f t="shared" si="13"/>
        <v>0.39902669809148283</v>
      </c>
      <c r="W61" s="2"/>
      <c r="X61" s="2">
        <f t="shared" si="14"/>
        <v>23907.79</v>
      </c>
      <c r="Y61" s="2"/>
      <c r="Z61" s="6">
        <f t="shared" si="15"/>
        <v>0.776444503768426</v>
      </c>
    </row>
    <row r="62" spans="1:26" s="69" customFormat="1" ht="15" hidden="1" customHeight="1" outlineLevel="2" x14ac:dyDescent="0.25">
      <c r="A62" s="25"/>
      <c r="B62" s="12" t="str">
        <f>CONCATENATE("          ","6282"," - ","JANITORIAL/EXTERMINATOR EXPENS")</f>
        <v xml:space="preserve">          6282 - JANITORIAL/EXTERMINATOR EXPENS</v>
      </c>
      <c r="C62" s="12"/>
      <c r="D62" s="7"/>
      <c r="E62" s="3"/>
      <c r="F62" s="8">
        <f t="shared" si="8"/>
        <v>0</v>
      </c>
      <c r="G62" s="3"/>
      <c r="H62" s="7"/>
      <c r="I62" s="3"/>
      <c r="J62" s="8">
        <f t="shared" si="9"/>
        <v>0</v>
      </c>
      <c r="K62" s="3"/>
      <c r="L62" s="7">
        <f t="shared" si="10"/>
        <v>0</v>
      </c>
      <c r="M62" s="3"/>
      <c r="N62" s="8">
        <f t="shared" si="11"/>
        <v>0</v>
      </c>
      <c r="O62" s="12"/>
      <c r="P62" s="7">
        <v>3585.9</v>
      </c>
      <c r="Q62" s="3"/>
      <c r="R62" s="8">
        <f t="shared" si="12"/>
        <v>4.4206793360837158E-3</v>
      </c>
      <c r="S62" s="3"/>
      <c r="T62" s="7">
        <v>4148.63</v>
      </c>
      <c r="U62" s="3"/>
      <c r="V62" s="8">
        <f t="shared" si="13"/>
        <v>5.3762275939760663E-2</v>
      </c>
      <c r="W62" s="3"/>
      <c r="X62" s="7">
        <f t="shared" si="14"/>
        <v>-562.73</v>
      </c>
      <c r="Y62" s="3"/>
      <c r="Z62" s="8">
        <f t="shared" si="15"/>
        <v>-0.13564236868556609</v>
      </c>
    </row>
    <row r="63" spans="1:26" s="69" customFormat="1" ht="15" hidden="1" customHeight="1" outlineLevel="2" x14ac:dyDescent="0.25">
      <c r="A63" s="25"/>
      <c r="B63" s="12" t="str">
        <f>CONCATENATE("          ","6284"," - ","TRASH REMOVAL EXPENSE")</f>
        <v xml:space="preserve">          6284 - TRASH REMOVAL EXPENSE</v>
      </c>
      <c r="C63" s="12"/>
      <c r="D63" s="7"/>
      <c r="E63" s="3"/>
      <c r="F63" s="8">
        <f t="shared" si="8"/>
        <v>0</v>
      </c>
      <c r="G63" s="3"/>
      <c r="H63" s="7">
        <v>761</v>
      </c>
      <c r="I63" s="3"/>
      <c r="J63" s="8">
        <f t="shared" si="9"/>
        <v>5.523887364960553E-2</v>
      </c>
      <c r="K63" s="3"/>
      <c r="L63" s="7">
        <f t="shared" si="10"/>
        <v>-761</v>
      </c>
      <c r="M63" s="3"/>
      <c r="N63" s="8">
        <f t="shared" si="11"/>
        <v>-1</v>
      </c>
      <c r="O63" s="12"/>
      <c r="P63" s="7"/>
      <c r="Q63" s="3"/>
      <c r="R63" s="8">
        <f t="shared" si="12"/>
        <v>0</v>
      </c>
      <c r="S63" s="3"/>
      <c r="T63" s="7">
        <v>4824</v>
      </c>
      <c r="U63" s="3"/>
      <c r="V63" s="8">
        <f t="shared" si="13"/>
        <v>6.2514425035109289E-2</v>
      </c>
      <c r="W63" s="3"/>
      <c r="X63" s="7">
        <f t="shared" si="14"/>
        <v>-4824</v>
      </c>
      <c r="Y63" s="3"/>
      <c r="Z63" s="8">
        <f t="shared" si="15"/>
        <v>-1</v>
      </c>
    </row>
    <row r="64" spans="1:26" s="69" customFormat="1" ht="15" hidden="1" customHeight="1" outlineLevel="2" x14ac:dyDescent="0.25">
      <c r="A64" s="25"/>
      <c r="B64" s="12" t="str">
        <f>CONCATENATE("          ","6285"," - ","JANITORIAL SERVICES")</f>
        <v xml:space="preserve">          6285 - JANITORIAL SERVICES</v>
      </c>
      <c r="C64" s="12"/>
      <c r="D64" s="7">
        <v>3385.52</v>
      </c>
      <c r="E64" s="3"/>
      <c r="F64" s="8">
        <f t="shared" si="8"/>
        <v>7.4046094870738877E-2</v>
      </c>
      <c r="G64" s="3"/>
      <c r="H64" s="7">
        <v>3385.52</v>
      </c>
      <c r="I64" s="3"/>
      <c r="J64" s="8">
        <f t="shared" si="9"/>
        <v>0.24574548162708609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>
        <v>47700.58</v>
      </c>
      <c r="Q64" s="3"/>
      <c r="R64" s="8">
        <f t="shared" si="12"/>
        <v>5.8805033136788025E-2</v>
      </c>
      <c r="S64" s="3"/>
      <c r="T64" s="7">
        <v>21234.61</v>
      </c>
      <c r="U64" s="3"/>
      <c r="V64" s="8">
        <f t="shared" si="13"/>
        <v>0.27518023113490508</v>
      </c>
      <c r="W64" s="3"/>
      <c r="X64" s="7">
        <f t="shared" si="14"/>
        <v>26465.97</v>
      </c>
      <c r="Y64" s="3"/>
      <c r="Z64" s="8">
        <f t="shared" si="15"/>
        <v>1.2463600697163735</v>
      </c>
    </row>
    <row r="65" spans="1:26" s="69" customFormat="1" ht="15" hidden="1" customHeight="1" outlineLevel="2" x14ac:dyDescent="0.25">
      <c r="A65" s="25"/>
      <c r="B65" s="12" t="str">
        <f>CONCATENATE("          ","6286"," - ","LAUNDRY EXPENSE")</f>
        <v xml:space="preserve">          6286 - LAUNDRY EXPENSE</v>
      </c>
      <c r="C65" s="12"/>
      <c r="D65" s="7">
        <v>243.13</v>
      </c>
      <c r="E65" s="3"/>
      <c r="F65" s="8">
        <f t="shared" si="8"/>
        <v>5.3175958334089717E-3</v>
      </c>
      <c r="G65" s="3"/>
      <c r="H65" s="7"/>
      <c r="I65" s="3"/>
      <c r="J65" s="8">
        <f t="shared" si="9"/>
        <v>0</v>
      </c>
      <c r="K65" s="3"/>
      <c r="L65" s="7">
        <f t="shared" si="10"/>
        <v>243.13</v>
      </c>
      <c r="M65" s="3"/>
      <c r="N65" s="8">
        <f t="shared" si="11"/>
        <v>0</v>
      </c>
      <c r="O65" s="12"/>
      <c r="P65" s="7">
        <v>3412.68</v>
      </c>
      <c r="Q65" s="3"/>
      <c r="R65" s="8">
        <f t="shared" si="12"/>
        <v>4.2071345984735142E-3</v>
      </c>
      <c r="S65" s="3"/>
      <c r="T65" s="7">
        <v>584.13</v>
      </c>
      <c r="U65" s="3"/>
      <c r="V65" s="8">
        <f t="shared" si="13"/>
        <v>7.5697659817077914E-3</v>
      </c>
      <c r="W65" s="3"/>
      <c r="X65" s="7">
        <f t="shared" si="14"/>
        <v>2828.5499999999997</v>
      </c>
      <c r="Y65" s="3"/>
      <c r="Z65" s="8">
        <f t="shared" si="15"/>
        <v>4.8423296184068612</v>
      </c>
    </row>
    <row r="66" spans="1:26" s="68" customFormat="1" ht="15" customHeight="1" outlineLevel="1" collapsed="1" x14ac:dyDescent="0.25">
      <c r="A66" s="26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2">
        <f>SUM(OSRRefD22_13x_0)</f>
        <v>130.66999999999999</v>
      </c>
      <c r="E66" s="2"/>
      <c r="F66" s="6">
        <f t="shared" si="8"/>
        <v>2.8579371017626383E-3</v>
      </c>
      <c r="G66" s="2"/>
      <c r="H66" s="2">
        <f>SUM(OSRRefH22_13x_0)</f>
        <v>132.16999999999999</v>
      </c>
      <c r="I66" s="2"/>
      <c r="J66" s="6">
        <f t="shared" si="9"/>
        <v>9.593852733598373E-3</v>
      </c>
      <c r="K66" s="2"/>
      <c r="L66" s="2">
        <f t="shared" si="10"/>
        <v>-1.5</v>
      </c>
      <c r="M66" s="2"/>
      <c r="N66" s="6">
        <f t="shared" si="11"/>
        <v>-1.1349020201255959E-2</v>
      </c>
      <c r="O66" s="14"/>
      <c r="P66" s="2">
        <f>SUM(OSRRefP22_13x_0)</f>
        <v>4025.31</v>
      </c>
      <c r="Q66" s="2"/>
      <c r="R66" s="6">
        <f t="shared" si="12"/>
        <v>4.9623817558579831E-3</v>
      </c>
      <c r="S66" s="2"/>
      <c r="T66" s="2">
        <f>SUM(OSRRefT22_13x_0)</f>
        <v>929.18</v>
      </c>
      <c r="U66" s="2"/>
      <c r="V66" s="6">
        <f t="shared" si="13"/>
        <v>1.2041283883524635E-2</v>
      </c>
      <c r="W66" s="2"/>
      <c r="X66" s="2">
        <f t="shared" si="14"/>
        <v>3096.13</v>
      </c>
      <c r="Y66" s="2"/>
      <c r="Z66" s="6">
        <f t="shared" si="15"/>
        <v>3.3321100325017761</v>
      </c>
    </row>
    <row r="67" spans="1:26" s="69" customFormat="1" ht="15" hidden="1" customHeight="1" outlineLevel="2" x14ac:dyDescent="0.25">
      <c r="A67" s="25"/>
      <c r="B67" s="12" t="str">
        <f>CONCATENATE("          ","6275"," - ","SUBSCRIPTIONS")</f>
        <v xml:space="preserve">          6275 - SUBSCRIPTIONS</v>
      </c>
      <c r="C67" s="12"/>
      <c r="D67" s="7">
        <v>130.66999999999999</v>
      </c>
      <c r="E67" s="3"/>
      <c r="F67" s="8">
        <f t="shared" si="8"/>
        <v>2.8579371017626383E-3</v>
      </c>
      <c r="G67" s="3"/>
      <c r="H67" s="7">
        <v>132.16999999999999</v>
      </c>
      <c r="I67" s="3"/>
      <c r="J67" s="8">
        <f t="shared" si="9"/>
        <v>9.593852733598373E-3</v>
      </c>
      <c r="K67" s="3"/>
      <c r="L67" s="7">
        <f t="shared" si="10"/>
        <v>-1.5</v>
      </c>
      <c r="M67" s="3"/>
      <c r="N67" s="8">
        <f t="shared" si="11"/>
        <v>-1.1349020201255959E-2</v>
      </c>
      <c r="O67" s="12"/>
      <c r="P67" s="7">
        <v>4025.31</v>
      </c>
      <c r="Q67" s="3"/>
      <c r="R67" s="8">
        <f t="shared" si="12"/>
        <v>4.9623817558579831E-3</v>
      </c>
      <c r="S67" s="3"/>
      <c r="T67" s="7">
        <v>929.18</v>
      </c>
      <c r="U67" s="3"/>
      <c r="V67" s="8">
        <f t="shared" si="13"/>
        <v>1.2041283883524635E-2</v>
      </c>
      <c r="W67" s="3"/>
      <c r="X67" s="7">
        <f t="shared" si="14"/>
        <v>3096.13</v>
      </c>
      <c r="Y67" s="3"/>
      <c r="Z67" s="8">
        <f t="shared" si="15"/>
        <v>3.3321100325017761</v>
      </c>
    </row>
    <row r="68" spans="1:26" s="68" customFormat="1" ht="15" customHeight="1" outlineLevel="1" collapsed="1" x14ac:dyDescent="0.25">
      <c r="A68" s="26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SUM(OSRRefD22_14x_0)</f>
        <v>1571.76</v>
      </c>
      <c r="E68" s="2"/>
      <c r="F68" s="6">
        <f t="shared" si="8"/>
        <v>3.4376606865129299E-2</v>
      </c>
      <c r="G68" s="2"/>
      <c r="H68" s="2">
        <f>SUM(OSRRefH22_14x_0)</f>
        <v>2.21</v>
      </c>
      <c r="I68" s="2"/>
      <c r="J68" s="6">
        <f t="shared" si="9"/>
        <v>1.6041775396271777E-4</v>
      </c>
      <c r="K68" s="2"/>
      <c r="L68" s="2">
        <f t="shared" si="10"/>
        <v>1569.55</v>
      </c>
      <c r="M68" s="2"/>
      <c r="N68" s="6">
        <f t="shared" si="11"/>
        <v>710.20361990950221</v>
      </c>
      <c r="O68" s="14"/>
      <c r="P68" s="2">
        <f>SUM(OSRRefP22_14x_0)</f>
        <v>18114.969999999998</v>
      </c>
      <c r="Q68" s="2"/>
      <c r="R68" s="6">
        <f t="shared" si="12"/>
        <v>2.2332043155909649E-2</v>
      </c>
      <c r="S68" s="2"/>
      <c r="T68" s="2">
        <f>SUM(OSRRefT22_14x_0)</f>
        <v>8375.23</v>
      </c>
      <c r="U68" s="2"/>
      <c r="V68" s="6">
        <f t="shared" si="13"/>
        <v>0.10853496848814227</v>
      </c>
      <c r="W68" s="2"/>
      <c r="X68" s="2">
        <f t="shared" si="14"/>
        <v>9739.739999999998</v>
      </c>
      <c r="Y68" s="2"/>
      <c r="Z68" s="6">
        <f t="shared" si="15"/>
        <v>1.1629220928858071</v>
      </c>
    </row>
    <row r="69" spans="1:26" s="69" customFormat="1" ht="15" hidden="1" customHeight="1" outlineLevel="2" x14ac:dyDescent="0.25">
      <c r="A69" s="25"/>
      <c r="B69" s="12" t="str">
        <f>CONCATENATE("          ","6234"," - ","EXPENDABLE SUPPLIES &amp; EQUIPMEN")</f>
        <v xml:space="preserve">          6234 - EXPENDABLE SUPPLIES &amp; EQUIPMEN</v>
      </c>
      <c r="C69" s="12"/>
      <c r="D69" s="7"/>
      <c r="E69" s="3"/>
      <c r="F69" s="8">
        <f t="shared" si="8"/>
        <v>0</v>
      </c>
      <c r="G69" s="3"/>
      <c r="H69" s="7"/>
      <c r="I69" s="3"/>
      <c r="J69" s="8">
        <f t="shared" si="9"/>
        <v>0</v>
      </c>
      <c r="K69" s="3"/>
      <c r="L69" s="7">
        <f t="shared" si="10"/>
        <v>0</v>
      </c>
      <c r="M69" s="3"/>
      <c r="N69" s="8">
        <f t="shared" si="11"/>
        <v>0</v>
      </c>
      <c r="O69" s="12"/>
      <c r="P69" s="7">
        <v>57.77</v>
      </c>
      <c r="Q69" s="3"/>
      <c r="R69" s="8">
        <f t="shared" si="12"/>
        <v>7.1218563051271997E-5</v>
      </c>
      <c r="S69" s="3"/>
      <c r="T69" s="7">
        <v>337.16</v>
      </c>
      <c r="U69" s="3"/>
      <c r="V69" s="8">
        <f t="shared" si="13"/>
        <v>4.3692710499248439E-3</v>
      </c>
      <c r="W69" s="3"/>
      <c r="X69" s="7">
        <f t="shared" si="14"/>
        <v>-279.39000000000004</v>
      </c>
      <c r="Y69" s="3"/>
      <c r="Z69" s="8">
        <f t="shared" si="15"/>
        <v>-0.82865701743979125</v>
      </c>
    </row>
    <row r="70" spans="1:26" s="69" customFormat="1" ht="15" hidden="1" customHeight="1" outlineLevel="2" x14ac:dyDescent="0.25">
      <c r="A70" s="25"/>
      <c r="B70" s="12" t="str">
        <f>CONCATENATE("          ","6235"," - ","COVID-19 EXPENSES")</f>
        <v xml:space="preserve">          6235 - COVID-19 EXPENSES</v>
      </c>
      <c r="C70" s="12"/>
      <c r="D70" s="7"/>
      <c r="E70" s="3"/>
      <c r="F70" s="8">
        <f t="shared" si="8"/>
        <v>0</v>
      </c>
      <c r="G70" s="3"/>
      <c r="H70" s="7"/>
      <c r="I70" s="3"/>
      <c r="J70" s="8">
        <f t="shared" si="9"/>
        <v>0</v>
      </c>
      <c r="K70" s="3"/>
      <c r="L70" s="7">
        <f t="shared" si="10"/>
        <v>0</v>
      </c>
      <c r="M70" s="3"/>
      <c r="N70" s="8">
        <f t="shared" si="11"/>
        <v>0</v>
      </c>
      <c r="O70" s="12"/>
      <c r="P70" s="7">
        <v>35.72</v>
      </c>
      <c r="Q70" s="3"/>
      <c r="R70" s="8">
        <f t="shared" si="12"/>
        <v>4.4035434865699075E-5</v>
      </c>
      <c r="S70" s="3"/>
      <c r="T70" s="7">
        <v>6819.42</v>
      </c>
      <c r="U70" s="3"/>
      <c r="V70" s="8">
        <f t="shared" si="13"/>
        <v>8.8373159281286265E-2</v>
      </c>
      <c r="W70" s="3"/>
      <c r="X70" s="7">
        <f t="shared" si="14"/>
        <v>-6783.7</v>
      </c>
      <c r="Y70" s="3"/>
      <c r="Z70" s="8">
        <f t="shared" si="15"/>
        <v>-0.99476201788421881</v>
      </c>
    </row>
    <row r="71" spans="1:26" s="69" customFormat="1" ht="15" hidden="1" customHeight="1" outlineLevel="2" x14ac:dyDescent="0.25">
      <c r="A71" s="25"/>
      <c r="B71" s="12" t="str">
        <f>CONCATENATE("          ","6237"," - ","JANITORIAL SUPPLIES")</f>
        <v xml:space="preserve">          6237 - JANITORIAL SUPPLIES</v>
      </c>
      <c r="C71" s="12"/>
      <c r="D71" s="7">
        <v>955.97</v>
      </c>
      <c r="E71" s="3"/>
      <c r="F71" s="8">
        <f t="shared" si="8"/>
        <v>2.0908411503574118E-2</v>
      </c>
      <c r="G71" s="3"/>
      <c r="H71" s="7"/>
      <c r="I71" s="3"/>
      <c r="J71" s="8">
        <f t="shared" si="9"/>
        <v>0</v>
      </c>
      <c r="K71" s="3"/>
      <c r="L71" s="7">
        <f t="shared" si="10"/>
        <v>955.97</v>
      </c>
      <c r="M71" s="3"/>
      <c r="N71" s="8">
        <f t="shared" si="11"/>
        <v>0</v>
      </c>
      <c r="O71" s="12"/>
      <c r="P71" s="7">
        <v>7938.85</v>
      </c>
      <c r="Q71" s="3"/>
      <c r="R71" s="8">
        <f t="shared" si="12"/>
        <v>9.7869740224959447E-3</v>
      </c>
      <c r="S71" s="3"/>
      <c r="T71" s="7">
        <v>286.91000000000003</v>
      </c>
      <c r="U71" s="3"/>
      <c r="V71" s="8">
        <f t="shared" si="13"/>
        <v>3.7180791224757891E-3</v>
      </c>
      <c r="W71" s="3"/>
      <c r="X71" s="7">
        <f t="shared" si="14"/>
        <v>7651.9400000000005</v>
      </c>
      <c r="Y71" s="3"/>
      <c r="Z71" s="8">
        <f t="shared" si="15"/>
        <v>26.670175316301279</v>
      </c>
    </row>
    <row r="72" spans="1:26" s="69" customFormat="1" ht="15" hidden="1" customHeight="1" outlineLevel="2" x14ac:dyDescent="0.25">
      <c r="A72" s="25"/>
      <c r="B72" s="12" t="str">
        <f>CONCATENATE("          ","6239"," - ","KITCHEN SUPPLIES")</f>
        <v xml:space="preserve">          6239 - KITCHEN SUPPLIES</v>
      </c>
      <c r="C72" s="12"/>
      <c r="D72" s="7">
        <v>372</v>
      </c>
      <c r="E72" s="3"/>
      <c r="F72" s="8">
        <f t="shared" si="8"/>
        <v>8.136164397763079E-3</v>
      </c>
      <c r="G72" s="3"/>
      <c r="H72" s="7"/>
      <c r="I72" s="3"/>
      <c r="J72" s="8">
        <f t="shared" si="9"/>
        <v>0</v>
      </c>
      <c r="K72" s="3"/>
      <c r="L72" s="7">
        <f t="shared" si="10"/>
        <v>372</v>
      </c>
      <c r="M72" s="3"/>
      <c r="N72" s="8">
        <f t="shared" si="11"/>
        <v>0</v>
      </c>
      <c r="O72" s="12"/>
      <c r="P72" s="7">
        <v>3552.65</v>
      </c>
      <c r="Q72" s="3"/>
      <c r="R72" s="8">
        <f t="shared" si="12"/>
        <v>4.3796889046927726E-3</v>
      </c>
      <c r="S72" s="3"/>
      <c r="T72" s="7">
        <v>19.829999999999998</v>
      </c>
      <c r="U72" s="3"/>
      <c r="V72" s="8">
        <f t="shared" si="13"/>
        <v>2.5697782927989576E-4</v>
      </c>
      <c r="W72" s="3"/>
      <c r="X72" s="7">
        <f t="shared" si="14"/>
        <v>3532.82</v>
      </c>
      <c r="Y72" s="3"/>
      <c r="Z72" s="8">
        <f t="shared" si="15"/>
        <v>178.15532022188606</v>
      </c>
    </row>
    <row r="73" spans="1:26" s="69" customFormat="1" ht="15" hidden="1" customHeight="1" outlineLevel="2" x14ac:dyDescent="0.25">
      <c r="A73" s="25"/>
      <c r="B73" s="12" t="str">
        <f>CONCATENATE("          ","6241"," - ","OFFICE EXPENSE")</f>
        <v xml:space="preserve">          6241 - OFFICE EXPENSE</v>
      </c>
      <c r="C73" s="12"/>
      <c r="D73" s="7"/>
      <c r="E73" s="3"/>
      <c r="F73" s="8">
        <f t="shared" si="8"/>
        <v>0</v>
      </c>
      <c r="G73" s="3"/>
      <c r="H73" s="7">
        <v>2.21</v>
      </c>
      <c r="I73" s="3"/>
      <c r="J73" s="8">
        <f t="shared" si="9"/>
        <v>1.6041775396271777E-4</v>
      </c>
      <c r="K73" s="3"/>
      <c r="L73" s="7">
        <f t="shared" si="10"/>
        <v>-2.21</v>
      </c>
      <c r="M73" s="3"/>
      <c r="N73" s="8">
        <f t="shared" si="11"/>
        <v>-1</v>
      </c>
      <c r="O73" s="12"/>
      <c r="P73" s="7">
        <v>3780.79</v>
      </c>
      <c r="Q73" s="3"/>
      <c r="R73" s="8">
        <f t="shared" si="12"/>
        <v>4.6609387398064504E-3</v>
      </c>
      <c r="S73" s="3"/>
      <c r="T73" s="7">
        <v>656.58</v>
      </c>
      <c r="U73" s="3"/>
      <c r="V73" s="8">
        <f t="shared" si="13"/>
        <v>8.5086486711343397E-3</v>
      </c>
      <c r="W73" s="3"/>
      <c r="X73" s="7">
        <f t="shared" si="14"/>
        <v>3124.21</v>
      </c>
      <c r="Y73" s="3"/>
      <c r="Z73" s="8">
        <f t="shared" si="15"/>
        <v>4.758308203113101</v>
      </c>
    </row>
    <row r="74" spans="1:26" s="69" customFormat="1" ht="15" hidden="1" customHeight="1" outlineLevel="2" x14ac:dyDescent="0.25">
      <c r="A74" s="25"/>
      <c r="B74" s="12" t="str">
        <f>CONCATENATE("          ","6243"," - ","PAPER SUPPLIES")</f>
        <v xml:space="preserve">          6243 - PAPER SUPPLIES</v>
      </c>
      <c r="C74" s="12"/>
      <c r="D74" s="7">
        <v>210.79</v>
      </c>
      <c r="E74" s="3"/>
      <c r="F74" s="8">
        <f t="shared" si="8"/>
        <v>4.6102744446356973E-3</v>
      </c>
      <c r="G74" s="3"/>
      <c r="H74" s="7"/>
      <c r="I74" s="3"/>
      <c r="J74" s="8">
        <f t="shared" si="9"/>
        <v>0</v>
      </c>
      <c r="K74" s="3"/>
      <c r="L74" s="7">
        <f t="shared" si="10"/>
        <v>210.79</v>
      </c>
      <c r="M74" s="3"/>
      <c r="N74" s="8">
        <f t="shared" si="11"/>
        <v>0</v>
      </c>
      <c r="O74" s="12"/>
      <c r="P74" s="7">
        <v>2716.19</v>
      </c>
      <c r="Q74" s="3"/>
      <c r="R74" s="8">
        <f t="shared" si="12"/>
        <v>3.348505258338835E-3</v>
      </c>
      <c r="S74" s="3"/>
      <c r="T74" s="7">
        <v>255.33</v>
      </c>
      <c r="U74" s="3"/>
      <c r="V74" s="8">
        <f t="shared" si="13"/>
        <v>3.3088325340411393E-3</v>
      </c>
      <c r="W74" s="3"/>
      <c r="X74" s="7">
        <f t="shared" si="14"/>
        <v>2460.86</v>
      </c>
      <c r="Y74" s="3"/>
      <c r="Z74" s="8">
        <f t="shared" si="15"/>
        <v>9.6379587200877292</v>
      </c>
    </row>
    <row r="75" spans="1:26" s="69" customFormat="1" ht="15" hidden="1" customHeight="1" outlineLevel="2" x14ac:dyDescent="0.25">
      <c r="A75" s="25"/>
      <c r="B75" s="12" t="str">
        <f>CONCATENATE("          ","6247"," - ","STORE SUPPLIES")</f>
        <v xml:space="preserve">          6247 - STORE SUPPLIES</v>
      </c>
      <c r="C75" s="12"/>
      <c r="D75" s="7">
        <v>33</v>
      </c>
      <c r="E75" s="3"/>
      <c r="F75" s="8">
        <f t="shared" si="8"/>
        <v>7.2175651915640227E-4</v>
      </c>
      <c r="G75" s="3"/>
      <c r="H75" s="7"/>
      <c r="I75" s="3"/>
      <c r="J75" s="8">
        <f t="shared" si="9"/>
        <v>0</v>
      </c>
      <c r="K75" s="3"/>
      <c r="L75" s="7">
        <f t="shared" si="10"/>
        <v>33</v>
      </c>
      <c r="M75" s="3"/>
      <c r="N75" s="8">
        <f t="shared" si="11"/>
        <v>0</v>
      </c>
      <c r="O75" s="12"/>
      <c r="P75" s="7">
        <v>33</v>
      </c>
      <c r="Q75" s="3"/>
      <c r="R75" s="8">
        <f t="shared" si="12"/>
        <v>4.0682232658680558E-5</v>
      </c>
      <c r="S75" s="3"/>
      <c r="T75" s="7"/>
      <c r="U75" s="3"/>
      <c r="V75" s="8">
        <f t="shared" si="13"/>
        <v>0</v>
      </c>
      <c r="W75" s="3"/>
      <c r="X75" s="7">
        <f t="shared" si="14"/>
        <v>33</v>
      </c>
      <c r="Y75" s="3"/>
      <c r="Z75" s="8">
        <f t="shared" si="15"/>
        <v>0</v>
      </c>
    </row>
    <row r="76" spans="1:26" s="68" customFormat="1" ht="15" customHeight="1" outlineLevel="1" collapsed="1" x14ac:dyDescent="0.25">
      <c r="A76" s="26"/>
      <c r="B76" s="14" t="str">
        <f>CONCATENATE("     ","Telephone/Data Lines                              ")</f>
        <v xml:space="preserve">     Telephone/Data Lines                              </v>
      </c>
      <c r="C76" s="14"/>
      <c r="D76" s="2">
        <f>SUM(OSRRefD22_15x_0)</f>
        <v>180.1</v>
      </c>
      <c r="E76" s="2"/>
      <c r="F76" s="6">
        <f t="shared" si="8"/>
        <v>3.9390408818202431E-3</v>
      </c>
      <c r="G76" s="2"/>
      <c r="H76" s="2">
        <f>SUM(OSRRefH22_15x_0)</f>
        <v>157</v>
      </c>
      <c r="I76" s="2"/>
      <c r="J76" s="6">
        <f t="shared" si="9"/>
        <v>1.1396193381061851E-2</v>
      </c>
      <c r="K76" s="2"/>
      <c r="L76" s="2">
        <f t="shared" si="10"/>
        <v>23.099999999999994</v>
      </c>
      <c r="M76" s="2"/>
      <c r="N76" s="6">
        <f t="shared" si="11"/>
        <v>0.14713375796178341</v>
      </c>
      <c r="O76" s="14"/>
      <c r="P76" s="2">
        <f>SUM(OSRRefP22_15x_0)</f>
        <v>2536.13</v>
      </c>
      <c r="Q76" s="2"/>
      <c r="R76" s="6">
        <f t="shared" si="12"/>
        <v>3.126528203413925E-3</v>
      </c>
      <c r="S76" s="2"/>
      <c r="T76" s="2">
        <f>SUM(OSRRefT22_15x_0)</f>
        <v>2080</v>
      </c>
      <c r="U76" s="2"/>
      <c r="V76" s="6">
        <f t="shared" si="13"/>
        <v>2.6954810131224569E-2</v>
      </c>
      <c r="W76" s="2"/>
      <c r="X76" s="2">
        <f t="shared" si="14"/>
        <v>456.13000000000011</v>
      </c>
      <c r="Y76" s="2"/>
      <c r="Z76" s="6">
        <f t="shared" si="15"/>
        <v>0.21929326923076928</v>
      </c>
    </row>
    <row r="77" spans="1:26" s="69" customFormat="1" ht="15" hidden="1" customHeight="1" outlineLevel="2" x14ac:dyDescent="0.25">
      <c r="A77" s="25"/>
      <c r="B77" s="12" t="str">
        <f>CONCATENATE("          ","6309"," - ","TELEPHONE")</f>
        <v xml:space="preserve">          6309 - TELEPHONE</v>
      </c>
      <c r="C77" s="12"/>
      <c r="D77" s="7">
        <v>180.1</v>
      </c>
      <c r="E77" s="3"/>
      <c r="F77" s="8">
        <f t="shared" si="8"/>
        <v>3.9390408818202431E-3</v>
      </c>
      <c r="G77" s="3"/>
      <c r="H77" s="7">
        <v>157</v>
      </c>
      <c r="I77" s="3"/>
      <c r="J77" s="8">
        <f t="shared" si="9"/>
        <v>1.1396193381061851E-2</v>
      </c>
      <c r="K77" s="3"/>
      <c r="L77" s="7">
        <f t="shared" si="10"/>
        <v>23.099999999999994</v>
      </c>
      <c r="M77" s="3"/>
      <c r="N77" s="8">
        <f t="shared" si="11"/>
        <v>0.14713375796178341</v>
      </c>
      <c r="O77" s="12"/>
      <c r="P77" s="7">
        <v>2536.13</v>
      </c>
      <c r="Q77" s="3"/>
      <c r="R77" s="8">
        <f t="shared" si="12"/>
        <v>3.126528203413925E-3</v>
      </c>
      <c r="S77" s="3"/>
      <c r="T77" s="7">
        <v>2080</v>
      </c>
      <c r="U77" s="3"/>
      <c r="V77" s="8">
        <f t="shared" si="13"/>
        <v>2.6954810131224569E-2</v>
      </c>
      <c r="W77" s="3"/>
      <c r="X77" s="7">
        <f t="shared" si="14"/>
        <v>456.13000000000011</v>
      </c>
      <c r="Y77" s="3"/>
      <c r="Z77" s="8">
        <f t="shared" si="15"/>
        <v>0.21929326923076928</v>
      </c>
    </row>
    <row r="78" spans="1:26" s="68" customFormat="1" ht="15" customHeight="1" outlineLevel="1" collapsed="1" x14ac:dyDescent="0.25">
      <c r="A78" s="26"/>
      <c r="B78" s="14" t="str">
        <f>CONCATENATE("     ","Training                                          ")</f>
        <v xml:space="preserve">     Training                                          </v>
      </c>
      <c r="C78" s="14"/>
      <c r="D78" s="2">
        <f>SUM(OSRRefD22_16x_0)</f>
        <v>0</v>
      </c>
      <c r="E78" s="2"/>
      <c r="F78" s="6">
        <f t="shared" si="8"/>
        <v>0</v>
      </c>
      <c r="G78" s="2"/>
      <c r="H78" s="2">
        <f>SUM(OSRRefH22_16x_0)</f>
        <v>0</v>
      </c>
      <c r="I78" s="2"/>
      <c r="J78" s="6">
        <f t="shared" si="9"/>
        <v>0</v>
      </c>
      <c r="K78" s="2"/>
      <c r="L78" s="2">
        <f t="shared" si="10"/>
        <v>0</v>
      </c>
      <c r="M78" s="2"/>
      <c r="N78" s="6">
        <f t="shared" si="11"/>
        <v>0</v>
      </c>
      <c r="O78" s="14"/>
      <c r="P78" s="2">
        <f>SUM(OSRRefP22_16x_0)</f>
        <v>175.95</v>
      </c>
      <c r="Q78" s="2"/>
      <c r="R78" s="6">
        <f t="shared" si="12"/>
        <v>2.1691026776651042E-4</v>
      </c>
      <c r="S78" s="2"/>
      <c r="T78" s="2">
        <f>SUM(OSRRefT22_16x_0)</f>
        <v>400</v>
      </c>
      <c r="U78" s="2"/>
      <c r="V78" s="6">
        <f t="shared" si="13"/>
        <v>5.1836173329278014E-3</v>
      </c>
      <c r="W78" s="2"/>
      <c r="X78" s="2">
        <f t="shared" si="14"/>
        <v>-224.05</v>
      </c>
      <c r="Y78" s="2"/>
      <c r="Z78" s="6">
        <f t="shared" si="15"/>
        <v>-0.56012499999999998</v>
      </c>
    </row>
    <row r="79" spans="1:26" s="69" customFormat="1" ht="15" hidden="1" customHeight="1" outlineLevel="2" x14ac:dyDescent="0.25">
      <c r="A79" s="25"/>
      <c r="B79" s="12" t="str">
        <f>CONCATENATE("          ","6376"," - ","TRAINING")</f>
        <v xml:space="preserve">          6376 - TRAINING</v>
      </c>
      <c r="C79" s="12"/>
      <c r="D79" s="7"/>
      <c r="E79" s="3"/>
      <c r="F79" s="8">
        <f t="shared" si="8"/>
        <v>0</v>
      </c>
      <c r="G79" s="3"/>
      <c r="H79" s="7"/>
      <c r="I79" s="3"/>
      <c r="J79" s="8">
        <f t="shared" si="9"/>
        <v>0</v>
      </c>
      <c r="K79" s="3"/>
      <c r="L79" s="7">
        <f t="shared" si="10"/>
        <v>0</v>
      </c>
      <c r="M79" s="3"/>
      <c r="N79" s="8">
        <f t="shared" si="11"/>
        <v>0</v>
      </c>
      <c r="O79" s="12"/>
      <c r="P79" s="7">
        <v>175.95</v>
      </c>
      <c r="Q79" s="3"/>
      <c r="R79" s="8">
        <f t="shared" si="12"/>
        <v>2.1691026776651042E-4</v>
      </c>
      <c r="S79" s="3"/>
      <c r="T79" s="7">
        <v>400</v>
      </c>
      <c r="U79" s="3"/>
      <c r="V79" s="8">
        <f t="shared" si="13"/>
        <v>5.1836173329278014E-3</v>
      </c>
      <c r="W79" s="3"/>
      <c r="X79" s="7">
        <f t="shared" si="14"/>
        <v>-224.05</v>
      </c>
      <c r="Y79" s="3"/>
      <c r="Z79" s="8">
        <f t="shared" si="15"/>
        <v>-0.56012499999999998</v>
      </c>
    </row>
    <row r="80" spans="1:26" s="68" customFormat="1" ht="15" customHeight="1" outlineLevel="1" collapsed="1" x14ac:dyDescent="0.25">
      <c r="A80" s="26"/>
      <c r="B80" s="14" t="str">
        <f>CONCATENATE("     ","Utilities                                         ")</f>
        <v xml:space="preserve">     Utilities                                         </v>
      </c>
      <c r="C80" s="14"/>
      <c r="D80" s="2">
        <f>SUM(OSRRefD22_17x_0)</f>
        <v>5831.76</v>
      </c>
      <c r="E80" s="2"/>
      <c r="F80" s="6">
        <f t="shared" si="8"/>
        <v>0.1275488120653194</v>
      </c>
      <c r="G80" s="2"/>
      <c r="H80" s="2">
        <f>SUM(OSRRefH22_17x_0)</f>
        <v>2300</v>
      </c>
      <c r="I80" s="2"/>
      <c r="J80" s="6">
        <f t="shared" si="9"/>
        <v>0.16695060367160672</v>
      </c>
      <c r="K80" s="2"/>
      <c r="L80" s="2">
        <f t="shared" si="10"/>
        <v>3531.76</v>
      </c>
      <c r="M80" s="2"/>
      <c r="N80" s="6">
        <f t="shared" si="11"/>
        <v>1.5355478260869566</v>
      </c>
      <c r="O80" s="14"/>
      <c r="P80" s="2">
        <f>SUM(OSRRefP22_17x_0)</f>
        <v>27431.759999999998</v>
      </c>
      <c r="Q80" s="2"/>
      <c r="R80" s="6">
        <f t="shared" si="12"/>
        <v>3.3817734622942026E-2</v>
      </c>
      <c r="S80" s="2"/>
      <c r="T80" s="2">
        <f>SUM(OSRRefT22_17x_0)</f>
        <v>12925</v>
      </c>
      <c r="U80" s="2"/>
      <c r="V80" s="6">
        <f t="shared" si="13"/>
        <v>0.16749563507022958</v>
      </c>
      <c r="W80" s="2"/>
      <c r="X80" s="2">
        <f t="shared" si="14"/>
        <v>14506.759999999998</v>
      </c>
      <c r="Y80" s="2"/>
      <c r="Z80" s="6">
        <f t="shared" si="15"/>
        <v>1.1223798839458412</v>
      </c>
    </row>
    <row r="81" spans="1:26" s="69" customFormat="1" ht="15" hidden="1" customHeight="1" outlineLevel="2" x14ac:dyDescent="0.25">
      <c r="A81" s="25"/>
      <c r="B81" s="12" t="str">
        <f>CONCATENATE("          ","6274"," - ","UTILITIES")</f>
        <v xml:space="preserve">          6274 - UTILITIES</v>
      </c>
      <c r="C81" s="12"/>
      <c r="D81" s="7">
        <v>5831.76</v>
      </c>
      <c r="E81" s="3"/>
      <c r="F81" s="8">
        <f t="shared" si="8"/>
        <v>0.1275488120653194</v>
      </c>
      <c r="G81" s="3"/>
      <c r="H81" s="7">
        <v>2300</v>
      </c>
      <c r="I81" s="3"/>
      <c r="J81" s="8">
        <f t="shared" si="9"/>
        <v>0.16695060367160672</v>
      </c>
      <c r="K81" s="3"/>
      <c r="L81" s="7">
        <f t="shared" si="10"/>
        <v>3531.76</v>
      </c>
      <c r="M81" s="3"/>
      <c r="N81" s="8">
        <f t="shared" si="11"/>
        <v>1.5355478260869566</v>
      </c>
      <c r="O81" s="12"/>
      <c r="P81" s="7">
        <v>27431.759999999998</v>
      </c>
      <c r="Q81" s="3"/>
      <c r="R81" s="8">
        <f t="shared" si="12"/>
        <v>3.3817734622942026E-2</v>
      </c>
      <c r="S81" s="3"/>
      <c r="T81" s="7">
        <v>12925</v>
      </c>
      <c r="U81" s="3"/>
      <c r="V81" s="8">
        <f t="shared" si="13"/>
        <v>0.16749563507022958</v>
      </c>
      <c r="W81" s="3"/>
      <c r="X81" s="7">
        <f t="shared" si="14"/>
        <v>14506.759999999998</v>
      </c>
      <c r="Y81" s="3"/>
      <c r="Z81" s="8">
        <f t="shared" si="15"/>
        <v>1.1223798839458412</v>
      </c>
    </row>
    <row r="82" spans="1:26" s="64" customFormat="1" ht="15" customHeight="1" x14ac:dyDescent="0.25">
      <c r="A82" s="36"/>
      <c r="B82" s="36"/>
      <c r="C82" s="36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O82" s="3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62" customFormat="1" ht="15" customHeight="1" collapsed="1" x14ac:dyDescent="0.25">
      <c r="A83" s="11"/>
      <c r="B83" s="28" t="s">
        <v>290</v>
      </c>
      <c r="C83" s="11"/>
      <c r="D83" s="5">
        <f>SUM(OSRRefD25x_0)</f>
        <v>0</v>
      </c>
      <c r="E83" s="5"/>
      <c r="F83" s="13">
        <f>IF(D$12=0,0,D83/D$12)</f>
        <v>0</v>
      </c>
      <c r="G83" s="5"/>
      <c r="H83" s="5">
        <f>SUM(OSRRefH25x_0)</f>
        <v>0</v>
      </c>
      <c r="I83" s="5"/>
      <c r="J83" s="13">
        <f>IF(H$12=0,0,H83/H$12)</f>
        <v>0</v>
      </c>
      <c r="K83" s="5"/>
      <c r="L83" s="5">
        <f>+D83-H83</f>
        <v>0</v>
      </c>
      <c r="M83" s="5"/>
      <c r="N83" s="13">
        <f>IF(H83=0,0,L83/H83)</f>
        <v>0</v>
      </c>
      <c r="O83" s="11"/>
      <c r="P83" s="5">
        <f>SUM(OSRRefP25x_0)</f>
        <v>6.03</v>
      </c>
      <c r="Q83" s="5"/>
      <c r="R83" s="13">
        <f>IF(P$12=0,0,P83/P$12)</f>
        <v>7.4337534221770846E-6</v>
      </c>
      <c r="S83" s="5"/>
      <c r="T83" s="5">
        <f>SUM(OSRRefT25x_0)</f>
        <v>0</v>
      </c>
      <c r="U83" s="5"/>
      <c r="V83" s="13">
        <f>IF(T$12=0,0,T83/T$12)</f>
        <v>0</v>
      </c>
      <c r="W83" s="5"/>
      <c r="X83" s="5">
        <f>+P83-T83</f>
        <v>6.03</v>
      </c>
      <c r="Y83" s="5"/>
      <c r="Z83" s="13">
        <f>IF(T83=0,0,X83/T83)</f>
        <v>0</v>
      </c>
    </row>
    <row r="84" spans="1:26" s="69" customFormat="1" ht="15" hidden="1" customHeight="1" outlineLevel="1" x14ac:dyDescent="0.25">
      <c r="A84" s="42"/>
      <c r="B84" s="12" t="str">
        <f>CONCATENATE("          ","9150"," - ","MISC. INCOME")</f>
        <v xml:space="preserve">          9150 - MISC. INCOME</v>
      </c>
      <c r="C84" s="12"/>
      <c r="D84" s="3">
        <f>0</f>
        <v>0</v>
      </c>
      <c r="E84" s="3"/>
      <c r="F84" s="20">
        <f>IF(D$12=0,0,D84/D$12)</f>
        <v>0</v>
      </c>
      <c r="G84" s="3"/>
      <c r="H84" s="3">
        <f>0</f>
        <v>0</v>
      </c>
      <c r="I84" s="3"/>
      <c r="J84" s="20">
        <f>IF(H$12=0,0,H84/H$12)</f>
        <v>0</v>
      </c>
      <c r="K84" s="3"/>
      <c r="L84" s="3">
        <f>+D84-H84</f>
        <v>0</v>
      </c>
      <c r="M84" s="3"/>
      <c r="N84" s="20">
        <f>IF(H84=0,0,L84/H84)</f>
        <v>0</v>
      </c>
      <c r="O84" s="12"/>
      <c r="P84" s="3">
        <f>--6.03</f>
        <v>6.03</v>
      </c>
      <c r="Q84" s="3"/>
      <c r="R84" s="20">
        <f>IF(P$12=0,0,P84/P$12)</f>
        <v>7.4337534221770846E-6</v>
      </c>
      <c r="S84" s="3"/>
      <c r="T84" s="3">
        <f>0</f>
        <v>0</v>
      </c>
      <c r="U84" s="3"/>
      <c r="V84" s="20">
        <f>IF(T$12=0,0,T84/T$12)</f>
        <v>0</v>
      </c>
      <c r="W84" s="3"/>
      <c r="X84" s="3">
        <f>+P84-T84</f>
        <v>6.03</v>
      </c>
      <c r="Y84" s="3"/>
      <c r="Z84" s="20">
        <f>IF(T84=0,0,X84/T84)</f>
        <v>0</v>
      </c>
    </row>
    <row r="85" spans="1:26" ht="15" customHeight="1" x14ac:dyDescent="0.25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25">
      <c r="A86" s="11"/>
      <c r="B86" s="27" t="s">
        <v>291</v>
      </c>
      <c r="C86" s="27"/>
      <c r="D86" s="22">
        <f>+D20-D22+D83</f>
        <v>-66596.78</v>
      </c>
      <c r="E86" s="15"/>
      <c r="F86" s="23">
        <f>IF(D$12=0,0,D86/D$12)</f>
        <v>-1.4565654581765062</v>
      </c>
      <c r="G86" s="15"/>
      <c r="H86" s="22">
        <f>+H20-H22+H83</f>
        <v>-52023.619999999988</v>
      </c>
      <c r="I86" s="15"/>
      <c r="J86" s="23">
        <f>IF(H$12=0,0,H86/H$12)</f>
        <v>-3.7762498974705525</v>
      </c>
      <c r="K86" s="16"/>
      <c r="L86" s="22">
        <f>+D86-H86</f>
        <v>-14573.160000000011</v>
      </c>
      <c r="M86" s="16"/>
      <c r="N86" s="23">
        <f>IF(H86=0,0,L86/H86)</f>
        <v>0.28012583514949585</v>
      </c>
      <c r="O86" s="28"/>
      <c r="P86" s="22">
        <f>+P20-P22+P83</f>
        <v>-347262.69999999984</v>
      </c>
      <c r="Q86" s="15"/>
      <c r="R86" s="23">
        <f>IF(P$12=0,0,P86/P$12)</f>
        <v>-0.42810369560853279</v>
      </c>
      <c r="S86" s="15"/>
      <c r="T86" s="22">
        <f>+T20-T22+T83</f>
        <v>-621308.87000000011</v>
      </c>
      <c r="U86" s="15"/>
      <c r="V86" s="23">
        <f>IF(T$12=0,0,T86/T$12)</f>
        <v>-8.0515685690844663</v>
      </c>
      <c r="W86" s="16"/>
      <c r="X86" s="22">
        <f>+P86-T86</f>
        <v>274046.17000000027</v>
      </c>
      <c r="Y86" s="16"/>
      <c r="Z86" s="23">
        <f>IF(T86=0,0,X86/T86)</f>
        <v>-0.44107879869798128</v>
      </c>
    </row>
    <row r="87" spans="1:26" ht="15" customHeight="1" x14ac:dyDescent="0.25">
      <c r="A87" s="10"/>
      <c r="B87" s="11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25">
      <c r="A88" s="48"/>
      <c r="B88" s="11" t="s">
        <v>292</v>
      </c>
      <c r="C88" s="11"/>
      <c r="D88" s="5">
        <v>4483.13</v>
      </c>
      <c r="E88" s="5"/>
      <c r="F88" s="13">
        <f>IF(D$12=0,0,D88/D$12)</f>
        <v>9.8052372840170959E-2</v>
      </c>
      <c r="G88" s="5"/>
      <c r="H88" s="5">
        <v>3228.31</v>
      </c>
      <c r="I88" s="5"/>
      <c r="J88" s="13">
        <f>IF(H$12=0,0,H88/H$12)</f>
        <v>0.23433404493003682</v>
      </c>
      <c r="K88" s="5"/>
      <c r="L88" s="5">
        <f>+D88-H88</f>
        <v>1254.8200000000002</v>
      </c>
      <c r="M88" s="5"/>
      <c r="N88" s="13">
        <f>IF(H88=0,0,L88/H88)</f>
        <v>0.38869253572302542</v>
      </c>
      <c r="O88" s="11"/>
      <c r="P88" s="5">
        <v>91195.5</v>
      </c>
      <c r="Q88" s="5"/>
      <c r="R88" s="13">
        <f>IF(P$12=0,0,P88/P$12)</f>
        <v>0.11242534995226372</v>
      </c>
      <c r="S88" s="5"/>
      <c r="T88" s="5">
        <v>16489.68</v>
      </c>
      <c r="U88" s="5"/>
      <c r="V88" s="13">
        <f>IF(T$12=0,0,T88/T$12)</f>
        <v>0.21369047765608229</v>
      </c>
      <c r="W88" s="5"/>
      <c r="X88" s="5">
        <f>+P88-T88</f>
        <v>74705.820000000007</v>
      </c>
      <c r="Y88" s="5"/>
      <c r="Z88" s="13">
        <f>IF(T88=0,0,X88/T88)</f>
        <v>4.5304590507517428</v>
      </c>
    </row>
    <row r="89" spans="1:26" ht="15" customHeight="1" x14ac:dyDescent="0.25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25">
      <c r="A90" s="11"/>
      <c r="B90" s="27" t="s">
        <v>293</v>
      </c>
      <c r="C90" s="27"/>
      <c r="D90" s="35">
        <f>+D86-D88</f>
        <v>-71079.91</v>
      </c>
      <c r="E90" s="15"/>
      <c r="F90" s="30">
        <f>IF(D$12=0,0,D90/D$12)</f>
        <v>-1.5546178310166772</v>
      </c>
      <c r="G90" s="15"/>
      <c r="H90" s="35">
        <f>+H86-H88</f>
        <v>-55251.929999999986</v>
      </c>
      <c r="I90" s="15"/>
      <c r="J90" s="30">
        <f>IF(H$12=0,0,H90/H$12)</f>
        <v>-4.0105839424005891</v>
      </c>
      <c r="K90" s="16"/>
      <c r="L90" s="35">
        <f>D90-H90</f>
        <v>-15827.980000000018</v>
      </c>
      <c r="M90" s="16"/>
      <c r="N90" s="30">
        <f>IF(H90=0,0,L90/H90)</f>
        <v>0.28646926903729919</v>
      </c>
      <c r="O90" s="28"/>
      <c r="P90" s="35">
        <f>+P86-P88</f>
        <v>-438458.19999999984</v>
      </c>
      <c r="Q90" s="15"/>
      <c r="R90" s="30">
        <f>IF(P$12=0,0,P90/P$12)</f>
        <v>-0.54052904556079651</v>
      </c>
      <c r="S90" s="15"/>
      <c r="T90" s="35">
        <f>+T86-T88</f>
        <v>-637798.55000000016</v>
      </c>
      <c r="U90" s="15"/>
      <c r="V90" s="30">
        <f>IF(T$12=0,0,T90/T$12)</f>
        <v>-8.2652590467405496</v>
      </c>
      <c r="W90" s="16"/>
      <c r="X90" s="35">
        <f>P90-T90</f>
        <v>199340.35000000033</v>
      </c>
      <c r="Y90" s="16"/>
      <c r="Z90" s="30">
        <f>IF(T90=0,0,X90/T90)</f>
        <v>-0.31254437627680443</v>
      </c>
    </row>
    <row r="91" spans="1:26" ht="15" customHeight="1" x14ac:dyDescent="0.25">
      <c r="A91" s="10"/>
      <c r="B91" s="10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ht="15" customHeight="1" x14ac:dyDescent="0.25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2" customFormat="1" ht="15" customHeight="1" x14ac:dyDescent="0.25">
      <c r="A93" s="11"/>
      <c r="B93" s="27" t="s">
        <v>296</v>
      </c>
      <c r="C93" s="27"/>
      <c r="D93" s="32">
        <f>SUM(D90:D92)</f>
        <v>-71079.91</v>
      </c>
      <c r="E93" s="15"/>
      <c r="F93" s="34">
        <f>IF(D$12=0,0,D93/D$12)</f>
        <v>-1.5546178310166772</v>
      </c>
      <c r="G93" s="15"/>
      <c r="H93" s="32">
        <f>SUM(H90:H92)</f>
        <v>-55251.929999999986</v>
      </c>
      <c r="I93" s="15"/>
      <c r="J93" s="34">
        <f>IF(H$12=0,0,H93/H$12)</f>
        <v>-4.0105839424005891</v>
      </c>
      <c r="K93" s="16"/>
      <c r="L93" s="32">
        <f>+D93-H93</f>
        <v>-15827.980000000018</v>
      </c>
      <c r="M93" s="16"/>
      <c r="N93" s="34">
        <f>IF(H93=0,0,L93/H93)</f>
        <v>0.28646926903729919</v>
      </c>
      <c r="O93" s="28"/>
      <c r="P93" s="32">
        <f>SUM(P90:P92)</f>
        <v>-438458.19999999984</v>
      </c>
      <c r="Q93" s="15"/>
      <c r="R93" s="34">
        <f>IF(P$12=0,0,P93/P$12)</f>
        <v>-0.54052904556079651</v>
      </c>
      <c r="S93" s="15"/>
      <c r="T93" s="32">
        <f>SUM(T90:T92)</f>
        <v>-637798.55000000016</v>
      </c>
      <c r="U93" s="15"/>
      <c r="V93" s="34">
        <f>IF(T$12=0,0,T93/T$12)</f>
        <v>-8.2652590467405496</v>
      </c>
      <c r="W93" s="16"/>
      <c r="X93" s="32">
        <f>+P93-T93</f>
        <v>199340.35000000033</v>
      </c>
      <c r="Y93" s="16"/>
      <c r="Z93" s="34">
        <f>IF(T93=0,0,X93/T93)</f>
        <v>-0.31254437627680443</v>
      </c>
    </row>
    <row r="94" spans="1:26" ht="15" customHeight="1" x14ac:dyDescent="0.25">
      <c r="A94" s="10"/>
      <c r="C94" s="10"/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  <row r="95" spans="1:26" ht="15" customHeight="1" x14ac:dyDescent="0.25">
      <c r="A95" s="10"/>
      <c r="B95" s="50">
        <v>44727.879654085649</v>
      </c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  <row r="96" spans="1:26" ht="15" customHeight="1" x14ac:dyDescent="0.25">
      <c r="A96" s="10"/>
      <c r="B96" s="53" t="s">
        <v>297</v>
      </c>
      <c r="D96" s="18"/>
      <c r="E96" s="18"/>
      <c r="G96" s="18"/>
      <c r="H96" s="18"/>
      <c r="I96" s="18"/>
      <c r="J96" s="41"/>
      <c r="K96" s="18"/>
      <c r="L96" s="18"/>
      <c r="M96" s="18"/>
      <c r="P96" s="18"/>
      <c r="Q96" s="18"/>
      <c r="R96" s="41"/>
      <c r="S96" s="18"/>
      <c r="T96" s="18"/>
      <c r="U96" s="18"/>
      <c r="V96" s="41"/>
      <c r="W96" s="18"/>
      <c r="X96" s="18"/>
    </row>
    <row r="97" spans="1:24" ht="15" customHeight="1" x14ac:dyDescent="0.25">
      <c r="A97" s="10"/>
      <c r="B97" s="55"/>
      <c r="D97" s="18"/>
      <c r="E97" s="18"/>
      <c r="G97" s="18"/>
      <c r="H97" s="18"/>
      <c r="I97" s="18"/>
      <c r="J97" s="41"/>
      <c r="K97" s="18"/>
      <c r="L97" s="18"/>
      <c r="M97" s="18"/>
      <c r="P97" s="18"/>
      <c r="Q97" s="18"/>
      <c r="R97" s="41"/>
      <c r="S97" s="18"/>
      <c r="T97" s="18"/>
      <c r="U97" s="18"/>
      <c r="V97" s="41"/>
      <c r="W97" s="18"/>
      <c r="X97" s="18"/>
    </row>
    <row r="98" spans="1:24" ht="15" customHeight="1" x14ac:dyDescent="0.25">
      <c r="D98" s="18"/>
      <c r="E98" s="18"/>
      <c r="G98" s="18"/>
      <c r="H98" s="18"/>
      <c r="I98" s="18"/>
      <c r="J98" s="41"/>
      <c r="K98" s="18"/>
      <c r="L98" s="18"/>
      <c r="M98" s="18"/>
      <c r="P98" s="18"/>
      <c r="Q98" s="18"/>
      <c r="R98" s="41"/>
      <c r="S98" s="18"/>
      <c r="T98" s="18"/>
      <c r="U98" s="18"/>
      <c r="V98" s="41"/>
      <c r="W98" s="18"/>
      <c r="X9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17388-B6DA-AA48-A05F-B867B7E33D6C}">
  <sheetPr>
    <tabColor rgb="FF92D050"/>
    <outlinePr summaryBelow="0" summaryRight="0"/>
  </sheetPr>
  <dimension ref="A2:Z8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","418"," - ","Nugget")</f>
        <v>Department 418 - Nugget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25">
      <c r="A14" s="11"/>
      <c r="B14" s="28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1168.02</v>
      </c>
      <c r="Q14" s="5"/>
      <c r="R14" s="13">
        <f>IF(P$12=0,0,P14/P$12)</f>
        <v>0</v>
      </c>
      <c r="S14" s="5"/>
      <c r="T14" s="5">
        <f>SUM(OSRRefT16x_0)</f>
        <v>-301.68</v>
      </c>
      <c r="U14" s="5"/>
      <c r="V14" s="13">
        <f>IF(T$12=0,0,T14/T$12)</f>
        <v>0</v>
      </c>
      <c r="W14" s="5"/>
      <c r="X14" s="5">
        <f>+P14-T14</f>
        <v>1469.7</v>
      </c>
      <c r="Y14" s="5"/>
      <c r="Z14" s="13">
        <f>IF(T14=0,0,X14/T14)</f>
        <v>-4.8717183770883059</v>
      </c>
    </row>
    <row r="15" spans="1:26" s="69" customFormat="1" ht="15" hidden="1" customHeight="1" outlineLevel="1" x14ac:dyDescent="0.25">
      <c r="A15" s="42"/>
      <c r="B15" s="12" t="str">
        <f>CONCATENATE("          ","5053"," - ","PURCHASES @ COST-FOOD")</f>
        <v xml:space="preserve">          5053 - PURCHASES @ COST-FOOD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1168.02</v>
      </c>
      <c r="Q15" s="3"/>
      <c r="R15" s="20">
        <f>IF(P$12=0,0,P15/P$12)</f>
        <v>0</v>
      </c>
      <c r="S15" s="3"/>
      <c r="T15" s="3">
        <v>-301.68</v>
      </c>
      <c r="U15" s="3"/>
      <c r="V15" s="20">
        <f>IF(T$12=0,0,T15/T$12)</f>
        <v>0</v>
      </c>
      <c r="W15" s="3"/>
      <c r="X15" s="3">
        <f>+P15-T15</f>
        <v>1469.7</v>
      </c>
      <c r="Y15" s="3"/>
      <c r="Z15" s="20">
        <f>IF(T15=0,0,X15/T15)</f>
        <v>-4.8717183770883059</v>
      </c>
    </row>
    <row r="16" spans="1:26" ht="15" customHeight="1" x14ac:dyDescent="0.25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25">
      <c r="A17" s="11"/>
      <c r="B17" s="27" t="s">
        <v>288</v>
      </c>
      <c r="C17" s="27"/>
      <c r="D17" s="22">
        <f>D12-D14</f>
        <v>0</v>
      </c>
      <c r="E17" s="15"/>
      <c r="F17" s="23">
        <f>IF(D$12=0,0,D17/D$12)</f>
        <v>0</v>
      </c>
      <c r="G17" s="15"/>
      <c r="H17" s="22">
        <f>H12-H14</f>
        <v>0</v>
      </c>
      <c r="I17" s="15"/>
      <c r="J17" s="23">
        <f>IF(H$12=0,0,H17/H$12)</f>
        <v>0</v>
      </c>
      <c r="K17" s="16"/>
      <c r="L17" s="22">
        <f>+D17-H17</f>
        <v>0</v>
      </c>
      <c r="M17" s="16"/>
      <c r="N17" s="23">
        <f>IF(H17=0,0,L17/H17)</f>
        <v>0</v>
      </c>
      <c r="O17" s="28"/>
      <c r="P17" s="22">
        <f>P12-P14</f>
        <v>-1168.02</v>
      </c>
      <c r="Q17" s="15"/>
      <c r="R17" s="23">
        <f>IF(P$12=0,0,P17/P$12)</f>
        <v>0</v>
      </c>
      <c r="S17" s="15"/>
      <c r="T17" s="22">
        <f>T12-T14</f>
        <v>301.68</v>
      </c>
      <c r="U17" s="15"/>
      <c r="V17" s="23">
        <f>IF(T$12=0,0,T17/T$12)</f>
        <v>0</v>
      </c>
      <c r="W17" s="16"/>
      <c r="X17" s="22">
        <f>+P17-T17</f>
        <v>-1469.7</v>
      </c>
      <c r="Y17" s="16"/>
      <c r="Z17" s="23">
        <f>IF(T17=0,0,X17/T17)</f>
        <v>-4.8717183770883059</v>
      </c>
    </row>
    <row r="18" spans="1:26" ht="15" customHeight="1" x14ac:dyDescent="0.25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25">
      <c r="A19" s="11"/>
      <c r="B19" s="28" t="s">
        <v>289</v>
      </c>
      <c r="C19" s="11"/>
      <c r="D19" s="21" cm="1">
        <f t="array" ref="D19">SUM(OSRRefD22x_0)</f>
        <v>17951.88</v>
      </c>
      <c r="E19" s="21"/>
      <c r="F19" s="31">
        <f t="shared" ref="F19:F65" si="0">IF(D$12=0,0,D19/D$12)</f>
        <v>0</v>
      </c>
      <c r="G19" s="21"/>
      <c r="H19" s="21" cm="1">
        <f t="array" ref="H19">SUM(OSRRefH22x_0)</f>
        <v>6925.17</v>
      </c>
      <c r="I19" s="21"/>
      <c r="J19" s="31">
        <f t="shared" ref="J19:J65" si="1">IF(H$12=0,0,H19/H$12)</f>
        <v>0</v>
      </c>
      <c r="K19" s="5"/>
      <c r="L19" s="21">
        <f t="shared" ref="L19:L65" si="2">+D19-H19</f>
        <v>11026.710000000001</v>
      </c>
      <c r="M19" s="5"/>
      <c r="N19" s="31">
        <f t="shared" ref="N19:N65" si="3">IF(H19=0,0,L19/H19)</f>
        <v>1.5922656050320787</v>
      </c>
      <c r="O19" s="11"/>
      <c r="P19" s="21" cm="1">
        <f t="array" ref="P19">SUM(OSRRefP22x_0)</f>
        <v>191184.54</v>
      </c>
      <c r="Q19" s="21"/>
      <c r="R19" s="31">
        <f t="shared" ref="R19:R65" si="4">IF(P$12=0,0,P19/P$12)</f>
        <v>0</v>
      </c>
      <c r="S19" s="21"/>
      <c r="T19" s="21" cm="1">
        <f t="array" ref="T19">SUM(OSRRefT22x_0)</f>
        <v>88071.360000000001</v>
      </c>
      <c r="U19" s="21"/>
      <c r="V19" s="31">
        <f t="shared" ref="V19:V65" si="5">IF(T$12=0,0,T19/T$12)</f>
        <v>0</v>
      </c>
      <c r="W19" s="5"/>
      <c r="X19" s="21">
        <f t="shared" ref="X19:X65" si="6">+P19-T19</f>
        <v>103113.18000000001</v>
      </c>
      <c r="Y19" s="5"/>
      <c r="Z19" s="31">
        <f t="shared" ref="Z19:Z65" si="7">IF(T19=0,0,X19/T19)</f>
        <v>1.1707912765284878</v>
      </c>
    </row>
    <row r="20" spans="1:26" s="68" customFormat="1" ht="15" customHeight="1" outlineLevel="1" collapsed="1" x14ac:dyDescent="0.25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2209.6</v>
      </c>
      <c r="E20" s="2"/>
      <c r="F20" s="6">
        <f t="shared" si="0"/>
        <v>0</v>
      </c>
      <c r="G20" s="2"/>
      <c r="H20" s="2">
        <f>SUM(OSRRefH22_0x_0)</f>
        <v>0</v>
      </c>
      <c r="I20" s="2"/>
      <c r="J20" s="6">
        <f t="shared" si="1"/>
        <v>0</v>
      </c>
      <c r="K20" s="2"/>
      <c r="L20" s="2">
        <f t="shared" si="2"/>
        <v>2209.6</v>
      </c>
      <c r="M20" s="2"/>
      <c r="N20" s="6">
        <f t="shared" si="3"/>
        <v>0</v>
      </c>
      <c r="O20" s="14"/>
      <c r="P20" s="2">
        <f>SUM(OSRRefP22_0x_0)</f>
        <v>29287.75</v>
      </c>
      <c r="Q20" s="2"/>
      <c r="R20" s="6">
        <f t="shared" si="4"/>
        <v>0</v>
      </c>
      <c r="S20" s="2"/>
      <c r="T20" s="2">
        <f>SUM(OSRRefT22_0x_0)</f>
        <v>6086.32</v>
      </c>
      <c r="U20" s="2"/>
      <c r="V20" s="6">
        <f t="shared" si="5"/>
        <v>0</v>
      </c>
      <c r="W20" s="2"/>
      <c r="X20" s="2">
        <f t="shared" si="6"/>
        <v>23201.43</v>
      </c>
      <c r="Y20" s="2"/>
      <c r="Z20" s="6">
        <f t="shared" si="7"/>
        <v>3.8120621327830282</v>
      </c>
    </row>
    <row r="21" spans="1:26" s="69" customFormat="1" ht="15" hidden="1" customHeight="1" outlineLevel="2" x14ac:dyDescent="0.25">
      <c r="A21" s="25"/>
      <c r="B21" s="12" t="str">
        <f>CONCATENATE("          ","6111"," - ","F.I.C.A.")</f>
        <v xml:space="preserve">          6111 - F.I.C.A.</v>
      </c>
      <c r="C21" s="12"/>
      <c r="D21" s="7">
        <v>429.42</v>
      </c>
      <c r="E21" s="3"/>
      <c r="F21" s="8">
        <f t="shared" si="0"/>
        <v>0</v>
      </c>
      <c r="G21" s="3"/>
      <c r="H21" s="7"/>
      <c r="I21" s="3"/>
      <c r="J21" s="8">
        <f t="shared" si="1"/>
        <v>0</v>
      </c>
      <c r="K21" s="3"/>
      <c r="L21" s="7">
        <f t="shared" si="2"/>
        <v>429.42</v>
      </c>
      <c r="M21" s="3"/>
      <c r="N21" s="8">
        <f t="shared" si="3"/>
        <v>0</v>
      </c>
      <c r="O21" s="12"/>
      <c r="P21" s="7">
        <v>4706.58</v>
      </c>
      <c r="Q21" s="3"/>
      <c r="R21" s="8">
        <f t="shared" si="4"/>
        <v>0</v>
      </c>
      <c r="S21" s="3"/>
      <c r="T21" s="7">
        <v>237.51</v>
      </c>
      <c r="U21" s="3"/>
      <c r="V21" s="8">
        <f t="shared" si="5"/>
        <v>0</v>
      </c>
      <c r="W21" s="3"/>
      <c r="X21" s="7">
        <f t="shared" si="6"/>
        <v>4469.07</v>
      </c>
      <c r="Y21" s="3"/>
      <c r="Z21" s="8">
        <f t="shared" si="7"/>
        <v>18.816344574965264</v>
      </c>
    </row>
    <row r="22" spans="1:26" s="69" customFormat="1" ht="15" hidden="1" customHeight="1" outlineLevel="2" x14ac:dyDescent="0.25">
      <c r="A22" s="25"/>
      <c r="B22" s="12" t="str">
        <f>CONCATENATE("          ","6112"," - ","COMPENSATION INSURANCE")</f>
        <v xml:space="preserve">          6112 - COMPENSATION INSURANCE</v>
      </c>
      <c r="C22" s="12"/>
      <c r="D22" s="7">
        <v>304.48</v>
      </c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304.48</v>
      </c>
      <c r="M22" s="3"/>
      <c r="N22" s="8">
        <f t="shared" si="3"/>
        <v>0</v>
      </c>
      <c r="O22" s="12"/>
      <c r="P22" s="7">
        <v>2156.16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2156.16</v>
      </c>
      <c r="Y22" s="3"/>
      <c r="Z22" s="8">
        <f t="shared" si="7"/>
        <v>0</v>
      </c>
    </row>
    <row r="23" spans="1:26" s="69" customFormat="1" ht="15" hidden="1" customHeight="1" outlineLevel="2" x14ac:dyDescent="0.25">
      <c r="A23" s="25"/>
      <c r="B23" s="12" t="str">
        <f>CONCATENATE("          ","6113"," - ","GROUP INSURANCE")</f>
        <v xml:space="preserve">          6113 - GROUP INSURANCE</v>
      </c>
      <c r="C23" s="12"/>
      <c r="D23" s="7">
        <v>652.17999999999995</v>
      </c>
      <c r="E23" s="3"/>
      <c r="F23" s="8">
        <f t="shared" si="0"/>
        <v>0</v>
      </c>
      <c r="G23" s="3"/>
      <c r="H23" s="7"/>
      <c r="I23" s="3"/>
      <c r="J23" s="8">
        <f t="shared" si="1"/>
        <v>0</v>
      </c>
      <c r="K23" s="3"/>
      <c r="L23" s="7">
        <f t="shared" si="2"/>
        <v>652.17999999999995</v>
      </c>
      <c r="M23" s="3"/>
      <c r="N23" s="8">
        <f t="shared" si="3"/>
        <v>0</v>
      </c>
      <c r="O23" s="12"/>
      <c r="P23" s="7">
        <v>13358.16</v>
      </c>
      <c r="Q23" s="3"/>
      <c r="R23" s="8">
        <f t="shared" si="4"/>
        <v>0</v>
      </c>
      <c r="S23" s="3"/>
      <c r="T23" s="7">
        <v>4780.67</v>
      </c>
      <c r="U23" s="3"/>
      <c r="V23" s="8">
        <f t="shared" si="5"/>
        <v>0</v>
      </c>
      <c r="W23" s="3"/>
      <c r="X23" s="7">
        <f t="shared" si="6"/>
        <v>8577.49</v>
      </c>
      <c r="Y23" s="3"/>
      <c r="Z23" s="8">
        <f t="shared" si="7"/>
        <v>1.7942024862623858</v>
      </c>
    </row>
    <row r="24" spans="1:26" s="69" customFormat="1" ht="15" hidden="1" customHeight="1" outlineLevel="2" x14ac:dyDescent="0.25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7">
        <v>21.99</v>
      </c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21.99</v>
      </c>
      <c r="M24" s="3"/>
      <c r="N24" s="8">
        <f t="shared" si="3"/>
        <v>0</v>
      </c>
      <c r="O24" s="12"/>
      <c r="P24" s="7">
        <v>157.1</v>
      </c>
      <c r="Q24" s="3"/>
      <c r="R24" s="8">
        <f t="shared" si="4"/>
        <v>0</v>
      </c>
      <c r="S24" s="3"/>
      <c r="T24" s="7"/>
      <c r="U24" s="3"/>
      <c r="V24" s="8">
        <f t="shared" si="5"/>
        <v>0</v>
      </c>
      <c r="W24" s="3"/>
      <c r="X24" s="7">
        <f t="shared" si="6"/>
        <v>157.1</v>
      </c>
      <c r="Y24" s="3"/>
      <c r="Z24" s="8">
        <f t="shared" si="7"/>
        <v>0</v>
      </c>
    </row>
    <row r="25" spans="1:26" s="69" customFormat="1" ht="15" hidden="1" customHeight="1" outlineLevel="2" x14ac:dyDescent="0.25">
      <c r="A25" s="25"/>
      <c r="B25" s="12" t="str">
        <f>CONCATENATE("          ","6115"," - ","P.E.R.S.")</f>
        <v xml:space="preserve">          6115 - P.E.R.S.</v>
      </c>
      <c r="C25" s="12"/>
      <c r="D25" s="7">
        <v>210.22</v>
      </c>
      <c r="E25" s="3"/>
      <c r="F25" s="8">
        <f t="shared" si="0"/>
        <v>0</v>
      </c>
      <c r="G25" s="3"/>
      <c r="H25" s="7"/>
      <c r="I25" s="3"/>
      <c r="J25" s="8">
        <f t="shared" si="1"/>
        <v>0</v>
      </c>
      <c r="K25" s="3"/>
      <c r="L25" s="7">
        <f t="shared" si="2"/>
        <v>210.22</v>
      </c>
      <c r="M25" s="3"/>
      <c r="N25" s="8">
        <f t="shared" si="3"/>
        <v>0</v>
      </c>
      <c r="O25" s="12"/>
      <c r="P25" s="7">
        <v>2543.2800000000002</v>
      </c>
      <c r="Q25" s="3"/>
      <c r="R25" s="8">
        <f t="shared" si="4"/>
        <v>0</v>
      </c>
      <c r="S25" s="3"/>
      <c r="T25" s="7">
        <v>678.15</v>
      </c>
      <c r="U25" s="3"/>
      <c r="V25" s="8">
        <f t="shared" si="5"/>
        <v>0</v>
      </c>
      <c r="W25" s="3"/>
      <c r="X25" s="7">
        <f t="shared" si="6"/>
        <v>1865.13</v>
      </c>
      <c r="Y25" s="3"/>
      <c r="Z25" s="8">
        <f t="shared" si="7"/>
        <v>2.7503207255032076</v>
      </c>
    </row>
    <row r="26" spans="1:26" s="69" customFormat="1" ht="15" hidden="1" customHeight="1" outlineLevel="2" x14ac:dyDescent="0.25">
      <c r="A26" s="25"/>
      <c r="B26" s="12" t="str">
        <f>CONCATENATE("          ","6118"," - ","VACATION")</f>
        <v xml:space="preserve">          6118 - VACATION</v>
      </c>
      <c r="C26" s="12"/>
      <c r="D26" s="7">
        <v>213.24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213.24</v>
      </c>
      <c r="M26" s="3"/>
      <c r="N26" s="8">
        <f t="shared" si="3"/>
        <v>0</v>
      </c>
      <c r="O26" s="12"/>
      <c r="P26" s="7">
        <v>2204</v>
      </c>
      <c r="Q26" s="3"/>
      <c r="R26" s="8">
        <f t="shared" si="4"/>
        <v>0</v>
      </c>
      <c r="S26" s="3"/>
      <c r="T26" s="7">
        <v>248.21</v>
      </c>
      <c r="U26" s="3"/>
      <c r="V26" s="8">
        <f t="shared" si="5"/>
        <v>0</v>
      </c>
      <c r="W26" s="3"/>
      <c r="X26" s="7">
        <f t="shared" si="6"/>
        <v>1955.79</v>
      </c>
      <c r="Y26" s="3"/>
      <c r="Z26" s="8">
        <f t="shared" si="7"/>
        <v>7.8795777768824777</v>
      </c>
    </row>
    <row r="27" spans="1:26" s="69" customFormat="1" ht="15" hidden="1" customHeight="1" outlineLevel="2" x14ac:dyDescent="0.25">
      <c r="A27" s="25"/>
      <c r="B27" s="12" t="str">
        <f>CONCATENATE("          ","6119"," - ","SICK LEAVE")</f>
        <v xml:space="preserve">          6119 - SICK LEAVE</v>
      </c>
      <c r="C27" s="12"/>
      <c r="D27" s="7">
        <v>255.46</v>
      </c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255.46</v>
      </c>
      <c r="M27" s="3"/>
      <c r="N27" s="8">
        <f t="shared" si="3"/>
        <v>0</v>
      </c>
      <c r="O27" s="12"/>
      <c r="P27" s="7">
        <v>2461.6799999999998</v>
      </c>
      <c r="Q27" s="3"/>
      <c r="R27" s="8">
        <f t="shared" si="4"/>
        <v>0</v>
      </c>
      <c r="S27" s="3"/>
      <c r="T27" s="7">
        <v>141.78</v>
      </c>
      <c r="U27" s="3"/>
      <c r="V27" s="8">
        <f t="shared" si="5"/>
        <v>0</v>
      </c>
      <c r="W27" s="3"/>
      <c r="X27" s="7">
        <f t="shared" si="6"/>
        <v>2319.8999999999996</v>
      </c>
      <c r="Y27" s="3"/>
      <c r="Z27" s="8">
        <f t="shared" si="7"/>
        <v>16.362674566229366</v>
      </c>
    </row>
    <row r="28" spans="1:26" s="69" customFormat="1" ht="15" hidden="1" customHeight="1" outlineLevel="2" x14ac:dyDescent="0.25">
      <c r="A28" s="25"/>
      <c r="B28" s="12" t="str">
        <f>CONCATENATE("          ","6156"," - ","EMPLOYEE MEALS")</f>
        <v xml:space="preserve">          6156 - EMPLOYEE MEALS</v>
      </c>
      <c r="C28" s="12"/>
      <c r="D28" s="7">
        <v>122.61</v>
      </c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122.61</v>
      </c>
      <c r="M28" s="3"/>
      <c r="N28" s="8">
        <f t="shared" si="3"/>
        <v>0</v>
      </c>
      <c r="O28" s="12"/>
      <c r="P28" s="7">
        <v>1700.79</v>
      </c>
      <c r="Q28" s="3"/>
      <c r="R28" s="8">
        <f t="shared" si="4"/>
        <v>0</v>
      </c>
      <c r="S28" s="3"/>
      <c r="T28" s="7"/>
      <c r="U28" s="3"/>
      <c r="V28" s="8">
        <f t="shared" si="5"/>
        <v>0</v>
      </c>
      <c r="W28" s="3"/>
      <c r="X28" s="7">
        <f t="shared" si="6"/>
        <v>1700.79</v>
      </c>
      <c r="Y28" s="3"/>
      <c r="Z28" s="8">
        <f t="shared" si="7"/>
        <v>0</v>
      </c>
    </row>
    <row r="29" spans="1:26" s="68" customFormat="1" ht="15" customHeight="1" outlineLevel="1" collapsed="1" x14ac:dyDescent="0.25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5261.56</v>
      </c>
      <c r="E29" s="2"/>
      <c r="F29" s="6">
        <f t="shared" si="0"/>
        <v>0</v>
      </c>
      <c r="G29" s="2"/>
      <c r="H29" s="2">
        <f>SUM(OSRRefH22_1x_0)</f>
        <v>0</v>
      </c>
      <c r="I29" s="2"/>
      <c r="J29" s="6">
        <f t="shared" si="1"/>
        <v>0</v>
      </c>
      <c r="K29" s="2"/>
      <c r="L29" s="2">
        <f t="shared" si="2"/>
        <v>5261.56</v>
      </c>
      <c r="M29" s="2"/>
      <c r="N29" s="6">
        <f t="shared" si="3"/>
        <v>0</v>
      </c>
      <c r="O29" s="14"/>
      <c r="P29" s="2">
        <f>SUM(OSRRefP22_1x_0)</f>
        <v>60103.640000000007</v>
      </c>
      <c r="Q29" s="2"/>
      <c r="R29" s="6">
        <f t="shared" si="4"/>
        <v>0</v>
      </c>
      <c r="S29" s="2"/>
      <c r="T29" s="2">
        <f>SUM(OSRRefT22_1x_0)</f>
        <v>2151.69</v>
      </c>
      <c r="U29" s="2"/>
      <c r="V29" s="6">
        <f t="shared" si="5"/>
        <v>0</v>
      </c>
      <c r="W29" s="2"/>
      <c r="X29" s="2">
        <f t="shared" si="6"/>
        <v>57951.950000000004</v>
      </c>
      <c r="Y29" s="2"/>
      <c r="Z29" s="6">
        <f t="shared" si="7"/>
        <v>26.933224581607945</v>
      </c>
    </row>
    <row r="30" spans="1:26" s="69" customFormat="1" ht="15" hidden="1" customHeight="1" outlineLevel="2" x14ac:dyDescent="0.25">
      <c r="A30" s="25"/>
      <c r="B30" s="12" t="str">
        <f>CONCATENATE("          ","6002"," - ","STAFF SALARIES")</f>
        <v xml:space="preserve">          6002 - STAFF SALARIES</v>
      </c>
      <c r="C30" s="12"/>
      <c r="D30" s="7">
        <v>5261.56</v>
      </c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5261.56</v>
      </c>
      <c r="M30" s="3"/>
      <c r="N30" s="8">
        <f t="shared" si="3"/>
        <v>0</v>
      </c>
      <c r="O30" s="12"/>
      <c r="P30" s="7">
        <v>36277.040000000001</v>
      </c>
      <c r="Q30" s="3"/>
      <c r="R30" s="8">
        <f t="shared" si="4"/>
        <v>0</v>
      </c>
      <c r="S30" s="3"/>
      <c r="T30" s="7">
        <v>2151.69</v>
      </c>
      <c r="U30" s="3"/>
      <c r="V30" s="8">
        <f t="shared" si="5"/>
        <v>0</v>
      </c>
      <c r="W30" s="3"/>
      <c r="X30" s="7">
        <f t="shared" si="6"/>
        <v>34125.35</v>
      </c>
      <c r="Y30" s="3"/>
      <c r="Z30" s="8">
        <f t="shared" si="7"/>
        <v>15.859789281913285</v>
      </c>
    </row>
    <row r="31" spans="1:26" s="69" customFormat="1" ht="15" hidden="1" customHeight="1" outlineLevel="2" x14ac:dyDescent="0.25">
      <c r="A31" s="25"/>
      <c r="B31" s="12" t="str">
        <f>CONCATENATE("          ","6004"," - ","STAFF HOURLY")</f>
        <v xml:space="preserve">          6004 - STAFF HOURLY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>
        <v>14370.65</v>
      </c>
      <c r="Q31" s="3"/>
      <c r="R31" s="8">
        <f t="shared" si="4"/>
        <v>0</v>
      </c>
      <c r="S31" s="3"/>
      <c r="T31" s="7"/>
      <c r="U31" s="3"/>
      <c r="V31" s="8">
        <f t="shared" si="5"/>
        <v>0</v>
      </c>
      <c r="W31" s="3"/>
      <c r="X31" s="7">
        <f t="shared" si="6"/>
        <v>14370.65</v>
      </c>
      <c r="Y31" s="3"/>
      <c r="Z31" s="8">
        <f t="shared" si="7"/>
        <v>0</v>
      </c>
    </row>
    <row r="32" spans="1:26" s="69" customFormat="1" ht="15" hidden="1" customHeight="1" outlineLevel="2" x14ac:dyDescent="0.25">
      <c r="A32" s="25"/>
      <c r="B32" s="12" t="str">
        <f>CONCATENATE("          ","6005"," - ","TEMPORARY WAGES-HOURLY")</f>
        <v xml:space="preserve">          6005 - TEMPORARY WAGES-HOURLY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8246.0499999999993</v>
      </c>
      <c r="Q32" s="3"/>
      <c r="R32" s="8">
        <f t="shared" si="4"/>
        <v>0</v>
      </c>
      <c r="S32" s="3"/>
      <c r="T32" s="7"/>
      <c r="U32" s="3"/>
      <c r="V32" s="8">
        <f t="shared" si="5"/>
        <v>0</v>
      </c>
      <c r="W32" s="3"/>
      <c r="X32" s="7">
        <f t="shared" si="6"/>
        <v>8246.0499999999993</v>
      </c>
      <c r="Y32" s="3"/>
      <c r="Z32" s="8">
        <f t="shared" si="7"/>
        <v>0</v>
      </c>
    </row>
    <row r="33" spans="1:26" s="69" customFormat="1" ht="15" hidden="1" customHeight="1" outlineLevel="2" x14ac:dyDescent="0.25">
      <c r="A33" s="25"/>
      <c r="B33" s="12" t="str">
        <f>CONCATENATE("          ","6007"," - ","STUDENT HOURLY")</f>
        <v xml:space="preserve">          6007 - STUDENT HOURLY</v>
      </c>
      <c r="C33" s="12"/>
      <c r="D33" s="7"/>
      <c r="E33" s="3"/>
      <c r="F33" s="8">
        <f t="shared" si="0"/>
        <v>0</v>
      </c>
      <c r="G33" s="3"/>
      <c r="H33" s="7"/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>
        <v>1209.9000000000001</v>
      </c>
      <c r="Q33" s="3"/>
      <c r="R33" s="8">
        <f t="shared" si="4"/>
        <v>0</v>
      </c>
      <c r="S33" s="3"/>
      <c r="T33" s="7"/>
      <c r="U33" s="3"/>
      <c r="V33" s="8">
        <f t="shared" si="5"/>
        <v>0</v>
      </c>
      <c r="W33" s="3"/>
      <c r="X33" s="7">
        <f t="shared" si="6"/>
        <v>1209.9000000000001</v>
      </c>
      <c r="Y33" s="3"/>
      <c r="Z33" s="8">
        <f t="shared" si="7"/>
        <v>0</v>
      </c>
    </row>
    <row r="34" spans="1:26" s="68" customFormat="1" ht="15" customHeight="1" outlineLevel="1" collapsed="1" x14ac:dyDescent="0.25">
      <c r="A34" s="26"/>
      <c r="B34" s="14" t="str">
        <f>CONCATENATE("     ","Advertising/Promo                                 ")</f>
        <v xml:space="preserve">     Advertising/Promo                                 </v>
      </c>
      <c r="C34" s="14"/>
      <c r="D34" s="2">
        <f>SUM(OSRRefD22_2x_0)</f>
        <v>0</v>
      </c>
      <c r="E34" s="2"/>
      <c r="F34" s="6">
        <f t="shared" si="0"/>
        <v>0</v>
      </c>
      <c r="G34" s="2"/>
      <c r="H34" s="2">
        <f>SUM(OSRRefH22_2x_0)</f>
        <v>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SUM(OSRRefP22_2x_0)</f>
        <v>263.58</v>
      </c>
      <c r="Q34" s="2"/>
      <c r="R34" s="6">
        <f t="shared" si="4"/>
        <v>0</v>
      </c>
      <c r="S34" s="2"/>
      <c r="T34" s="2">
        <f>SUM(OSRRefT22_2x_0)</f>
        <v>0</v>
      </c>
      <c r="U34" s="2"/>
      <c r="V34" s="6">
        <f t="shared" si="5"/>
        <v>0</v>
      </c>
      <c r="W34" s="2"/>
      <c r="X34" s="2">
        <f t="shared" si="6"/>
        <v>263.58</v>
      </c>
      <c r="Y34" s="2"/>
      <c r="Z34" s="6">
        <f t="shared" si="7"/>
        <v>0</v>
      </c>
    </row>
    <row r="35" spans="1:26" s="69" customFormat="1" ht="15" hidden="1" customHeight="1" outlineLevel="2" x14ac:dyDescent="0.25">
      <c r="A35" s="25"/>
      <c r="B35" s="12" t="str">
        <f>CONCATENATE("          ","6362"," - ","ADVERTISING EXPENSE")</f>
        <v xml:space="preserve">          6362 - ADVERTISING EXPENSE</v>
      </c>
      <c r="C35" s="12"/>
      <c r="D35" s="7"/>
      <c r="E35" s="3"/>
      <c r="F35" s="8">
        <f t="shared" si="0"/>
        <v>0</v>
      </c>
      <c r="G35" s="3"/>
      <c r="H35" s="7"/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>
        <v>263.58</v>
      </c>
      <c r="Q35" s="3"/>
      <c r="R35" s="8">
        <f t="shared" si="4"/>
        <v>0</v>
      </c>
      <c r="S35" s="3"/>
      <c r="T35" s="7"/>
      <c r="U35" s="3"/>
      <c r="V35" s="8">
        <f t="shared" si="5"/>
        <v>0</v>
      </c>
      <c r="W35" s="3"/>
      <c r="X35" s="7">
        <f t="shared" si="6"/>
        <v>263.58</v>
      </c>
      <c r="Y35" s="3"/>
      <c r="Z35" s="8">
        <f t="shared" si="7"/>
        <v>0</v>
      </c>
    </row>
    <row r="36" spans="1:26" s="68" customFormat="1" ht="15" customHeight="1" outlineLevel="1" collapsed="1" x14ac:dyDescent="0.25">
      <c r="A36" s="26"/>
      <c r="B36" s="14" t="str">
        <f>CONCATENATE("     ","Bank/card Fees                                    ")</f>
        <v xml:space="preserve">     Bank/card Fees                                    </v>
      </c>
      <c r="C36" s="14"/>
      <c r="D36" s="2">
        <f>SUM(OSRRefD22_3x_0)</f>
        <v>0</v>
      </c>
      <c r="E36" s="2"/>
      <c r="F36" s="6">
        <f t="shared" si="0"/>
        <v>0</v>
      </c>
      <c r="G36" s="2"/>
      <c r="H36" s="2">
        <f>SUM(OSRRefH22_3x_0)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SUM(OSRRefP22_3x_0)</f>
        <v>0.64</v>
      </c>
      <c r="Q36" s="2"/>
      <c r="R36" s="6">
        <f t="shared" si="4"/>
        <v>0</v>
      </c>
      <c r="S36" s="2"/>
      <c r="T36" s="2">
        <f>SUM(OSRRefT22_3x_0)</f>
        <v>0</v>
      </c>
      <c r="U36" s="2"/>
      <c r="V36" s="6">
        <f t="shared" si="5"/>
        <v>0</v>
      </c>
      <c r="W36" s="2"/>
      <c r="X36" s="2">
        <f t="shared" si="6"/>
        <v>0.64</v>
      </c>
      <c r="Y36" s="2"/>
      <c r="Z36" s="6">
        <f t="shared" si="7"/>
        <v>0</v>
      </c>
    </row>
    <row r="37" spans="1:26" s="69" customFormat="1" ht="15" hidden="1" customHeight="1" outlineLevel="2" x14ac:dyDescent="0.25">
      <c r="A37" s="25"/>
      <c r="B37" s="12" t="str">
        <f>CONCATENATE("          ","6381"," - ","BANK/CREDIT CARD FEES")</f>
        <v xml:space="preserve">          6381 - BANK/CREDIT CARD FEES</v>
      </c>
      <c r="C37" s="12"/>
      <c r="D37" s="7"/>
      <c r="E37" s="3"/>
      <c r="F37" s="8">
        <f t="shared" si="0"/>
        <v>0</v>
      </c>
      <c r="G37" s="3"/>
      <c r="H37" s="7"/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>
        <v>0.64</v>
      </c>
      <c r="Q37" s="3"/>
      <c r="R37" s="8">
        <f t="shared" si="4"/>
        <v>0</v>
      </c>
      <c r="S37" s="3"/>
      <c r="T37" s="7"/>
      <c r="U37" s="3"/>
      <c r="V37" s="8">
        <f t="shared" si="5"/>
        <v>0</v>
      </c>
      <c r="W37" s="3"/>
      <c r="X37" s="7">
        <f t="shared" si="6"/>
        <v>0.64</v>
      </c>
      <c r="Y37" s="3"/>
      <c r="Z37" s="8">
        <f t="shared" si="7"/>
        <v>0</v>
      </c>
    </row>
    <row r="38" spans="1:26" s="68" customFormat="1" ht="15" customHeight="1" outlineLevel="1" collapsed="1" x14ac:dyDescent="0.25">
      <c r="A38" s="26"/>
      <c r="B38" s="14" t="str">
        <f>CONCATENATE("     ","Depreciation                                      ")</f>
        <v xml:space="preserve">     Depreciation                                      </v>
      </c>
      <c r="C38" s="14"/>
      <c r="D38" s="2">
        <f>SUM(OSRRefD22_4x_0)</f>
        <v>7400.03</v>
      </c>
      <c r="E38" s="2"/>
      <c r="F38" s="6">
        <f t="shared" si="0"/>
        <v>0</v>
      </c>
      <c r="G38" s="2"/>
      <c r="H38" s="2">
        <f>SUM(OSRRefH22_4x_0)</f>
        <v>6745.17</v>
      </c>
      <c r="I38" s="2"/>
      <c r="J38" s="6">
        <f t="shared" si="1"/>
        <v>0</v>
      </c>
      <c r="K38" s="2"/>
      <c r="L38" s="2">
        <f t="shared" si="2"/>
        <v>654.85999999999967</v>
      </c>
      <c r="M38" s="2"/>
      <c r="N38" s="6">
        <f t="shared" si="3"/>
        <v>9.7085766555920702E-2</v>
      </c>
      <c r="O38" s="14"/>
      <c r="P38" s="2">
        <f>SUM(OSRRefP22_4x_0)</f>
        <v>75098.069999999992</v>
      </c>
      <c r="Q38" s="2"/>
      <c r="R38" s="6">
        <f t="shared" si="4"/>
        <v>0</v>
      </c>
      <c r="S38" s="2"/>
      <c r="T38" s="2">
        <f>SUM(OSRRefT22_4x_0)</f>
        <v>75494.02</v>
      </c>
      <c r="U38" s="2"/>
      <c r="V38" s="6">
        <f t="shared" si="5"/>
        <v>0</v>
      </c>
      <c r="W38" s="2"/>
      <c r="X38" s="2">
        <f t="shared" si="6"/>
        <v>-395.95000000001164</v>
      </c>
      <c r="Y38" s="2"/>
      <c r="Z38" s="6">
        <f t="shared" si="7"/>
        <v>-5.2447862757872953E-3</v>
      </c>
    </row>
    <row r="39" spans="1:26" s="69" customFormat="1" ht="15" hidden="1" customHeight="1" outlineLevel="2" x14ac:dyDescent="0.25">
      <c r="A39" s="25"/>
      <c r="B39" s="12" t="str">
        <f>CONCATENATE("          ","6321"," - ","BUILDING DEPRECIATION")</f>
        <v xml:space="preserve">          6321 - BUILDING DEPRECIATION</v>
      </c>
      <c r="C39" s="12"/>
      <c r="D39" s="7">
        <v>6492.96</v>
      </c>
      <c r="E39" s="3"/>
      <c r="F39" s="8">
        <f t="shared" si="0"/>
        <v>0</v>
      </c>
      <c r="G39" s="3"/>
      <c r="H39" s="7">
        <v>6537.05</v>
      </c>
      <c r="I39" s="3"/>
      <c r="J39" s="8">
        <f t="shared" si="1"/>
        <v>0</v>
      </c>
      <c r="K39" s="3"/>
      <c r="L39" s="7">
        <f t="shared" si="2"/>
        <v>-44.090000000000146</v>
      </c>
      <c r="M39" s="3"/>
      <c r="N39" s="8">
        <f t="shared" si="3"/>
        <v>-6.7446325177259077E-3</v>
      </c>
      <c r="O39" s="12"/>
      <c r="P39" s="7">
        <v>71510.7</v>
      </c>
      <c r="Q39" s="3"/>
      <c r="R39" s="8">
        <f t="shared" si="4"/>
        <v>0</v>
      </c>
      <c r="S39" s="3"/>
      <c r="T39" s="7">
        <v>71907.55</v>
      </c>
      <c r="U39" s="3"/>
      <c r="V39" s="8">
        <f t="shared" si="5"/>
        <v>0</v>
      </c>
      <c r="W39" s="3"/>
      <c r="X39" s="7">
        <f t="shared" si="6"/>
        <v>-396.85000000000582</v>
      </c>
      <c r="Y39" s="3"/>
      <c r="Z39" s="8">
        <f t="shared" si="7"/>
        <v>-5.5188919661427176E-3</v>
      </c>
    </row>
    <row r="40" spans="1:26" s="69" customFormat="1" ht="15" hidden="1" customHeight="1" outlineLevel="2" x14ac:dyDescent="0.25">
      <c r="A40" s="25"/>
      <c r="B40" s="12" t="str">
        <f>CONCATENATE("          ","6322"," - ","EQUIPMENT DEPRECIATION EXPENSE")</f>
        <v xml:space="preserve">          6322 - EQUIPMENT DEPRECIATION EXPENSE</v>
      </c>
      <c r="C40" s="12"/>
      <c r="D40" s="7">
        <v>907.07</v>
      </c>
      <c r="E40" s="3"/>
      <c r="F40" s="8">
        <f t="shared" si="0"/>
        <v>0</v>
      </c>
      <c r="G40" s="3"/>
      <c r="H40" s="7">
        <v>208.12</v>
      </c>
      <c r="I40" s="3"/>
      <c r="J40" s="8">
        <f t="shared" si="1"/>
        <v>0</v>
      </c>
      <c r="K40" s="3"/>
      <c r="L40" s="7">
        <f t="shared" si="2"/>
        <v>698.95</v>
      </c>
      <c r="M40" s="3"/>
      <c r="N40" s="8">
        <f t="shared" si="3"/>
        <v>3.3583990005765907</v>
      </c>
      <c r="O40" s="12"/>
      <c r="P40" s="7">
        <v>3587.37</v>
      </c>
      <c r="Q40" s="3"/>
      <c r="R40" s="8">
        <f t="shared" si="4"/>
        <v>0</v>
      </c>
      <c r="S40" s="3"/>
      <c r="T40" s="7">
        <v>3586.47</v>
      </c>
      <c r="U40" s="3"/>
      <c r="V40" s="8">
        <f t="shared" si="5"/>
        <v>0</v>
      </c>
      <c r="W40" s="3"/>
      <c r="X40" s="7">
        <f t="shared" si="6"/>
        <v>0.90000000000009095</v>
      </c>
      <c r="Y40" s="3"/>
      <c r="Z40" s="8">
        <f t="shared" si="7"/>
        <v>2.5094312792246721E-4</v>
      </c>
    </row>
    <row r="41" spans="1:26" s="68" customFormat="1" ht="15" customHeight="1" outlineLevel="1" collapsed="1" x14ac:dyDescent="0.25">
      <c r="A41" s="26"/>
      <c r="B41" s="14" t="str">
        <f>CONCATENATE("     ","Employees' Appreciation                           ")</f>
        <v xml:space="preserve">     Employees' Appreciation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49.95</v>
      </c>
      <c r="Q41" s="2"/>
      <c r="R41" s="6">
        <f t="shared" si="4"/>
        <v>0</v>
      </c>
      <c r="S41" s="2"/>
      <c r="T41" s="2">
        <f>SUM(OSRRefT22_5x_0)</f>
        <v>0</v>
      </c>
      <c r="U41" s="2"/>
      <c r="V41" s="6">
        <f t="shared" si="5"/>
        <v>0</v>
      </c>
      <c r="W41" s="2"/>
      <c r="X41" s="2">
        <f t="shared" si="6"/>
        <v>49.95</v>
      </c>
      <c r="Y41" s="2"/>
      <c r="Z41" s="6">
        <f t="shared" si="7"/>
        <v>0</v>
      </c>
    </row>
    <row r="42" spans="1:26" s="69" customFormat="1" ht="15" hidden="1" customHeight="1" outlineLevel="2" x14ac:dyDescent="0.25">
      <c r="A42" s="25"/>
      <c r="B42" s="12" t="str">
        <f>CONCATENATE("          ","6277"," - ","EMPLOYEE APPRECIATION")</f>
        <v xml:space="preserve">          6277 - EMPLOYEE APPRECIATION</v>
      </c>
      <c r="C42" s="12"/>
      <c r="D42" s="7"/>
      <c r="E42" s="3"/>
      <c r="F42" s="8">
        <f t="shared" si="0"/>
        <v>0</v>
      </c>
      <c r="G42" s="3"/>
      <c r="H42" s="7"/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>
        <v>49.95</v>
      </c>
      <c r="Q42" s="3"/>
      <c r="R42" s="8">
        <f t="shared" si="4"/>
        <v>0</v>
      </c>
      <c r="S42" s="3"/>
      <c r="T42" s="7"/>
      <c r="U42" s="3"/>
      <c r="V42" s="8">
        <f t="shared" si="5"/>
        <v>0</v>
      </c>
      <c r="W42" s="3"/>
      <c r="X42" s="7">
        <f t="shared" si="6"/>
        <v>49.95</v>
      </c>
      <c r="Y42" s="3"/>
      <c r="Z42" s="8">
        <f t="shared" si="7"/>
        <v>0</v>
      </c>
    </row>
    <row r="43" spans="1:26" s="68" customFormat="1" ht="15" customHeight="1" outlineLevel="1" collapsed="1" x14ac:dyDescent="0.25">
      <c r="A43" s="26"/>
      <c r="B43" s="14" t="str">
        <f>CONCATENATE("     ","Equipment Rental                                  ")</f>
        <v xml:space="preserve">     Equipment Rental                                  </v>
      </c>
      <c r="C43" s="14"/>
      <c r="D43" s="2">
        <f>SUM(OSRRefD22_6x_0)</f>
        <v>397.92</v>
      </c>
      <c r="E43" s="2"/>
      <c r="F43" s="6">
        <f t="shared" si="0"/>
        <v>0</v>
      </c>
      <c r="G43" s="2"/>
      <c r="H43" s="2">
        <f>SUM(OSRRefH22_6x_0)</f>
        <v>180</v>
      </c>
      <c r="I43" s="2"/>
      <c r="J43" s="6">
        <f t="shared" si="1"/>
        <v>0</v>
      </c>
      <c r="K43" s="2"/>
      <c r="L43" s="2">
        <f t="shared" si="2"/>
        <v>217.92000000000002</v>
      </c>
      <c r="M43" s="2"/>
      <c r="N43" s="6">
        <f t="shared" si="3"/>
        <v>1.2106666666666668</v>
      </c>
      <c r="O43" s="14"/>
      <c r="P43" s="2">
        <f>SUM(OSRRefP22_6x_0)</f>
        <v>6149.59</v>
      </c>
      <c r="Q43" s="2"/>
      <c r="R43" s="6">
        <f t="shared" si="4"/>
        <v>0</v>
      </c>
      <c r="S43" s="2"/>
      <c r="T43" s="2">
        <f>SUM(OSRRefT22_6x_0)</f>
        <v>443.72</v>
      </c>
      <c r="U43" s="2"/>
      <c r="V43" s="6">
        <f t="shared" si="5"/>
        <v>0</v>
      </c>
      <c r="W43" s="2"/>
      <c r="X43" s="2">
        <f t="shared" si="6"/>
        <v>5705.87</v>
      </c>
      <c r="Y43" s="2"/>
      <c r="Z43" s="6">
        <f t="shared" si="7"/>
        <v>12.859167943748309</v>
      </c>
    </row>
    <row r="44" spans="1:26" s="69" customFormat="1" ht="15" hidden="1" customHeight="1" outlineLevel="2" x14ac:dyDescent="0.25">
      <c r="A44" s="25"/>
      <c r="B44" s="12" t="str">
        <f>CONCATENATE("          ","6351"," - ","EQUIPMENT RENTAL")</f>
        <v xml:space="preserve">          6351 - EQUIPMENT RENTAL</v>
      </c>
      <c r="C44" s="12"/>
      <c r="D44" s="7">
        <v>397.92</v>
      </c>
      <c r="E44" s="3"/>
      <c r="F44" s="8">
        <f t="shared" si="0"/>
        <v>0</v>
      </c>
      <c r="G44" s="3"/>
      <c r="H44" s="7">
        <v>180</v>
      </c>
      <c r="I44" s="3"/>
      <c r="J44" s="8">
        <f t="shared" si="1"/>
        <v>0</v>
      </c>
      <c r="K44" s="3"/>
      <c r="L44" s="7">
        <f t="shared" si="2"/>
        <v>217.92000000000002</v>
      </c>
      <c r="M44" s="3"/>
      <c r="N44" s="8">
        <f t="shared" si="3"/>
        <v>1.2106666666666668</v>
      </c>
      <c r="O44" s="12"/>
      <c r="P44" s="7">
        <v>6149.59</v>
      </c>
      <c r="Q44" s="3"/>
      <c r="R44" s="8">
        <f t="shared" si="4"/>
        <v>0</v>
      </c>
      <c r="S44" s="3"/>
      <c r="T44" s="7">
        <v>443.72</v>
      </c>
      <c r="U44" s="3"/>
      <c r="V44" s="8">
        <f t="shared" si="5"/>
        <v>0</v>
      </c>
      <c r="W44" s="3"/>
      <c r="X44" s="7">
        <f t="shared" si="6"/>
        <v>5705.87</v>
      </c>
      <c r="Y44" s="3"/>
      <c r="Z44" s="8">
        <f t="shared" si="7"/>
        <v>12.859167943748309</v>
      </c>
    </row>
    <row r="45" spans="1:26" s="68" customFormat="1" ht="15" customHeight="1" outlineLevel="1" collapsed="1" x14ac:dyDescent="0.25">
      <c r="A45" s="26"/>
      <c r="B45" s="14" t="str">
        <f>CONCATENATE("     ","General                                           ")</f>
        <v xml:space="preserve">     General             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SUM(OSRRefP22_7x_0)</f>
        <v>3074.55</v>
      </c>
      <c r="Q45" s="2"/>
      <c r="R45" s="6">
        <f t="shared" si="4"/>
        <v>0</v>
      </c>
      <c r="S45" s="2"/>
      <c r="T45" s="2">
        <f>SUM(OSRRefT22_7x_0)</f>
        <v>2969.55</v>
      </c>
      <c r="U45" s="2"/>
      <c r="V45" s="6">
        <f t="shared" si="5"/>
        <v>0</v>
      </c>
      <c r="W45" s="2"/>
      <c r="X45" s="2">
        <f t="shared" si="6"/>
        <v>105</v>
      </c>
      <c r="Y45" s="2"/>
      <c r="Z45" s="6">
        <f t="shared" si="7"/>
        <v>3.5358892761529523E-2</v>
      </c>
    </row>
    <row r="46" spans="1:26" s="69" customFormat="1" ht="15" hidden="1" customHeight="1" outlineLevel="2" x14ac:dyDescent="0.25">
      <c r="A46" s="25"/>
      <c r="B46" s="12" t="str">
        <f>CONCATENATE("          ","6279"," - ","GENERAL EXPENSE")</f>
        <v xml:space="preserve">          6279 - GENERAL EXPENSE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3074.55</v>
      </c>
      <c r="Q46" s="3"/>
      <c r="R46" s="8">
        <f t="shared" si="4"/>
        <v>0</v>
      </c>
      <c r="S46" s="3"/>
      <c r="T46" s="7">
        <v>2969.55</v>
      </c>
      <c r="U46" s="3"/>
      <c r="V46" s="8">
        <f t="shared" si="5"/>
        <v>0</v>
      </c>
      <c r="W46" s="3"/>
      <c r="X46" s="7">
        <f t="shared" si="6"/>
        <v>105</v>
      </c>
      <c r="Y46" s="3"/>
      <c r="Z46" s="8">
        <f t="shared" si="7"/>
        <v>3.5358892761529523E-2</v>
      </c>
    </row>
    <row r="47" spans="1:26" s="68" customFormat="1" ht="15" customHeight="1" outlineLevel="1" collapsed="1" x14ac:dyDescent="0.25">
      <c r="A47" s="26"/>
      <c r="B47" s="14" t="str">
        <f>CONCATENATE("     ","Repair and Maintenance                            ")</f>
        <v xml:space="preserve">     Repair and Maintenance                            </v>
      </c>
      <c r="C47" s="14"/>
      <c r="D47" s="2">
        <f>SUM(OSRRefD22_8x_0)</f>
        <v>1671.39</v>
      </c>
      <c r="E47" s="2"/>
      <c r="F47" s="6">
        <f t="shared" si="0"/>
        <v>0</v>
      </c>
      <c r="G47" s="2"/>
      <c r="H47" s="2">
        <f>SUM(OSRRefH22_8x_0)</f>
        <v>0</v>
      </c>
      <c r="I47" s="2"/>
      <c r="J47" s="6">
        <f t="shared" si="1"/>
        <v>0</v>
      </c>
      <c r="K47" s="2"/>
      <c r="L47" s="2">
        <f t="shared" si="2"/>
        <v>1671.39</v>
      </c>
      <c r="M47" s="2"/>
      <c r="N47" s="6">
        <f t="shared" si="3"/>
        <v>0</v>
      </c>
      <c r="O47" s="14"/>
      <c r="P47" s="2">
        <f>SUM(OSRRefP22_8x_0)</f>
        <v>10386.959999999999</v>
      </c>
      <c r="Q47" s="2"/>
      <c r="R47" s="6">
        <f t="shared" si="4"/>
        <v>0</v>
      </c>
      <c r="S47" s="2"/>
      <c r="T47" s="2">
        <f>SUM(OSRRefT22_8x_0)</f>
        <v>675.19</v>
      </c>
      <c r="U47" s="2"/>
      <c r="V47" s="6">
        <f t="shared" si="5"/>
        <v>0</v>
      </c>
      <c r="W47" s="2"/>
      <c r="X47" s="2">
        <f t="shared" si="6"/>
        <v>9711.7699999999986</v>
      </c>
      <c r="Y47" s="2"/>
      <c r="Z47" s="6">
        <f t="shared" si="7"/>
        <v>14.383758645714536</v>
      </c>
    </row>
    <row r="48" spans="1:26" s="69" customFormat="1" ht="15" hidden="1" customHeight="1" outlineLevel="2" x14ac:dyDescent="0.25">
      <c r="A48" s="25"/>
      <c r="B48" s="12" t="str">
        <f>CONCATENATE("          ","6373"," - ","MAINTENANCE CONTRACTS")</f>
        <v xml:space="preserve">          6373 - MAINTENANCE CONTRACTS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>
        <v>3567.59</v>
      </c>
      <c r="Q48" s="3"/>
      <c r="R48" s="8">
        <f t="shared" si="4"/>
        <v>0</v>
      </c>
      <c r="S48" s="3"/>
      <c r="T48" s="7">
        <v>675.19</v>
      </c>
      <c r="U48" s="3"/>
      <c r="V48" s="8">
        <f t="shared" si="5"/>
        <v>0</v>
      </c>
      <c r="W48" s="3"/>
      <c r="X48" s="7">
        <f t="shared" si="6"/>
        <v>2892.4</v>
      </c>
      <c r="Y48" s="3"/>
      <c r="Z48" s="8">
        <f t="shared" si="7"/>
        <v>4.2838312178794116</v>
      </c>
    </row>
    <row r="49" spans="1:26" s="69" customFormat="1" ht="15" hidden="1" customHeight="1" outlineLevel="2" x14ac:dyDescent="0.25">
      <c r="A49" s="25"/>
      <c r="B49" s="12" t="str">
        <f>CONCATENATE("          ","6375"," - ","OUTSIDE REPAIRS &amp; MAINTENANCE")</f>
        <v xml:space="preserve">          6375 - OUTSIDE REPAIRS &amp; MAINTENANCE</v>
      </c>
      <c r="C49" s="12"/>
      <c r="D49" s="7">
        <v>1671.39</v>
      </c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1671.39</v>
      </c>
      <c r="M49" s="3"/>
      <c r="N49" s="8">
        <f t="shared" si="3"/>
        <v>0</v>
      </c>
      <c r="O49" s="12"/>
      <c r="P49" s="7">
        <v>6819.37</v>
      </c>
      <c r="Q49" s="3"/>
      <c r="R49" s="8">
        <f t="shared" si="4"/>
        <v>0</v>
      </c>
      <c r="S49" s="3"/>
      <c r="T49" s="7"/>
      <c r="U49" s="3"/>
      <c r="V49" s="8">
        <f t="shared" si="5"/>
        <v>0</v>
      </c>
      <c r="W49" s="3"/>
      <c r="X49" s="7">
        <f t="shared" si="6"/>
        <v>6819.37</v>
      </c>
      <c r="Y49" s="3"/>
      <c r="Z49" s="8">
        <f t="shared" si="7"/>
        <v>0</v>
      </c>
    </row>
    <row r="50" spans="1:26" s="68" customFormat="1" ht="15" customHeight="1" outlineLevel="1" collapsed="1" x14ac:dyDescent="0.25">
      <c r="A50" s="26"/>
      <c r="B50" s="14" t="str">
        <f>CONCATENATE("     ","Services                                          ")</f>
        <v xml:space="preserve">     Services                                          </v>
      </c>
      <c r="C50" s="14"/>
      <c r="D50" s="2">
        <f>SUM(OSRRefD22_9x_0)</f>
        <v>0</v>
      </c>
      <c r="E50" s="2"/>
      <c r="F50" s="6">
        <f t="shared" si="0"/>
        <v>0</v>
      </c>
      <c r="G50" s="2"/>
      <c r="H50" s="2">
        <f>SUM(OSRRefH22_9x_0)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SUM(OSRRefP22_9x_0)</f>
        <v>260</v>
      </c>
      <c r="Q50" s="2"/>
      <c r="R50" s="6">
        <f t="shared" si="4"/>
        <v>0</v>
      </c>
      <c r="S50" s="2"/>
      <c r="T50" s="2">
        <f>SUM(OSRRefT22_9x_0)</f>
        <v>0</v>
      </c>
      <c r="U50" s="2"/>
      <c r="V50" s="6">
        <f t="shared" si="5"/>
        <v>0</v>
      </c>
      <c r="W50" s="2"/>
      <c r="X50" s="2">
        <f t="shared" si="6"/>
        <v>260</v>
      </c>
      <c r="Y50" s="2"/>
      <c r="Z50" s="6">
        <f t="shared" si="7"/>
        <v>0</v>
      </c>
    </row>
    <row r="51" spans="1:26" s="69" customFormat="1" ht="15" hidden="1" customHeight="1" outlineLevel="2" x14ac:dyDescent="0.25">
      <c r="A51" s="25"/>
      <c r="B51" s="12" t="str">
        <f>CONCATENATE("          ","6285"," - ","JANITORIAL SERVICES")</f>
        <v xml:space="preserve">          6285 - JANITORIAL SERVICES</v>
      </c>
      <c r="C51" s="12"/>
      <c r="D51" s="7"/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260</v>
      </c>
      <c r="Q51" s="3"/>
      <c r="R51" s="8">
        <f t="shared" si="4"/>
        <v>0</v>
      </c>
      <c r="S51" s="3"/>
      <c r="T51" s="7"/>
      <c r="U51" s="3"/>
      <c r="V51" s="8">
        <f t="shared" si="5"/>
        <v>0</v>
      </c>
      <c r="W51" s="3"/>
      <c r="X51" s="7">
        <f t="shared" si="6"/>
        <v>260</v>
      </c>
      <c r="Y51" s="3"/>
      <c r="Z51" s="8">
        <f t="shared" si="7"/>
        <v>0</v>
      </c>
    </row>
    <row r="52" spans="1:26" s="68" customFormat="1" ht="15" customHeight="1" outlineLevel="1" collapsed="1" x14ac:dyDescent="0.25">
      <c r="A52" s="26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SUM(OSRRefD22_10x_0)</f>
        <v>411.88</v>
      </c>
      <c r="E52" s="2"/>
      <c r="F52" s="6">
        <f t="shared" si="0"/>
        <v>0</v>
      </c>
      <c r="G52" s="2"/>
      <c r="H52" s="2">
        <f>SUM(OSRRefH22_10x_0)</f>
        <v>0</v>
      </c>
      <c r="I52" s="2"/>
      <c r="J52" s="6">
        <f t="shared" si="1"/>
        <v>0</v>
      </c>
      <c r="K52" s="2"/>
      <c r="L52" s="2">
        <f t="shared" si="2"/>
        <v>411.88</v>
      </c>
      <c r="M52" s="2"/>
      <c r="N52" s="6">
        <f t="shared" si="3"/>
        <v>0</v>
      </c>
      <c r="O52" s="14"/>
      <c r="P52" s="2">
        <f>SUM(OSRRefP22_10x_0)</f>
        <v>2497.75</v>
      </c>
      <c r="Q52" s="2"/>
      <c r="R52" s="6">
        <f t="shared" si="4"/>
        <v>0</v>
      </c>
      <c r="S52" s="2"/>
      <c r="T52" s="2">
        <f>SUM(OSRRefT22_10x_0)</f>
        <v>0</v>
      </c>
      <c r="U52" s="2"/>
      <c r="V52" s="6">
        <f t="shared" si="5"/>
        <v>0</v>
      </c>
      <c r="W52" s="2"/>
      <c r="X52" s="2">
        <f t="shared" si="6"/>
        <v>2497.75</v>
      </c>
      <c r="Y52" s="2"/>
      <c r="Z52" s="6">
        <f t="shared" si="7"/>
        <v>0</v>
      </c>
    </row>
    <row r="53" spans="1:26" s="69" customFormat="1" ht="15" hidden="1" customHeight="1" outlineLevel="2" x14ac:dyDescent="0.25">
      <c r="A53" s="25"/>
      <c r="B53" s="12" t="str">
        <f>CONCATENATE("          ","6275"," - ","SUBSCRIPTIONS")</f>
        <v xml:space="preserve">          6275 - SUBSCRIPTIONS</v>
      </c>
      <c r="C53" s="12"/>
      <c r="D53" s="7">
        <v>411.88</v>
      </c>
      <c r="E53" s="3"/>
      <c r="F53" s="8">
        <f t="shared" si="0"/>
        <v>0</v>
      </c>
      <c r="G53" s="3"/>
      <c r="H53" s="7"/>
      <c r="I53" s="3"/>
      <c r="J53" s="8">
        <f t="shared" si="1"/>
        <v>0</v>
      </c>
      <c r="K53" s="3"/>
      <c r="L53" s="7">
        <f t="shared" si="2"/>
        <v>411.88</v>
      </c>
      <c r="M53" s="3"/>
      <c r="N53" s="8">
        <f t="shared" si="3"/>
        <v>0</v>
      </c>
      <c r="O53" s="12"/>
      <c r="P53" s="7">
        <v>2497.75</v>
      </c>
      <c r="Q53" s="3"/>
      <c r="R53" s="8">
        <f t="shared" si="4"/>
        <v>0</v>
      </c>
      <c r="S53" s="3"/>
      <c r="T53" s="7"/>
      <c r="U53" s="3"/>
      <c r="V53" s="8">
        <f t="shared" si="5"/>
        <v>0</v>
      </c>
      <c r="W53" s="3"/>
      <c r="X53" s="7">
        <f t="shared" si="6"/>
        <v>2497.75</v>
      </c>
      <c r="Y53" s="3"/>
      <c r="Z53" s="8">
        <f t="shared" si="7"/>
        <v>0</v>
      </c>
    </row>
    <row r="54" spans="1:26" s="68" customFormat="1" ht="15" customHeight="1" outlineLevel="1" collapsed="1" x14ac:dyDescent="0.25">
      <c r="A54" s="26"/>
      <c r="B54" s="14" t="str">
        <f>CONCATENATE("     ","Supplies                                          ")</f>
        <v xml:space="preserve">     Supplies                                          </v>
      </c>
      <c r="C54" s="14"/>
      <c r="D54" s="2">
        <f>SUM(OSRRefD22_11x_0)</f>
        <v>418</v>
      </c>
      <c r="E54" s="2"/>
      <c r="F54" s="6">
        <f t="shared" si="0"/>
        <v>0</v>
      </c>
      <c r="G54" s="2"/>
      <c r="H54" s="2">
        <f>SUM(OSRRefH22_11x_0)</f>
        <v>0</v>
      </c>
      <c r="I54" s="2"/>
      <c r="J54" s="6">
        <f t="shared" si="1"/>
        <v>0</v>
      </c>
      <c r="K54" s="2"/>
      <c r="L54" s="2">
        <f t="shared" si="2"/>
        <v>418</v>
      </c>
      <c r="M54" s="2"/>
      <c r="N54" s="6">
        <f t="shared" si="3"/>
        <v>0</v>
      </c>
      <c r="O54" s="14"/>
      <c r="P54" s="2">
        <f>SUM(OSRRefP22_11x_0)</f>
        <v>2834.56</v>
      </c>
      <c r="Q54" s="2"/>
      <c r="R54" s="6">
        <f t="shared" si="4"/>
        <v>0</v>
      </c>
      <c r="S54" s="2"/>
      <c r="T54" s="2">
        <f>SUM(OSRRefT22_11x_0)</f>
        <v>0</v>
      </c>
      <c r="U54" s="2"/>
      <c r="V54" s="6">
        <f t="shared" si="5"/>
        <v>0</v>
      </c>
      <c r="W54" s="2"/>
      <c r="X54" s="2">
        <f t="shared" si="6"/>
        <v>2834.56</v>
      </c>
      <c r="Y54" s="2"/>
      <c r="Z54" s="6">
        <f t="shared" si="7"/>
        <v>0</v>
      </c>
    </row>
    <row r="55" spans="1:26" s="69" customFormat="1" ht="15" hidden="1" customHeight="1" outlineLevel="2" x14ac:dyDescent="0.25">
      <c r="A55" s="25"/>
      <c r="B55" s="12" t="str">
        <f>CONCATENATE("          ","6235"," - ","COVID-19 EXPENSES")</f>
        <v xml:space="preserve">          6235 - COVID-19 EXPENSES</v>
      </c>
      <c r="C55" s="12"/>
      <c r="D55" s="7"/>
      <c r="E55" s="3"/>
      <c r="F55" s="8">
        <f t="shared" si="0"/>
        <v>0</v>
      </c>
      <c r="G55" s="3"/>
      <c r="H55" s="7"/>
      <c r="I55" s="3"/>
      <c r="J55" s="8">
        <f t="shared" si="1"/>
        <v>0</v>
      </c>
      <c r="K55" s="3"/>
      <c r="L55" s="7">
        <f t="shared" si="2"/>
        <v>0</v>
      </c>
      <c r="M55" s="3"/>
      <c r="N55" s="8">
        <f t="shared" si="3"/>
        <v>0</v>
      </c>
      <c r="O55" s="12"/>
      <c r="P55" s="7">
        <v>35.72</v>
      </c>
      <c r="Q55" s="3"/>
      <c r="R55" s="8">
        <f t="shared" si="4"/>
        <v>0</v>
      </c>
      <c r="S55" s="3"/>
      <c r="T55" s="7"/>
      <c r="U55" s="3"/>
      <c r="V55" s="8">
        <f t="shared" si="5"/>
        <v>0</v>
      </c>
      <c r="W55" s="3"/>
      <c r="X55" s="7">
        <f t="shared" si="6"/>
        <v>35.72</v>
      </c>
      <c r="Y55" s="3"/>
      <c r="Z55" s="8">
        <f t="shared" si="7"/>
        <v>0</v>
      </c>
    </row>
    <row r="56" spans="1:26" s="69" customFormat="1" ht="15" hidden="1" customHeight="1" outlineLevel="2" x14ac:dyDescent="0.25">
      <c r="A56" s="25"/>
      <c r="B56" s="12" t="str">
        <f>CONCATENATE("          ","6237"," - ","JANITORIAL SUPPLIES")</f>
        <v xml:space="preserve">          6237 - JANITORIAL SUPPLIES</v>
      </c>
      <c r="C56" s="12"/>
      <c r="D56" s="7"/>
      <c r="E56" s="3"/>
      <c r="F56" s="8">
        <f t="shared" si="0"/>
        <v>0</v>
      </c>
      <c r="G56" s="3"/>
      <c r="H56" s="7"/>
      <c r="I56" s="3"/>
      <c r="J56" s="8">
        <f t="shared" si="1"/>
        <v>0</v>
      </c>
      <c r="K56" s="3"/>
      <c r="L56" s="7">
        <f t="shared" si="2"/>
        <v>0</v>
      </c>
      <c r="M56" s="3"/>
      <c r="N56" s="8">
        <f t="shared" si="3"/>
        <v>0</v>
      </c>
      <c r="O56" s="12"/>
      <c r="P56" s="7">
        <v>796.76</v>
      </c>
      <c r="Q56" s="3"/>
      <c r="R56" s="8">
        <f t="shared" si="4"/>
        <v>0</v>
      </c>
      <c r="S56" s="3"/>
      <c r="T56" s="7"/>
      <c r="U56" s="3"/>
      <c r="V56" s="8">
        <f t="shared" si="5"/>
        <v>0</v>
      </c>
      <c r="W56" s="3"/>
      <c r="X56" s="7">
        <f t="shared" si="6"/>
        <v>796.76</v>
      </c>
      <c r="Y56" s="3"/>
      <c r="Z56" s="8">
        <f t="shared" si="7"/>
        <v>0</v>
      </c>
    </row>
    <row r="57" spans="1:26" s="69" customFormat="1" ht="15" hidden="1" customHeight="1" outlineLevel="2" x14ac:dyDescent="0.25">
      <c r="A57" s="25"/>
      <c r="B57" s="12" t="str">
        <f>CONCATENATE("          ","6239"," - ","KITCHEN SUPPLIES")</f>
        <v xml:space="preserve">          6239 - KITCHEN SUPPLIES</v>
      </c>
      <c r="C57" s="12"/>
      <c r="D57" s="7"/>
      <c r="E57" s="3"/>
      <c r="F57" s="8">
        <f t="shared" si="0"/>
        <v>0</v>
      </c>
      <c r="G57" s="3"/>
      <c r="H57" s="7"/>
      <c r="I57" s="3"/>
      <c r="J57" s="8">
        <f t="shared" si="1"/>
        <v>0</v>
      </c>
      <c r="K57" s="3"/>
      <c r="L57" s="7">
        <f t="shared" si="2"/>
        <v>0</v>
      </c>
      <c r="M57" s="3"/>
      <c r="N57" s="8">
        <f t="shared" si="3"/>
        <v>0</v>
      </c>
      <c r="O57" s="12"/>
      <c r="P57" s="7">
        <v>214.67</v>
      </c>
      <c r="Q57" s="3"/>
      <c r="R57" s="8">
        <f t="shared" si="4"/>
        <v>0</v>
      </c>
      <c r="S57" s="3"/>
      <c r="T57" s="7"/>
      <c r="U57" s="3"/>
      <c r="V57" s="8">
        <f t="shared" si="5"/>
        <v>0</v>
      </c>
      <c r="W57" s="3"/>
      <c r="X57" s="7">
        <f t="shared" si="6"/>
        <v>214.67</v>
      </c>
      <c r="Y57" s="3"/>
      <c r="Z57" s="8">
        <f t="shared" si="7"/>
        <v>0</v>
      </c>
    </row>
    <row r="58" spans="1:26" s="69" customFormat="1" ht="15" hidden="1" customHeight="1" outlineLevel="2" x14ac:dyDescent="0.25">
      <c r="A58" s="25"/>
      <c r="B58" s="12" t="str">
        <f>CONCATENATE("          ","6241"," - ","OFFICE EXPENSE")</f>
        <v xml:space="preserve">          6241 - OFFICE EXPENSE</v>
      </c>
      <c r="C58" s="12"/>
      <c r="D58" s="7"/>
      <c r="E58" s="3"/>
      <c r="F58" s="8">
        <f t="shared" si="0"/>
        <v>0</v>
      </c>
      <c r="G58" s="3"/>
      <c r="H58" s="7"/>
      <c r="I58" s="3"/>
      <c r="J58" s="8">
        <f t="shared" si="1"/>
        <v>0</v>
      </c>
      <c r="K58" s="3"/>
      <c r="L58" s="7">
        <f t="shared" si="2"/>
        <v>0</v>
      </c>
      <c r="M58" s="3"/>
      <c r="N58" s="8">
        <f t="shared" si="3"/>
        <v>0</v>
      </c>
      <c r="O58" s="12"/>
      <c r="P58" s="7">
        <v>893.22</v>
      </c>
      <c r="Q58" s="3"/>
      <c r="R58" s="8">
        <f t="shared" si="4"/>
        <v>0</v>
      </c>
      <c r="S58" s="3"/>
      <c r="T58" s="7"/>
      <c r="U58" s="3"/>
      <c r="V58" s="8">
        <f t="shared" si="5"/>
        <v>0</v>
      </c>
      <c r="W58" s="3"/>
      <c r="X58" s="7">
        <f t="shared" si="6"/>
        <v>893.22</v>
      </c>
      <c r="Y58" s="3"/>
      <c r="Z58" s="8">
        <f t="shared" si="7"/>
        <v>0</v>
      </c>
    </row>
    <row r="59" spans="1:26" s="69" customFormat="1" ht="15" hidden="1" customHeight="1" outlineLevel="2" x14ac:dyDescent="0.25">
      <c r="A59" s="25"/>
      <c r="B59" s="12" t="str">
        <f>CONCATENATE("          ","6243"," - ","PAPER SUPPLIES")</f>
        <v xml:space="preserve">          6243 - PAPER SUPPLIES</v>
      </c>
      <c r="C59" s="12"/>
      <c r="D59" s="7"/>
      <c r="E59" s="3"/>
      <c r="F59" s="8">
        <f t="shared" si="0"/>
        <v>0</v>
      </c>
      <c r="G59" s="3"/>
      <c r="H59" s="7"/>
      <c r="I59" s="3"/>
      <c r="J59" s="8">
        <f t="shared" si="1"/>
        <v>0</v>
      </c>
      <c r="K59" s="3"/>
      <c r="L59" s="7">
        <f t="shared" si="2"/>
        <v>0</v>
      </c>
      <c r="M59" s="3"/>
      <c r="N59" s="8">
        <f t="shared" si="3"/>
        <v>0</v>
      </c>
      <c r="O59" s="12"/>
      <c r="P59" s="7">
        <v>138.19</v>
      </c>
      <c r="Q59" s="3"/>
      <c r="R59" s="8">
        <f t="shared" si="4"/>
        <v>0</v>
      </c>
      <c r="S59" s="3"/>
      <c r="T59" s="7"/>
      <c r="U59" s="3"/>
      <c r="V59" s="8">
        <f t="shared" si="5"/>
        <v>0</v>
      </c>
      <c r="W59" s="3"/>
      <c r="X59" s="7">
        <f t="shared" si="6"/>
        <v>138.19</v>
      </c>
      <c r="Y59" s="3"/>
      <c r="Z59" s="8">
        <f t="shared" si="7"/>
        <v>0</v>
      </c>
    </row>
    <row r="60" spans="1:26" s="69" customFormat="1" ht="15" hidden="1" customHeight="1" outlineLevel="2" x14ac:dyDescent="0.25">
      <c r="A60" s="25"/>
      <c r="B60" s="12" t="str">
        <f>CONCATENATE("          ","6245"," - ","PRINTING")</f>
        <v xml:space="preserve">          6245 - PRINTING</v>
      </c>
      <c r="C60" s="12"/>
      <c r="D60" s="7"/>
      <c r="E60" s="3"/>
      <c r="F60" s="8">
        <f t="shared" si="0"/>
        <v>0</v>
      </c>
      <c r="G60" s="3"/>
      <c r="H60" s="7"/>
      <c r="I60" s="3"/>
      <c r="J60" s="8">
        <f t="shared" si="1"/>
        <v>0</v>
      </c>
      <c r="K60" s="3"/>
      <c r="L60" s="7">
        <f t="shared" si="2"/>
        <v>0</v>
      </c>
      <c r="M60" s="3"/>
      <c r="N60" s="8">
        <f t="shared" si="3"/>
        <v>0</v>
      </c>
      <c r="O60" s="12"/>
      <c r="P60" s="7">
        <v>338</v>
      </c>
      <c r="Q60" s="3"/>
      <c r="R60" s="8">
        <f t="shared" si="4"/>
        <v>0</v>
      </c>
      <c r="S60" s="3"/>
      <c r="T60" s="7"/>
      <c r="U60" s="3"/>
      <c r="V60" s="8">
        <f t="shared" si="5"/>
        <v>0</v>
      </c>
      <c r="W60" s="3"/>
      <c r="X60" s="7">
        <f t="shared" si="6"/>
        <v>338</v>
      </c>
      <c r="Y60" s="3"/>
      <c r="Z60" s="8">
        <f t="shared" si="7"/>
        <v>0</v>
      </c>
    </row>
    <row r="61" spans="1:26" s="69" customFormat="1" ht="15" hidden="1" customHeight="1" outlineLevel="2" x14ac:dyDescent="0.25">
      <c r="A61" s="25"/>
      <c r="B61" s="12" t="str">
        <f>CONCATENATE("          ","6247"," - ","STORE SUPPLIES")</f>
        <v xml:space="preserve">          6247 - STORE SUPPLIES</v>
      </c>
      <c r="C61" s="12"/>
      <c r="D61" s="7">
        <v>418</v>
      </c>
      <c r="E61" s="3"/>
      <c r="F61" s="8">
        <f t="shared" si="0"/>
        <v>0</v>
      </c>
      <c r="G61" s="3"/>
      <c r="H61" s="7"/>
      <c r="I61" s="3"/>
      <c r="J61" s="8">
        <f t="shared" si="1"/>
        <v>0</v>
      </c>
      <c r="K61" s="3"/>
      <c r="L61" s="7">
        <f t="shared" si="2"/>
        <v>418</v>
      </c>
      <c r="M61" s="3"/>
      <c r="N61" s="8">
        <f t="shared" si="3"/>
        <v>0</v>
      </c>
      <c r="O61" s="12"/>
      <c r="P61" s="7">
        <v>418</v>
      </c>
      <c r="Q61" s="3"/>
      <c r="R61" s="8">
        <f t="shared" si="4"/>
        <v>0</v>
      </c>
      <c r="S61" s="3"/>
      <c r="T61" s="7"/>
      <c r="U61" s="3"/>
      <c r="V61" s="8">
        <f t="shared" si="5"/>
        <v>0</v>
      </c>
      <c r="W61" s="3"/>
      <c r="X61" s="7">
        <f t="shared" si="6"/>
        <v>418</v>
      </c>
      <c r="Y61" s="3"/>
      <c r="Z61" s="8">
        <f t="shared" si="7"/>
        <v>0</v>
      </c>
    </row>
    <row r="62" spans="1:26" s="68" customFormat="1" ht="15" customHeight="1" outlineLevel="1" collapsed="1" x14ac:dyDescent="0.25">
      <c r="A62" s="26"/>
      <c r="B62" s="14" t="str">
        <f>CONCATENATE("     ","Telephone/Data Lines                              ")</f>
        <v xml:space="preserve">     Telephone/Data Lines                              </v>
      </c>
      <c r="C62" s="14"/>
      <c r="D62" s="2">
        <f>SUM(OSRRefD22_12x_0)</f>
        <v>181.5</v>
      </c>
      <c r="E62" s="2"/>
      <c r="F62" s="6">
        <f t="shared" si="0"/>
        <v>0</v>
      </c>
      <c r="G62" s="2"/>
      <c r="H62" s="2">
        <f>SUM(OSRRefH22_12x_0)</f>
        <v>0</v>
      </c>
      <c r="I62" s="2"/>
      <c r="J62" s="6">
        <f t="shared" si="1"/>
        <v>0</v>
      </c>
      <c r="K62" s="2"/>
      <c r="L62" s="2">
        <f t="shared" si="2"/>
        <v>181.5</v>
      </c>
      <c r="M62" s="2"/>
      <c r="N62" s="6">
        <f t="shared" si="3"/>
        <v>0</v>
      </c>
      <c r="O62" s="14"/>
      <c r="P62" s="2">
        <f>SUM(OSRRefP22_12x_0)</f>
        <v>1057.5</v>
      </c>
      <c r="Q62" s="2"/>
      <c r="R62" s="6">
        <f t="shared" si="4"/>
        <v>0</v>
      </c>
      <c r="S62" s="2"/>
      <c r="T62" s="2">
        <f>SUM(OSRRefT22_12x_0)</f>
        <v>250.87</v>
      </c>
      <c r="U62" s="2"/>
      <c r="V62" s="6">
        <f t="shared" si="5"/>
        <v>0</v>
      </c>
      <c r="W62" s="2"/>
      <c r="X62" s="2">
        <f t="shared" si="6"/>
        <v>806.63</v>
      </c>
      <c r="Y62" s="2"/>
      <c r="Z62" s="6">
        <f t="shared" si="7"/>
        <v>3.2153306493402956</v>
      </c>
    </row>
    <row r="63" spans="1:26" s="69" customFormat="1" ht="15" hidden="1" customHeight="1" outlineLevel="2" x14ac:dyDescent="0.25">
      <c r="A63" s="25"/>
      <c r="B63" s="12" t="str">
        <f>CONCATENATE("          ","6309"," - ","TELEPHONE")</f>
        <v xml:space="preserve">          6309 - TELEPHONE</v>
      </c>
      <c r="C63" s="12"/>
      <c r="D63" s="7">
        <v>181.5</v>
      </c>
      <c r="E63" s="3"/>
      <c r="F63" s="8">
        <f t="shared" si="0"/>
        <v>0</v>
      </c>
      <c r="G63" s="3"/>
      <c r="H63" s="7"/>
      <c r="I63" s="3"/>
      <c r="J63" s="8">
        <f t="shared" si="1"/>
        <v>0</v>
      </c>
      <c r="K63" s="3"/>
      <c r="L63" s="7">
        <f t="shared" si="2"/>
        <v>181.5</v>
      </c>
      <c r="M63" s="3"/>
      <c r="N63" s="8">
        <f t="shared" si="3"/>
        <v>0</v>
      </c>
      <c r="O63" s="12"/>
      <c r="P63" s="7">
        <v>1057.5</v>
      </c>
      <c r="Q63" s="3"/>
      <c r="R63" s="8">
        <f t="shared" si="4"/>
        <v>0</v>
      </c>
      <c r="S63" s="3"/>
      <c r="T63" s="7">
        <v>250.87</v>
      </c>
      <c r="U63" s="3"/>
      <c r="V63" s="8">
        <f t="shared" si="5"/>
        <v>0</v>
      </c>
      <c r="W63" s="3"/>
      <c r="X63" s="7">
        <f t="shared" si="6"/>
        <v>806.63</v>
      </c>
      <c r="Y63" s="3"/>
      <c r="Z63" s="8">
        <f t="shared" si="7"/>
        <v>3.2153306493402956</v>
      </c>
    </row>
    <row r="64" spans="1:26" s="68" customFormat="1" ht="15" customHeight="1" outlineLevel="1" collapsed="1" x14ac:dyDescent="0.25">
      <c r="A64" s="26"/>
      <c r="B64" s="14" t="str">
        <f>CONCATENATE("     ","Training                                          ")</f>
        <v xml:space="preserve">     Training                                          </v>
      </c>
      <c r="C64" s="14"/>
      <c r="D64" s="2">
        <f>SUM(OSRRefD22_13x_0)</f>
        <v>0</v>
      </c>
      <c r="E64" s="2"/>
      <c r="F64" s="6">
        <f t="shared" si="0"/>
        <v>0</v>
      </c>
      <c r="G64" s="2"/>
      <c r="H64" s="2">
        <f>SUM(OSRRefH22_13x_0)</f>
        <v>0</v>
      </c>
      <c r="I64" s="2"/>
      <c r="J64" s="6">
        <f t="shared" si="1"/>
        <v>0</v>
      </c>
      <c r="K64" s="2"/>
      <c r="L64" s="2">
        <f t="shared" si="2"/>
        <v>0</v>
      </c>
      <c r="M64" s="2"/>
      <c r="N64" s="6">
        <f t="shared" si="3"/>
        <v>0</v>
      </c>
      <c r="O64" s="14"/>
      <c r="P64" s="2">
        <f>SUM(OSRRefP22_13x_0)</f>
        <v>120</v>
      </c>
      <c r="Q64" s="2"/>
      <c r="R64" s="6">
        <f t="shared" si="4"/>
        <v>0</v>
      </c>
      <c r="S64" s="2"/>
      <c r="T64" s="2">
        <f>SUM(OSRRefT22_13x_0)</f>
        <v>0</v>
      </c>
      <c r="U64" s="2"/>
      <c r="V64" s="6">
        <f t="shared" si="5"/>
        <v>0</v>
      </c>
      <c r="W64" s="2"/>
      <c r="X64" s="2">
        <f t="shared" si="6"/>
        <v>120</v>
      </c>
      <c r="Y64" s="2"/>
      <c r="Z64" s="6">
        <f t="shared" si="7"/>
        <v>0</v>
      </c>
    </row>
    <row r="65" spans="1:26" s="69" customFormat="1" ht="15" hidden="1" customHeight="1" outlineLevel="2" x14ac:dyDescent="0.25">
      <c r="A65" s="25"/>
      <c r="B65" s="12" t="str">
        <f>CONCATENATE("          ","6376"," - ","TRAINING")</f>
        <v xml:space="preserve">          6376 - TRAINING</v>
      </c>
      <c r="C65" s="12"/>
      <c r="D65" s="7"/>
      <c r="E65" s="3"/>
      <c r="F65" s="8">
        <f t="shared" si="0"/>
        <v>0</v>
      </c>
      <c r="G65" s="3"/>
      <c r="H65" s="7"/>
      <c r="I65" s="3"/>
      <c r="J65" s="8">
        <f t="shared" si="1"/>
        <v>0</v>
      </c>
      <c r="K65" s="3"/>
      <c r="L65" s="7">
        <f t="shared" si="2"/>
        <v>0</v>
      </c>
      <c r="M65" s="3"/>
      <c r="N65" s="8">
        <f t="shared" si="3"/>
        <v>0</v>
      </c>
      <c r="O65" s="12"/>
      <c r="P65" s="7">
        <v>120</v>
      </c>
      <c r="Q65" s="3"/>
      <c r="R65" s="8">
        <f t="shared" si="4"/>
        <v>0</v>
      </c>
      <c r="S65" s="3"/>
      <c r="T65" s="7"/>
      <c r="U65" s="3"/>
      <c r="V65" s="8">
        <f t="shared" si="5"/>
        <v>0</v>
      </c>
      <c r="W65" s="3"/>
      <c r="X65" s="7">
        <f t="shared" si="6"/>
        <v>120</v>
      </c>
      <c r="Y65" s="3"/>
      <c r="Z65" s="8">
        <f t="shared" si="7"/>
        <v>0</v>
      </c>
    </row>
    <row r="66" spans="1:26" s="64" customFormat="1" ht="15" customHeight="1" x14ac:dyDescent="0.25">
      <c r="A66" s="36"/>
      <c r="B66" s="36"/>
      <c r="C66" s="36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3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62" customFormat="1" ht="15" customHeight="1" collapsed="1" x14ac:dyDescent="0.25">
      <c r="A67" s="11"/>
      <c r="B67" s="28" t="s">
        <v>290</v>
      </c>
      <c r="C67" s="11"/>
      <c r="D67" s="5">
        <f>SUM(OSRRefD25x_0)</f>
        <v>0</v>
      </c>
      <c r="E67" s="5"/>
      <c r="F67" s="13">
        <f>IF(D$12=0,0,D67/D$12)</f>
        <v>0</v>
      </c>
      <c r="G67" s="5"/>
      <c r="H67" s="5">
        <f>SUM(OSRRefH25x_0)</f>
        <v>0</v>
      </c>
      <c r="I67" s="5"/>
      <c r="J67" s="13">
        <f>IF(H$12=0,0,H67/H$12)</f>
        <v>0</v>
      </c>
      <c r="K67" s="5"/>
      <c r="L67" s="5">
        <f>+D67-H67</f>
        <v>0</v>
      </c>
      <c r="M67" s="5"/>
      <c r="N67" s="13">
        <f>IF(H67=0,0,L67/H67)</f>
        <v>0</v>
      </c>
      <c r="O67" s="11"/>
      <c r="P67" s="5">
        <f>SUM(OSRRefP25x_0)</f>
        <v>694.3</v>
      </c>
      <c r="Q67" s="5"/>
      <c r="R67" s="13">
        <f>IF(P$12=0,0,P67/P$12)</f>
        <v>0</v>
      </c>
      <c r="S67" s="5"/>
      <c r="T67" s="5">
        <f>SUM(OSRRefT25x_0)</f>
        <v>111.42</v>
      </c>
      <c r="U67" s="5"/>
      <c r="V67" s="13">
        <f>IF(T$12=0,0,T67/T$12)</f>
        <v>0</v>
      </c>
      <c r="W67" s="5"/>
      <c r="X67" s="5">
        <f>+P67-T67</f>
        <v>582.88</v>
      </c>
      <c r="Y67" s="5"/>
      <c r="Z67" s="13">
        <f>IF(T67=0,0,X67/T67)</f>
        <v>5.2313767725722489</v>
      </c>
    </row>
    <row r="68" spans="1:26" s="69" customFormat="1" ht="15" hidden="1" customHeight="1" outlineLevel="1" x14ac:dyDescent="0.25">
      <c r="A68" s="42"/>
      <c r="B68" s="12" t="str">
        <f>CONCATENATE("          ","9150"," - ","MISC. INCOME")</f>
        <v xml:space="preserve">          9150 - MISC. INCOME</v>
      </c>
      <c r="C68" s="12"/>
      <c r="D68" s="3">
        <f>0</f>
        <v>0</v>
      </c>
      <c r="E68" s="3"/>
      <c r="F68" s="20">
        <f>IF(D$12=0,0,D68/D$12)</f>
        <v>0</v>
      </c>
      <c r="G68" s="3"/>
      <c r="H68" s="3">
        <f>0</f>
        <v>0</v>
      </c>
      <c r="I68" s="3"/>
      <c r="J68" s="20">
        <f>IF(H$12=0,0,H68/H$12)</f>
        <v>0</v>
      </c>
      <c r="K68" s="3"/>
      <c r="L68" s="3">
        <f>+D68-H68</f>
        <v>0</v>
      </c>
      <c r="M68" s="3"/>
      <c r="N68" s="20">
        <f>IF(H68=0,0,L68/H68)</f>
        <v>0</v>
      </c>
      <c r="O68" s="12"/>
      <c r="P68" s="3">
        <f>--694.3</f>
        <v>694.3</v>
      </c>
      <c r="Q68" s="3"/>
      <c r="R68" s="20">
        <f>IF(P$12=0,0,P68/P$12)</f>
        <v>0</v>
      </c>
      <c r="S68" s="3"/>
      <c r="T68" s="3">
        <f>--111.42</f>
        <v>111.42</v>
      </c>
      <c r="U68" s="3"/>
      <c r="V68" s="20">
        <f>IF(T$12=0,0,T68/T$12)</f>
        <v>0</v>
      </c>
      <c r="W68" s="3"/>
      <c r="X68" s="3">
        <f>+P68-T68</f>
        <v>582.88</v>
      </c>
      <c r="Y68" s="3"/>
      <c r="Z68" s="20">
        <f>IF(T68=0,0,X68/T68)</f>
        <v>5.2313767725722489</v>
      </c>
    </row>
    <row r="69" spans="1:26" ht="15" customHeight="1" x14ac:dyDescent="0.25">
      <c r="A69" s="10"/>
      <c r="B69" s="11"/>
      <c r="C69" s="11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O69" s="11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s="62" customFormat="1" ht="15" customHeight="1" x14ac:dyDescent="0.25">
      <c r="A70" s="11"/>
      <c r="B70" s="27" t="s">
        <v>291</v>
      </c>
      <c r="C70" s="27"/>
      <c r="D70" s="22">
        <f>+D17-D19+D67</f>
        <v>-17951.88</v>
      </c>
      <c r="E70" s="15"/>
      <c r="F70" s="23">
        <f>IF(D$12=0,0,D70/D$12)</f>
        <v>0</v>
      </c>
      <c r="G70" s="15"/>
      <c r="H70" s="22">
        <f>+H17-H19+H67</f>
        <v>-6925.17</v>
      </c>
      <c r="I70" s="15"/>
      <c r="J70" s="23">
        <f>IF(H$12=0,0,H70/H$12)</f>
        <v>0</v>
      </c>
      <c r="K70" s="16"/>
      <c r="L70" s="22">
        <f>+D70-H70</f>
        <v>-11026.710000000001</v>
      </c>
      <c r="M70" s="16"/>
      <c r="N70" s="23">
        <f>IF(H70=0,0,L70/H70)</f>
        <v>1.5922656050320787</v>
      </c>
      <c r="O70" s="28"/>
      <c r="P70" s="22">
        <f>+P17-P19+P67</f>
        <v>-191658.26</v>
      </c>
      <c r="Q70" s="15"/>
      <c r="R70" s="23">
        <f>IF(P$12=0,0,P70/P$12)</f>
        <v>0</v>
      </c>
      <c r="S70" s="15"/>
      <c r="T70" s="22">
        <f>+T17-T19+T67</f>
        <v>-87658.260000000009</v>
      </c>
      <c r="U70" s="15"/>
      <c r="V70" s="23">
        <f>IF(T$12=0,0,T70/T$12)</f>
        <v>0</v>
      </c>
      <c r="W70" s="16"/>
      <c r="X70" s="22">
        <f>+P70-T70</f>
        <v>-104000</v>
      </c>
      <c r="Y70" s="16"/>
      <c r="Z70" s="23">
        <f>IF(T70=0,0,X70/T70)</f>
        <v>1.1864255576143079</v>
      </c>
    </row>
    <row r="71" spans="1:26" ht="15" customHeight="1" x14ac:dyDescent="0.25">
      <c r="A71" s="10"/>
      <c r="B71" s="11"/>
      <c r="C71" s="10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s="62" customFormat="1" ht="15" customHeight="1" x14ac:dyDescent="0.25">
      <c r="A72" s="48"/>
      <c r="B72" s="11" t="s">
        <v>292</v>
      </c>
      <c r="C72" s="11"/>
      <c r="D72" s="5"/>
      <c r="E72" s="5"/>
      <c r="F72" s="13">
        <f>IF(D$12=0,0,D72/D$12)</f>
        <v>0</v>
      </c>
      <c r="G72" s="5"/>
      <c r="H72" s="5"/>
      <c r="I72" s="5"/>
      <c r="J72" s="13">
        <f>IF(H$12=0,0,H72/H$12)</f>
        <v>0</v>
      </c>
      <c r="K72" s="5"/>
      <c r="L72" s="5">
        <f>+D72-H72</f>
        <v>0</v>
      </c>
      <c r="M72" s="5"/>
      <c r="N72" s="13">
        <f>IF(H72=0,0,L72/H72)</f>
        <v>0</v>
      </c>
      <c r="O72" s="11"/>
      <c r="P72" s="5"/>
      <c r="Q72" s="5"/>
      <c r="R72" s="13">
        <f>IF(P$12=0,0,P72/P$12)</f>
        <v>0</v>
      </c>
      <c r="S72" s="5"/>
      <c r="T72" s="5"/>
      <c r="U72" s="5"/>
      <c r="V72" s="13">
        <f>IF(T$12=0,0,T72/T$12)</f>
        <v>0</v>
      </c>
      <c r="W72" s="5"/>
      <c r="X72" s="5">
        <f>+P72-T72</f>
        <v>0</v>
      </c>
      <c r="Y72" s="5"/>
      <c r="Z72" s="13">
        <f>IF(T72=0,0,X72/T72)</f>
        <v>0</v>
      </c>
    </row>
    <row r="73" spans="1:26" ht="15" customHeight="1" x14ac:dyDescent="0.25">
      <c r="A73" s="10"/>
      <c r="B73" s="11"/>
      <c r="C73" s="11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O73" s="11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s="62" customFormat="1" ht="15" customHeight="1" x14ac:dyDescent="0.25">
      <c r="A74" s="11"/>
      <c r="B74" s="27" t="s">
        <v>293</v>
      </c>
      <c r="C74" s="27"/>
      <c r="D74" s="35">
        <f>+D70-D72</f>
        <v>-17951.88</v>
      </c>
      <c r="E74" s="15"/>
      <c r="F74" s="30">
        <f>IF(D$12=0,0,D74/D$12)</f>
        <v>0</v>
      </c>
      <c r="G74" s="15"/>
      <c r="H74" s="35">
        <f>+H70-H72</f>
        <v>-6925.17</v>
      </c>
      <c r="I74" s="15"/>
      <c r="J74" s="30">
        <f>IF(H$12=0,0,H74/H$12)</f>
        <v>0</v>
      </c>
      <c r="K74" s="16"/>
      <c r="L74" s="35">
        <f>D74-H74</f>
        <v>-11026.710000000001</v>
      </c>
      <c r="M74" s="16"/>
      <c r="N74" s="30">
        <f>IF(H74=0,0,L74/H74)</f>
        <v>1.5922656050320787</v>
      </c>
      <c r="O74" s="28"/>
      <c r="P74" s="35">
        <f>+P70-P72</f>
        <v>-191658.26</v>
      </c>
      <c r="Q74" s="15"/>
      <c r="R74" s="30">
        <f>IF(P$12=0,0,P74/P$12)</f>
        <v>0</v>
      </c>
      <c r="S74" s="15"/>
      <c r="T74" s="35">
        <f>+T70-T72</f>
        <v>-87658.260000000009</v>
      </c>
      <c r="U74" s="15"/>
      <c r="V74" s="30">
        <f>IF(T$12=0,0,T74/T$12)</f>
        <v>0</v>
      </c>
      <c r="W74" s="16"/>
      <c r="X74" s="35">
        <f>P74-T74</f>
        <v>-104000</v>
      </c>
      <c r="Y74" s="16"/>
      <c r="Z74" s="30">
        <f>IF(T74=0,0,X74/T74)</f>
        <v>1.1864255576143079</v>
      </c>
    </row>
    <row r="75" spans="1:26" ht="15" customHeight="1" x14ac:dyDescent="0.25">
      <c r="A75" s="10"/>
      <c r="B75" s="10"/>
      <c r="C75" s="10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ht="15" customHeight="1" x14ac:dyDescent="0.25">
      <c r="A76" s="10"/>
      <c r="B76" s="10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2" customFormat="1" ht="15" customHeight="1" x14ac:dyDescent="0.25">
      <c r="A77" s="11"/>
      <c r="B77" s="27" t="s">
        <v>296</v>
      </c>
      <c r="C77" s="27"/>
      <c r="D77" s="32">
        <f>SUM(D74:D76)</f>
        <v>-17951.88</v>
      </c>
      <c r="E77" s="15"/>
      <c r="F77" s="34">
        <f>IF(D$12=0,0,D77/D$12)</f>
        <v>0</v>
      </c>
      <c r="G77" s="15"/>
      <c r="H77" s="32">
        <f>SUM(H74:H76)</f>
        <v>-6925.17</v>
      </c>
      <c r="I77" s="15"/>
      <c r="J77" s="34">
        <f>IF(H$12=0,0,H77/H$12)</f>
        <v>0</v>
      </c>
      <c r="K77" s="16"/>
      <c r="L77" s="32">
        <f>+D77-H77</f>
        <v>-11026.710000000001</v>
      </c>
      <c r="M77" s="16"/>
      <c r="N77" s="34">
        <f>IF(H77=0,0,L77/H77)</f>
        <v>1.5922656050320787</v>
      </c>
      <c r="O77" s="28"/>
      <c r="P77" s="32">
        <f>SUM(P74:P76)</f>
        <v>-191658.26</v>
      </c>
      <c r="Q77" s="15"/>
      <c r="R77" s="34">
        <f>IF(P$12=0,0,P77/P$12)</f>
        <v>0</v>
      </c>
      <c r="S77" s="15"/>
      <c r="T77" s="32">
        <f>SUM(T74:T76)</f>
        <v>-87658.260000000009</v>
      </c>
      <c r="U77" s="15"/>
      <c r="V77" s="34">
        <f>IF(T$12=0,0,T77/T$12)</f>
        <v>0</v>
      </c>
      <c r="W77" s="16"/>
      <c r="X77" s="32">
        <f>+P77-T77</f>
        <v>-104000</v>
      </c>
      <c r="Y77" s="16"/>
      <c r="Z77" s="34">
        <f>IF(T77=0,0,X77/T77)</f>
        <v>1.1864255576143079</v>
      </c>
    </row>
    <row r="78" spans="1:26" ht="15" customHeight="1" x14ac:dyDescent="0.25">
      <c r="A78" s="10"/>
      <c r="C78" s="10"/>
      <c r="D78" s="18"/>
      <c r="E78" s="18"/>
      <c r="G78" s="18"/>
      <c r="H78" s="18"/>
      <c r="I78" s="18"/>
      <c r="J78" s="41"/>
      <c r="K78" s="18"/>
      <c r="L78" s="18"/>
      <c r="M78" s="18"/>
      <c r="P78" s="18"/>
      <c r="Q78" s="18"/>
      <c r="R78" s="41"/>
      <c r="S78" s="18"/>
      <c r="T78" s="18"/>
      <c r="U78" s="18"/>
      <c r="V78" s="41"/>
      <c r="W78" s="18"/>
      <c r="X78" s="18"/>
    </row>
    <row r="79" spans="1:26" ht="15" customHeight="1" x14ac:dyDescent="0.25">
      <c r="A79" s="10"/>
      <c r="B79" s="50">
        <v>44727.879654085649</v>
      </c>
      <c r="D79" s="18"/>
      <c r="E79" s="18"/>
      <c r="G79" s="18"/>
      <c r="H79" s="18"/>
      <c r="I79" s="18"/>
      <c r="J79" s="41"/>
      <c r="K79" s="18"/>
      <c r="L79" s="18"/>
      <c r="M79" s="18"/>
      <c r="P79" s="18"/>
      <c r="Q79" s="18"/>
      <c r="R79" s="41"/>
      <c r="S79" s="18"/>
      <c r="T79" s="18"/>
      <c r="U79" s="18"/>
      <c r="V79" s="41"/>
      <c r="W79" s="18"/>
      <c r="X79" s="18"/>
    </row>
    <row r="80" spans="1:26" ht="15" customHeight="1" x14ac:dyDescent="0.25">
      <c r="A80" s="10"/>
      <c r="B80" s="53" t="s">
        <v>297</v>
      </c>
      <c r="D80" s="18"/>
      <c r="E80" s="18"/>
      <c r="G80" s="18"/>
      <c r="H80" s="18"/>
      <c r="I80" s="18"/>
      <c r="J80" s="41"/>
      <c r="K80" s="18"/>
      <c r="L80" s="18"/>
      <c r="M80" s="18"/>
      <c r="P80" s="18"/>
      <c r="Q80" s="18"/>
      <c r="R80" s="41"/>
      <c r="S80" s="18"/>
      <c r="T80" s="18"/>
      <c r="U80" s="18"/>
      <c r="V80" s="41"/>
      <c r="W80" s="18"/>
      <c r="X80" s="18"/>
    </row>
    <row r="81" spans="1:24" ht="15" customHeight="1" x14ac:dyDescent="0.25">
      <c r="A81" s="10"/>
      <c r="B81" s="55"/>
      <c r="D81" s="18"/>
      <c r="E81" s="18"/>
      <c r="G81" s="18"/>
      <c r="H81" s="18"/>
      <c r="I81" s="18"/>
      <c r="J81" s="41"/>
      <c r="K81" s="18"/>
      <c r="L81" s="18"/>
      <c r="M81" s="18"/>
      <c r="P81" s="18"/>
      <c r="Q81" s="18"/>
      <c r="R81" s="41"/>
      <c r="S81" s="18"/>
      <c r="T81" s="18"/>
      <c r="U81" s="18"/>
      <c r="V81" s="41"/>
      <c r="W81" s="18"/>
      <c r="X81" s="18"/>
    </row>
    <row r="82" spans="1:24" ht="15" customHeight="1" x14ac:dyDescent="0.25">
      <c r="D82" s="18"/>
      <c r="E82" s="18"/>
      <c r="G82" s="18"/>
      <c r="H82" s="18"/>
      <c r="I82" s="18"/>
      <c r="J82" s="41"/>
      <c r="K82" s="18"/>
      <c r="L82" s="18"/>
      <c r="M82" s="18"/>
      <c r="P82" s="18"/>
      <c r="Q82" s="18"/>
      <c r="R82" s="41"/>
      <c r="S82" s="18"/>
      <c r="T82" s="18"/>
      <c r="U82" s="18"/>
      <c r="V82" s="41"/>
      <c r="W82" s="18"/>
      <c r="X8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279F9-C083-6334-AED7-6DAB1FA2107F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","420"," - ","Catering")</f>
        <v>Department 420 - Catering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47978.22</v>
      </c>
      <c r="I12" s="5"/>
      <c r="J12" s="13"/>
      <c r="K12" s="5"/>
      <c r="L12" s="5">
        <f>+D12-H12</f>
        <v>-47978.22</v>
      </c>
      <c r="M12" s="5"/>
      <c r="N12" s="13">
        <f>IF(H12=0,0,L12/H12)</f>
        <v>-1</v>
      </c>
      <c r="O12" s="11"/>
      <c r="P12" s="5">
        <f>SUM(OSRRefP13x_0)</f>
        <v>0</v>
      </c>
      <c r="Q12" s="5"/>
      <c r="R12" s="13"/>
      <c r="S12" s="5"/>
      <c r="T12" s="5">
        <f>SUM(OSRRefT13x_0)</f>
        <v>440233.96</v>
      </c>
      <c r="U12" s="5"/>
      <c r="V12" s="13"/>
      <c r="W12" s="5"/>
      <c r="X12" s="5">
        <f>+P12-T12</f>
        <v>-440233.96</v>
      </c>
      <c r="Y12" s="5"/>
      <c r="Z12" s="13">
        <f>IF(T12=0,0,X12/T12)</f>
        <v>-1</v>
      </c>
    </row>
    <row r="13" spans="1:26" s="69" customFormat="1" ht="15" hidden="1" customHeight="1" outlineLevel="1" x14ac:dyDescent="0.25">
      <c r="A13" s="42"/>
      <c r="B13" s="12" t="str">
        <f>CONCATENATE("          ","4052"," - ","TAXABLE SALES-FOOD")</f>
        <v xml:space="preserve">          4052 - TAXABLE SALES-FOOD</v>
      </c>
      <c r="C13" s="12"/>
      <c r="D13" s="3">
        <f>0</f>
        <v>0</v>
      </c>
      <c r="E13" s="3"/>
      <c r="F13" s="20"/>
      <c r="G13" s="3"/>
      <c r="H13" s="3">
        <f>--47978.22</f>
        <v>47978.22</v>
      </c>
      <c r="I13" s="3"/>
      <c r="J13" s="20"/>
      <c r="K13" s="3"/>
      <c r="L13" s="3">
        <f>+D13-H13</f>
        <v>-47978.22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f>--428653.01</f>
        <v>428653.01</v>
      </c>
      <c r="U13" s="3"/>
      <c r="V13" s="20"/>
      <c r="W13" s="3"/>
      <c r="X13" s="3">
        <f>+P13-T13</f>
        <v>-428653.01</v>
      </c>
      <c r="Y13" s="3"/>
      <c r="Z13" s="20">
        <f>IF(T13=0,0,X13/T13)</f>
        <v>-1</v>
      </c>
    </row>
    <row r="14" spans="1:26" s="69" customFormat="1" ht="15" hidden="1" customHeight="1" outlineLevel="1" x14ac:dyDescent="0.25">
      <c r="A14" s="42"/>
      <c r="B14" s="12" t="str">
        <f>CONCATENATE("          ","4152"," - ","NON-TAXABLE SALES-FOOD")</f>
        <v xml:space="preserve">          4152 - NON-TAXABLE SALES-FOOD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0</f>
        <v>0</v>
      </c>
      <c r="Q14" s="3"/>
      <c r="R14" s="20"/>
      <c r="S14" s="3"/>
      <c r="T14" s="3">
        <f>--11580.95</f>
        <v>11580.95</v>
      </c>
      <c r="U14" s="3"/>
      <c r="V14" s="20"/>
      <c r="W14" s="3"/>
      <c r="X14" s="3">
        <f>+P14-T14</f>
        <v>-11580.95</v>
      </c>
      <c r="Y14" s="3"/>
      <c r="Z14" s="20">
        <f>IF(T14=0,0,X14/T14)</f>
        <v>-1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8" t="s">
        <v>287</v>
      </c>
      <c r="C16" s="11"/>
      <c r="D16" s="5">
        <f>SUM(0)</f>
        <v>0</v>
      </c>
      <c r="E16" s="5"/>
      <c r="F16" s="13">
        <f>IF(D$12=0,0,D16/D$12)</f>
        <v>0</v>
      </c>
      <c r="G16" s="5"/>
      <c r="H16" s="5">
        <f>SUM(0)</f>
        <v>0</v>
      </c>
      <c r="I16" s="5"/>
      <c r="J16" s="13">
        <f>IF(H$12=0,0,H16/H$12)</f>
        <v>0</v>
      </c>
      <c r="K16" s="5"/>
      <c r="L16" s="5">
        <f>+D16-H16</f>
        <v>0</v>
      </c>
      <c r="M16" s="5"/>
      <c r="N16" s="13">
        <f>IF(H16=0,0,L16/H16)</f>
        <v>0</v>
      </c>
      <c r="O16" s="11"/>
      <c r="P16" s="5">
        <f>SUM(0)</f>
        <v>0</v>
      </c>
      <c r="Q16" s="5"/>
      <c r="R16" s="13">
        <f>IF(P$12=0,0,P16/P$12)</f>
        <v>0</v>
      </c>
      <c r="S16" s="5"/>
      <c r="T16" s="5">
        <f>SUM(0)</f>
        <v>0</v>
      </c>
      <c r="U16" s="5"/>
      <c r="V16" s="13">
        <f>IF(T$12=0,0,T16/T$12)</f>
        <v>0</v>
      </c>
      <c r="W16" s="5"/>
      <c r="X16" s="5">
        <f>+P16-T16</f>
        <v>0</v>
      </c>
      <c r="Y16" s="5"/>
      <c r="Z16" s="13">
        <f>IF(T16=0,0,X16/T16)</f>
        <v>0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>
        <f>D12-D16</f>
        <v>0</v>
      </c>
      <c r="E18" s="15"/>
      <c r="F18" s="23">
        <f>IF(D$12=0,0,D18/D$12)</f>
        <v>0</v>
      </c>
      <c r="G18" s="15"/>
      <c r="H18" s="22">
        <f>H12-H16</f>
        <v>47978.22</v>
      </c>
      <c r="I18" s="15"/>
      <c r="J18" s="23">
        <f>IF(H$12=0,0,H18/H$12)</f>
        <v>1</v>
      </c>
      <c r="K18" s="16"/>
      <c r="L18" s="22">
        <f>+D18-H18</f>
        <v>-47978.22</v>
      </c>
      <c r="M18" s="16"/>
      <c r="N18" s="23">
        <f>IF(H18=0,0,L18/H18)</f>
        <v>-1</v>
      </c>
      <c r="O18" s="28"/>
      <c r="P18" s="22">
        <f>P12-P16</f>
        <v>0</v>
      </c>
      <c r="Q18" s="15"/>
      <c r="R18" s="23">
        <f>IF(P$12=0,0,P18/P$12)</f>
        <v>0</v>
      </c>
      <c r="S18" s="15"/>
      <c r="T18" s="22">
        <f>T12-T16</f>
        <v>440233.96</v>
      </c>
      <c r="U18" s="15"/>
      <c r="V18" s="23">
        <f>IF(T$12=0,0,T18/T$12)</f>
        <v>1</v>
      </c>
      <c r="W18" s="16"/>
      <c r="X18" s="22">
        <f>+P18-T18</f>
        <v>-440233.96</v>
      </c>
      <c r="Y18" s="16"/>
      <c r="Z18" s="23">
        <f>IF(T18=0,0,X18/T18)</f>
        <v>-1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cm="1">
        <f t="array" ref="D20">SUM(OSRRefD22x_0)</f>
        <v>0</v>
      </c>
      <c r="E20" s="21"/>
      <c r="F20" s="31">
        <f>IF(D$12=0,0,D20/D$12)</f>
        <v>0</v>
      </c>
      <c r="G20" s="21"/>
      <c r="H20" s="21" cm="1">
        <f t="array" ref="H20">SUM(OSRRefH22x_0)</f>
        <v>0</v>
      </c>
      <c r="I20" s="21"/>
      <c r="J20" s="31">
        <f>IF(H$12=0,0,H20/H$12)</f>
        <v>0</v>
      </c>
      <c r="K20" s="5"/>
      <c r="L20" s="21">
        <f>+D20-H20</f>
        <v>0</v>
      </c>
      <c r="M20" s="5"/>
      <c r="N20" s="31">
        <f>IF(H20=0,0,L20/H20)</f>
        <v>0</v>
      </c>
      <c r="O20" s="11"/>
      <c r="P20" s="21" cm="1">
        <f t="array" ref="P20">SUM(OSRRefP22x_0)</f>
        <v>0</v>
      </c>
      <c r="Q20" s="21"/>
      <c r="R20" s="31">
        <f>IF(P$12=0,0,P20/P$12)</f>
        <v>0</v>
      </c>
      <c r="S20" s="21"/>
      <c r="T20" s="21" cm="1">
        <f t="array" ref="T20">SUM(OSRRefT22x_0)</f>
        <v>349.08000000000004</v>
      </c>
      <c r="U20" s="21"/>
      <c r="V20" s="31">
        <f>IF(T$12=0,0,T20/T$12)</f>
        <v>7.9294200747257219E-4</v>
      </c>
      <c r="W20" s="5"/>
      <c r="X20" s="21">
        <f>+P20-T20</f>
        <v>-349.08000000000004</v>
      </c>
      <c r="Y20" s="5"/>
      <c r="Z20" s="31">
        <f>IF(T20=0,0,X20/T20)</f>
        <v>-1</v>
      </c>
    </row>
    <row r="21" spans="1:26" s="68" customFormat="1" ht="15" customHeight="1" outlineLevel="1" collapsed="1" x14ac:dyDescent="0.25">
      <c r="A21" s="26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>IF(D$12=0,0,D21/D$12)</f>
        <v>0</v>
      </c>
      <c r="G21" s="2"/>
      <c r="H21" s="2">
        <f>SUM(OSRRefH22_0x_0)</f>
        <v>0</v>
      </c>
      <c r="I21" s="2"/>
      <c r="J21" s="6">
        <f>IF(H$12=0,0,H21/H$12)</f>
        <v>0</v>
      </c>
      <c r="K21" s="2"/>
      <c r="L21" s="2">
        <f>+D21-H21</f>
        <v>0</v>
      </c>
      <c r="M21" s="2"/>
      <c r="N21" s="6">
        <f>IF(H21=0,0,L21/H21)</f>
        <v>0</v>
      </c>
      <c r="O21" s="14"/>
      <c r="P21" s="2">
        <f>SUM(OSRRefP22_0x_0)</f>
        <v>0</v>
      </c>
      <c r="Q21" s="2"/>
      <c r="R21" s="6">
        <f>IF(P$12=0,0,P21/P$12)</f>
        <v>0</v>
      </c>
      <c r="S21" s="2"/>
      <c r="T21" s="2">
        <f>SUM(OSRRefT22_0x_0)</f>
        <v>7.86</v>
      </c>
      <c r="U21" s="2"/>
      <c r="V21" s="6">
        <f>IF(T$12=0,0,T21/T$12)</f>
        <v>1.7854142828963035E-5</v>
      </c>
      <c r="W21" s="2"/>
      <c r="X21" s="2">
        <f>+P21-T21</f>
        <v>-7.86</v>
      </c>
      <c r="Y21" s="2"/>
      <c r="Z21" s="6">
        <f>IF(T21=0,0,X21/T21)</f>
        <v>-1</v>
      </c>
    </row>
    <row r="22" spans="1:26" s="69" customFormat="1" ht="15" hidden="1" customHeight="1" outlineLevel="2" x14ac:dyDescent="0.25">
      <c r="A22" s="25"/>
      <c r="B22" s="12" t="str">
        <f>CONCATENATE("          ","6111"," - ","F.I.C.A.")</f>
        <v xml:space="preserve">          6111 - F.I.C.A.</v>
      </c>
      <c r="C22" s="12"/>
      <c r="D22" s="7"/>
      <c r="E22" s="3"/>
      <c r="F22" s="8">
        <f>IF(D$12=0,0,D22/D$12)</f>
        <v>0</v>
      </c>
      <c r="G22" s="3"/>
      <c r="H22" s="7"/>
      <c r="I22" s="3"/>
      <c r="J22" s="8">
        <f>IF(H$12=0,0,H22/H$12)</f>
        <v>0</v>
      </c>
      <c r="K22" s="3"/>
      <c r="L22" s="7">
        <f>+D22-H22</f>
        <v>0</v>
      </c>
      <c r="M22" s="3"/>
      <c r="N22" s="8">
        <f>IF(H22=0,0,L22/H22)</f>
        <v>0</v>
      </c>
      <c r="O22" s="12"/>
      <c r="P22" s="7"/>
      <c r="Q22" s="3"/>
      <c r="R22" s="8">
        <f>IF(P$12=0,0,P22/P$12)</f>
        <v>0</v>
      </c>
      <c r="S22" s="3"/>
      <c r="T22" s="7">
        <v>7.86</v>
      </c>
      <c r="U22" s="3"/>
      <c r="V22" s="8">
        <f>IF(T$12=0,0,T22/T$12)</f>
        <v>1.7854142828963035E-5</v>
      </c>
      <c r="W22" s="3"/>
      <c r="X22" s="7">
        <f>+P22-T22</f>
        <v>-7.86</v>
      </c>
      <c r="Y22" s="3"/>
      <c r="Z22" s="8">
        <f>IF(T22=0,0,X22/T22)</f>
        <v>-1</v>
      </c>
    </row>
    <row r="23" spans="1:26" s="68" customFormat="1" ht="15" customHeight="1" outlineLevel="1" collapsed="1" x14ac:dyDescent="0.25">
      <c r="A23" s="26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SUM(OSRRefD22_1x_0)</f>
        <v>0</v>
      </c>
      <c r="E23" s="2"/>
      <c r="F23" s="6">
        <f>IF(D$12=0,0,D23/D$12)</f>
        <v>0</v>
      </c>
      <c r="G23" s="2"/>
      <c r="H23" s="2">
        <f>SUM(OSRRefH22_1x_0)</f>
        <v>0</v>
      </c>
      <c r="I23" s="2"/>
      <c r="J23" s="6">
        <f>IF(H$12=0,0,H23/H$12)</f>
        <v>0</v>
      </c>
      <c r="K23" s="2"/>
      <c r="L23" s="2">
        <f>+D23-H23</f>
        <v>0</v>
      </c>
      <c r="M23" s="2"/>
      <c r="N23" s="6">
        <f>IF(H23=0,0,L23/H23)</f>
        <v>0</v>
      </c>
      <c r="O23" s="14"/>
      <c r="P23" s="2">
        <f>SUM(OSRRefP22_1x_0)</f>
        <v>0</v>
      </c>
      <c r="Q23" s="2"/>
      <c r="R23" s="6">
        <f>IF(P$12=0,0,P23/P$12)</f>
        <v>0</v>
      </c>
      <c r="S23" s="2"/>
      <c r="T23" s="2">
        <f>SUM(OSRRefT22_1x_0)</f>
        <v>341.22</v>
      </c>
      <c r="U23" s="2"/>
      <c r="V23" s="6">
        <f>IF(T$12=0,0,T23/T$12)</f>
        <v>7.7508786464360903E-4</v>
      </c>
      <c r="W23" s="2"/>
      <c r="X23" s="2">
        <f>+P23-T23</f>
        <v>-341.22</v>
      </c>
      <c r="Y23" s="2"/>
      <c r="Z23" s="6">
        <f>IF(T23=0,0,X23/T23)</f>
        <v>-1</v>
      </c>
    </row>
    <row r="24" spans="1:26" s="69" customFormat="1" ht="15" hidden="1" customHeight="1" outlineLevel="2" x14ac:dyDescent="0.25">
      <c r="A24" s="25"/>
      <c r="B24" s="12" t="str">
        <f>CONCATENATE("          ","6375"," - ","OUTSIDE REPAIRS &amp; MAINTENANCE")</f>
        <v xml:space="preserve">          6375 - OUTSIDE REPAIRS &amp; MAINTENANCE</v>
      </c>
      <c r="C24" s="12"/>
      <c r="D24" s="7"/>
      <c r="E24" s="3"/>
      <c r="F24" s="8">
        <f>IF(D$12=0,0,D24/D$12)</f>
        <v>0</v>
      </c>
      <c r="G24" s="3"/>
      <c r="H24" s="7"/>
      <c r="I24" s="3"/>
      <c r="J24" s="8">
        <f>IF(H$12=0,0,H24/H$12)</f>
        <v>0</v>
      </c>
      <c r="K24" s="3"/>
      <c r="L24" s="7">
        <f>+D24-H24</f>
        <v>0</v>
      </c>
      <c r="M24" s="3"/>
      <c r="N24" s="8">
        <f>IF(H24=0,0,L24/H24)</f>
        <v>0</v>
      </c>
      <c r="O24" s="12"/>
      <c r="P24" s="7"/>
      <c r="Q24" s="3"/>
      <c r="R24" s="8">
        <f>IF(P$12=0,0,P24/P$12)</f>
        <v>0</v>
      </c>
      <c r="S24" s="3"/>
      <c r="T24" s="7">
        <v>341.22</v>
      </c>
      <c r="U24" s="3"/>
      <c r="V24" s="8">
        <f>IF(T$12=0,0,T24/T$12)</f>
        <v>7.7508786464360903E-4</v>
      </c>
      <c r="W24" s="3"/>
      <c r="X24" s="7">
        <f>+P24-T24</f>
        <v>-341.22</v>
      </c>
      <c r="Y24" s="3"/>
      <c r="Z24" s="8">
        <f>IF(T24=0,0,X24/T24)</f>
        <v>-1</v>
      </c>
    </row>
    <row r="25" spans="1:26" s="64" customFormat="1" ht="15" customHeight="1" x14ac:dyDescent="0.25">
      <c r="A25" s="36"/>
      <c r="B25" s="36"/>
      <c r="C25" s="36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2" customFormat="1" ht="15" customHeight="1" x14ac:dyDescent="0.25">
      <c r="A26" s="11"/>
      <c r="B26" s="28" t="s">
        <v>290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25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25">
      <c r="A28" s="11"/>
      <c r="B28" s="27" t="s">
        <v>291</v>
      </c>
      <c r="C28" s="27"/>
      <c r="D28" s="22">
        <f>+D18-D20+D26</f>
        <v>0</v>
      </c>
      <c r="E28" s="15"/>
      <c r="F28" s="23">
        <f>IF(D$12=0,0,D28/D$12)</f>
        <v>0</v>
      </c>
      <c r="G28" s="15"/>
      <c r="H28" s="22">
        <f>+H18-H20+H26</f>
        <v>47978.22</v>
      </c>
      <c r="I28" s="15"/>
      <c r="J28" s="23">
        <f>IF(H$12=0,0,H28/H$12)</f>
        <v>1</v>
      </c>
      <c r="K28" s="16"/>
      <c r="L28" s="22">
        <f>+D28-H28</f>
        <v>-47978.22</v>
      </c>
      <c r="M28" s="16"/>
      <c r="N28" s="23">
        <f>IF(H28=0,0,L28/H28)</f>
        <v>-1</v>
      </c>
      <c r="O28" s="28"/>
      <c r="P28" s="22">
        <f>+P18-P20+P26</f>
        <v>0</v>
      </c>
      <c r="Q28" s="15"/>
      <c r="R28" s="23">
        <f>IF(P$12=0,0,P28/P$12)</f>
        <v>0</v>
      </c>
      <c r="S28" s="15"/>
      <c r="T28" s="22">
        <f>+T18-T20+T26</f>
        <v>439884.88</v>
      </c>
      <c r="U28" s="15"/>
      <c r="V28" s="23">
        <f>IF(T$12=0,0,T28/T$12)</f>
        <v>0.9992070579925274</v>
      </c>
      <c r="W28" s="16"/>
      <c r="X28" s="22">
        <f>+P28-T28</f>
        <v>-439884.88</v>
      </c>
      <c r="Y28" s="16"/>
      <c r="Z28" s="23">
        <f>IF(T28=0,0,X28/T28)</f>
        <v>-1</v>
      </c>
    </row>
    <row r="29" spans="1:26" ht="15" customHeight="1" x14ac:dyDescent="0.25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25">
      <c r="A30" s="48"/>
      <c r="B30" s="11" t="s">
        <v>292</v>
      </c>
      <c r="C30" s="11"/>
      <c r="D30" s="5"/>
      <c r="E30" s="5"/>
      <c r="F30" s="13">
        <f>IF(D$12=0,0,D30/D$12)</f>
        <v>0</v>
      </c>
      <c r="G30" s="5"/>
      <c r="H30" s="5">
        <v>12012.33</v>
      </c>
      <c r="I30" s="5"/>
      <c r="J30" s="13">
        <f>IF(H$12=0,0,H30/H$12)</f>
        <v>0.25037048060557476</v>
      </c>
      <c r="K30" s="5"/>
      <c r="L30" s="5">
        <f>+D30-H30</f>
        <v>-12012.33</v>
      </c>
      <c r="M30" s="5"/>
      <c r="N30" s="13">
        <f>IF(H30=0,0,L30/H30)</f>
        <v>-1</v>
      </c>
      <c r="O30" s="11"/>
      <c r="P30" s="5"/>
      <c r="Q30" s="5"/>
      <c r="R30" s="13">
        <f>IF(P$12=0,0,P30/P$12)</f>
        <v>0</v>
      </c>
      <c r="S30" s="5"/>
      <c r="T30" s="5">
        <v>94073.82</v>
      </c>
      <c r="U30" s="5"/>
      <c r="V30" s="13">
        <f>IF(T$12=0,0,T30/T$12)</f>
        <v>0.21369051129085997</v>
      </c>
      <c r="W30" s="5"/>
      <c r="X30" s="5">
        <f>+P30-T30</f>
        <v>-94073.82</v>
      </c>
      <c r="Y30" s="5"/>
      <c r="Z30" s="13">
        <f>IF(T30=0,0,X30/T30)</f>
        <v>-1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25">
      <c r="A32" s="11"/>
      <c r="B32" s="27" t="s">
        <v>293</v>
      </c>
      <c r="C32" s="27"/>
      <c r="D32" s="35">
        <f>+D28-D30</f>
        <v>0</v>
      </c>
      <c r="E32" s="15"/>
      <c r="F32" s="30">
        <f>IF(D$12=0,0,D32/D$12)</f>
        <v>0</v>
      </c>
      <c r="G32" s="15"/>
      <c r="H32" s="35">
        <f>+H28-H30</f>
        <v>35965.89</v>
      </c>
      <c r="I32" s="15"/>
      <c r="J32" s="30">
        <f>IF(H$12=0,0,H32/H$12)</f>
        <v>0.74962951939442524</v>
      </c>
      <c r="K32" s="16"/>
      <c r="L32" s="35">
        <f>D32-H32</f>
        <v>-35965.89</v>
      </c>
      <c r="M32" s="16"/>
      <c r="N32" s="30">
        <f>IF(H32=0,0,L32/H32)</f>
        <v>-1</v>
      </c>
      <c r="O32" s="28"/>
      <c r="P32" s="35">
        <f>+P28-P30</f>
        <v>0</v>
      </c>
      <c r="Q32" s="15"/>
      <c r="R32" s="30">
        <f>IF(P$12=0,0,P32/P$12)</f>
        <v>0</v>
      </c>
      <c r="S32" s="15"/>
      <c r="T32" s="35">
        <f>+T28-T30</f>
        <v>345811.06</v>
      </c>
      <c r="U32" s="15"/>
      <c r="V32" s="30">
        <f>IF(T$12=0,0,T32/T$12)</f>
        <v>0.78551654670166737</v>
      </c>
      <c r="W32" s="16"/>
      <c r="X32" s="35">
        <f>P32-T32</f>
        <v>-345811.06</v>
      </c>
      <c r="Y32" s="16"/>
      <c r="Z32" s="30">
        <f>IF(T32=0,0,X32/T32)</f>
        <v>-1</v>
      </c>
    </row>
    <row r="33" spans="1:26" ht="15" customHeight="1" x14ac:dyDescent="0.25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25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x14ac:dyDescent="0.25">
      <c r="A35" s="11"/>
      <c r="B35" s="27" t="s">
        <v>296</v>
      </c>
      <c r="C35" s="27"/>
      <c r="D35" s="32">
        <f>SUM(D32:D34)</f>
        <v>0</v>
      </c>
      <c r="E35" s="15"/>
      <c r="F35" s="34">
        <f>IF(D$12=0,0,D35/D$12)</f>
        <v>0</v>
      </c>
      <c r="G35" s="15"/>
      <c r="H35" s="32">
        <f>SUM(H32:H34)</f>
        <v>35965.89</v>
      </c>
      <c r="I35" s="15"/>
      <c r="J35" s="34">
        <f>IF(H$12=0,0,H35/H$12)</f>
        <v>0.74962951939442524</v>
      </c>
      <c r="K35" s="16"/>
      <c r="L35" s="32">
        <f>+D35-H35</f>
        <v>-35965.89</v>
      </c>
      <c r="M35" s="16"/>
      <c r="N35" s="34">
        <f>IF(H35=0,0,L35/H35)</f>
        <v>-1</v>
      </c>
      <c r="O35" s="28"/>
      <c r="P35" s="32">
        <f>SUM(P32:P34)</f>
        <v>0</v>
      </c>
      <c r="Q35" s="15"/>
      <c r="R35" s="34">
        <f>IF(P$12=0,0,P35/P$12)</f>
        <v>0</v>
      </c>
      <c r="S35" s="15"/>
      <c r="T35" s="32">
        <f>SUM(T32:T34)</f>
        <v>345811.06</v>
      </c>
      <c r="U35" s="15"/>
      <c r="V35" s="34">
        <f>IF(T$12=0,0,T35/T$12)</f>
        <v>0.78551654670166737</v>
      </c>
      <c r="W35" s="16"/>
      <c r="X35" s="32">
        <f>+P35-T35</f>
        <v>-345811.06</v>
      </c>
      <c r="Y35" s="16"/>
      <c r="Z35" s="34">
        <f>IF(T35=0,0,X35/T35)</f>
        <v>-1</v>
      </c>
    </row>
    <row r="36" spans="1:26" ht="15" customHeight="1" x14ac:dyDescent="0.25">
      <c r="A36" s="10"/>
      <c r="C36" s="10"/>
      <c r="D36" s="18"/>
      <c r="E36" s="18"/>
      <c r="G36" s="18"/>
      <c r="H36" s="18"/>
      <c r="I36" s="18"/>
      <c r="J36" s="41"/>
      <c r="K36" s="18"/>
      <c r="L36" s="18"/>
      <c r="M36" s="18"/>
      <c r="P36" s="18"/>
      <c r="Q36" s="18"/>
      <c r="R36" s="41"/>
      <c r="S36" s="18"/>
      <c r="T36" s="18"/>
      <c r="U36" s="18"/>
      <c r="V36" s="41"/>
      <c r="W36" s="18"/>
      <c r="X36" s="18"/>
    </row>
    <row r="37" spans="1:26" ht="15" customHeight="1" x14ac:dyDescent="0.25">
      <c r="A37" s="10"/>
      <c r="B37" s="50">
        <v>44727.879654085649</v>
      </c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3" t="s">
        <v>297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5"/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6AB8E-D543-E7B8-162E-51570FD7E498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","423"," - ","Contract/Vending Revenue")</f>
        <v>Department 423 - Contract/Vending Revenue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26709.09</v>
      </c>
      <c r="E18" s="21"/>
      <c r="F18" s="31">
        <f t="shared" ref="F18:F27" si="0">IF(D$12=0,0,D18/D$12)</f>
        <v>0</v>
      </c>
      <c r="G18" s="21"/>
      <c r="H18" s="21" cm="1">
        <f t="array" ref="H18">SUM(OSRRefH22x_0)</f>
        <v>36</v>
      </c>
      <c r="I18" s="21"/>
      <c r="J18" s="31">
        <f t="shared" ref="J18:J27" si="1">IF(H$12=0,0,H18/H$12)</f>
        <v>0</v>
      </c>
      <c r="K18" s="5"/>
      <c r="L18" s="21">
        <f t="shared" ref="L18:L27" si="2">+D18-H18</f>
        <v>26673.09</v>
      </c>
      <c r="M18" s="5"/>
      <c r="N18" s="31">
        <f t="shared" ref="N18:N27" si="3">IF(H18=0,0,L18/H18)</f>
        <v>740.91916666666668</v>
      </c>
      <c r="O18" s="11"/>
      <c r="P18" s="21" cm="1">
        <f t="array" ref="P18">SUM(OSRRefP22x_0)</f>
        <v>35606.729999999996</v>
      </c>
      <c r="Q18" s="21"/>
      <c r="R18" s="31">
        <f t="shared" ref="R18:R27" si="4">IF(P$12=0,0,P18/P$12)</f>
        <v>0</v>
      </c>
      <c r="S18" s="21"/>
      <c r="T18" s="21" cm="1">
        <f t="array" ref="T18">SUM(OSRRefT22x_0)</f>
        <v>3216.9900000000002</v>
      </c>
      <c r="U18" s="21"/>
      <c r="V18" s="31">
        <f t="shared" ref="V18:V27" si="5">IF(T$12=0,0,T18/T$12)</f>
        <v>0</v>
      </c>
      <c r="W18" s="5"/>
      <c r="X18" s="21">
        <f t="shared" ref="X18:X27" si="6">+P18-T18</f>
        <v>32389.739999999994</v>
      </c>
      <c r="Y18" s="5"/>
      <c r="Z18" s="31">
        <f t="shared" ref="Z18:Z27" si="7">IF(T18=0,0,X18/T18)</f>
        <v>10.06833717232568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2478.73</v>
      </c>
      <c r="U19" s="2"/>
      <c r="V19" s="6">
        <f t="shared" si="5"/>
        <v>0</v>
      </c>
      <c r="W19" s="2"/>
      <c r="X19" s="2">
        <f t="shared" si="6"/>
        <v>-2478.73</v>
      </c>
      <c r="Y19" s="2"/>
      <c r="Z19" s="6">
        <f t="shared" si="7"/>
        <v>-1</v>
      </c>
    </row>
    <row r="20" spans="1:26" s="69" customFormat="1" ht="15" hidden="1" customHeight="1" outlineLevel="2" x14ac:dyDescent="0.25">
      <c r="A20" s="25"/>
      <c r="B20" s="12" t="str">
        <f>CONCATENATE("          ","6113"," - ","GROUP INSURANCE")</f>
        <v xml:space="preserve">          6113 - GROUP INSURANCE</v>
      </c>
      <c r="C20" s="12"/>
      <c r="D20" s="7"/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/>
      <c r="Q20" s="3"/>
      <c r="R20" s="8">
        <f t="shared" si="4"/>
        <v>0</v>
      </c>
      <c r="S20" s="3"/>
      <c r="T20" s="7">
        <v>1868.2</v>
      </c>
      <c r="U20" s="3"/>
      <c r="V20" s="8">
        <f t="shared" si="5"/>
        <v>0</v>
      </c>
      <c r="W20" s="3"/>
      <c r="X20" s="7">
        <f t="shared" si="6"/>
        <v>-1868.2</v>
      </c>
      <c r="Y20" s="3"/>
      <c r="Z20" s="8">
        <f t="shared" si="7"/>
        <v>-1</v>
      </c>
    </row>
    <row r="21" spans="1:26" s="69" customFormat="1" ht="15" hidden="1" customHeight="1" outlineLevel="2" x14ac:dyDescent="0.25">
      <c r="A21" s="25"/>
      <c r="B21" s="12" t="str">
        <f>CONCATENATE("          ","6115"," - ","P.E.R.S.")</f>
        <v xml:space="preserve">          6115 - P.E.R.S.</v>
      </c>
      <c r="C21" s="12"/>
      <c r="D21" s="7"/>
      <c r="E21" s="3"/>
      <c r="F21" s="8">
        <f t="shared" si="0"/>
        <v>0</v>
      </c>
      <c r="G21" s="3"/>
      <c r="H21" s="7"/>
      <c r="I21" s="3"/>
      <c r="J21" s="8">
        <f t="shared" si="1"/>
        <v>0</v>
      </c>
      <c r="K21" s="3"/>
      <c r="L21" s="7">
        <f t="shared" si="2"/>
        <v>0</v>
      </c>
      <c r="M21" s="3"/>
      <c r="N21" s="8">
        <f t="shared" si="3"/>
        <v>0</v>
      </c>
      <c r="O21" s="12"/>
      <c r="P21" s="7"/>
      <c r="Q21" s="3"/>
      <c r="R21" s="8">
        <f t="shared" si="4"/>
        <v>0</v>
      </c>
      <c r="S21" s="3"/>
      <c r="T21" s="7">
        <v>610.53</v>
      </c>
      <c r="U21" s="3"/>
      <c r="V21" s="8">
        <f t="shared" si="5"/>
        <v>0</v>
      </c>
      <c r="W21" s="3"/>
      <c r="X21" s="7">
        <f t="shared" si="6"/>
        <v>-610.53</v>
      </c>
      <c r="Y21" s="3"/>
      <c r="Z21" s="8">
        <f t="shared" si="7"/>
        <v>-1</v>
      </c>
    </row>
    <row r="22" spans="1:26" s="68" customFormat="1" ht="15" customHeight="1" outlineLevel="1" collapsed="1" x14ac:dyDescent="0.25">
      <c r="A22" s="26"/>
      <c r="B22" s="14" t="str">
        <f>CONCATENATE("     ","General                                           ")</f>
        <v xml:space="preserve">     General                                           </v>
      </c>
      <c r="C22" s="14"/>
      <c r="D22" s="2">
        <f>SUM(OSRRefD22_1x_0)</f>
        <v>26673.09</v>
      </c>
      <c r="E22" s="2"/>
      <c r="F22" s="6">
        <f t="shared" si="0"/>
        <v>0</v>
      </c>
      <c r="G22" s="2"/>
      <c r="H22" s="2">
        <f>SUM(OSRRefH22_1x_0)</f>
        <v>0</v>
      </c>
      <c r="I22" s="2"/>
      <c r="J22" s="6">
        <f t="shared" si="1"/>
        <v>0</v>
      </c>
      <c r="K22" s="2"/>
      <c r="L22" s="2">
        <f t="shared" si="2"/>
        <v>26673.09</v>
      </c>
      <c r="M22" s="2"/>
      <c r="N22" s="6">
        <f t="shared" si="3"/>
        <v>0</v>
      </c>
      <c r="O22" s="14"/>
      <c r="P22" s="2">
        <f>SUM(OSRRefP22_1x_0)</f>
        <v>34489.199999999997</v>
      </c>
      <c r="Q22" s="2"/>
      <c r="R22" s="6">
        <f t="shared" si="4"/>
        <v>0</v>
      </c>
      <c r="S22" s="2"/>
      <c r="T22" s="2">
        <f>SUM(OSRRefT22_1x_0)</f>
        <v>0</v>
      </c>
      <c r="U22" s="2"/>
      <c r="V22" s="6">
        <f t="shared" si="5"/>
        <v>0</v>
      </c>
      <c r="W22" s="2"/>
      <c r="X22" s="2">
        <f t="shared" si="6"/>
        <v>34489.199999999997</v>
      </c>
      <c r="Y22" s="2"/>
      <c r="Z22" s="6">
        <f t="shared" si="7"/>
        <v>0</v>
      </c>
    </row>
    <row r="23" spans="1:26" s="69" customFormat="1" ht="15" hidden="1" customHeight="1" outlineLevel="2" x14ac:dyDescent="0.25">
      <c r="A23" s="25"/>
      <c r="B23" s="12" t="str">
        <f>CONCATENATE("          ","6279"," - ","GENERAL EXPENSE")</f>
        <v xml:space="preserve">          6279 - GENERAL EXPENSE</v>
      </c>
      <c r="C23" s="12"/>
      <c r="D23" s="7">
        <v>26673.09</v>
      </c>
      <c r="E23" s="3"/>
      <c r="F23" s="8">
        <f t="shared" si="0"/>
        <v>0</v>
      </c>
      <c r="G23" s="3"/>
      <c r="H23" s="7"/>
      <c r="I23" s="3"/>
      <c r="J23" s="8">
        <f t="shared" si="1"/>
        <v>0</v>
      </c>
      <c r="K23" s="3"/>
      <c r="L23" s="7">
        <f t="shared" si="2"/>
        <v>26673.09</v>
      </c>
      <c r="M23" s="3"/>
      <c r="N23" s="8">
        <f t="shared" si="3"/>
        <v>0</v>
      </c>
      <c r="O23" s="12"/>
      <c r="P23" s="7">
        <v>34489.199999999997</v>
      </c>
      <c r="Q23" s="3"/>
      <c r="R23" s="8">
        <f t="shared" si="4"/>
        <v>0</v>
      </c>
      <c r="S23" s="3"/>
      <c r="T23" s="7"/>
      <c r="U23" s="3"/>
      <c r="V23" s="8">
        <f t="shared" si="5"/>
        <v>0</v>
      </c>
      <c r="W23" s="3"/>
      <c r="X23" s="7">
        <f t="shared" si="6"/>
        <v>34489.199999999997</v>
      </c>
      <c r="Y23" s="3"/>
      <c r="Z23" s="8">
        <f t="shared" si="7"/>
        <v>0</v>
      </c>
    </row>
    <row r="24" spans="1:26" s="68" customFormat="1" ht="15" customHeight="1" outlineLevel="1" collapsed="1" x14ac:dyDescent="0.25">
      <c r="A24" s="26"/>
      <c r="B24" s="14" t="str">
        <f>CONCATENATE("     ","Supplies                                          ")</f>
        <v xml:space="preserve">     Supplies                                          </v>
      </c>
      <c r="C24" s="14"/>
      <c r="D24" s="2">
        <f>SUM(OSRRefD22_2x_0)</f>
        <v>0</v>
      </c>
      <c r="E24" s="2"/>
      <c r="F24" s="6">
        <f t="shared" si="0"/>
        <v>0</v>
      </c>
      <c r="G24" s="2"/>
      <c r="H24" s="2">
        <f>SUM(OSRRefH22_2x_0)</f>
        <v>0</v>
      </c>
      <c r="I24" s="2"/>
      <c r="J24" s="6">
        <f t="shared" si="1"/>
        <v>0</v>
      </c>
      <c r="K24" s="2"/>
      <c r="L24" s="2">
        <f t="shared" si="2"/>
        <v>0</v>
      </c>
      <c r="M24" s="2"/>
      <c r="N24" s="6">
        <f t="shared" si="3"/>
        <v>0</v>
      </c>
      <c r="O24" s="14"/>
      <c r="P24" s="2">
        <f>SUM(OSRRefP22_2x_0)</f>
        <v>564.03</v>
      </c>
      <c r="Q24" s="2"/>
      <c r="R24" s="6">
        <f t="shared" si="4"/>
        <v>0</v>
      </c>
      <c r="S24" s="2"/>
      <c r="T24" s="2">
        <f>SUM(OSRRefT22_2x_0)</f>
        <v>3.26</v>
      </c>
      <c r="U24" s="2"/>
      <c r="V24" s="6">
        <f t="shared" si="5"/>
        <v>0</v>
      </c>
      <c r="W24" s="2"/>
      <c r="X24" s="2">
        <f t="shared" si="6"/>
        <v>560.77</v>
      </c>
      <c r="Y24" s="2"/>
      <c r="Z24" s="6">
        <f t="shared" si="7"/>
        <v>172.0153374233129</v>
      </c>
    </row>
    <row r="25" spans="1:26" s="69" customFormat="1" ht="15" hidden="1" customHeight="1" outlineLevel="2" x14ac:dyDescent="0.25">
      <c r="A25" s="25"/>
      <c r="B25" s="12" t="str">
        <f>CONCATENATE("          ","6241"," - ","OFFICE EXPENSE")</f>
        <v xml:space="preserve">          6241 - OFFICE EXPENSE</v>
      </c>
      <c r="C25" s="12"/>
      <c r="D25" s="7"/>
      <c r="E25" s="3"/>
      <c r="F25" s="8">
        <f t="shared" si="0"/>
        <v>0</v>
      </c>
      <c r="G25" s="3"/>
      <c r="H25" s="7"/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>
        <v>564.03</v>
      </c>
      <c r="Q25" s="3"/>
      <c r="R25" s="8">
        <f t="shared" si="4"/>
        <v>0</v>
      </c>
      <c r="S25" s="3"/>
      <c r="T25" s="7">
        <v>3.26</v>
      </c>
      <c r="U25" s="3"/>
      <c r="V25" s="8">
        <f t="shared" si="5"/>
        <v>0</v>
      </c>
      <c r="W25" s="3"/>
      <c r="X25" s="7">
        <f t="shared" si="6"/>
        <v>560.77</v>
      </c>
      <c r="Y25" s="3"/>
      <c r="Z25" s="8">
        <f t="shared" si="7"/>
        <v>172.0153374233129</v>
      </c>
    </row>
    <row r="26" spans="1:26" s="68" customFormat="1" ht="15" customHeight="1" outlineLevel="1" collapsed="1" x14ac:dyDescent="0.25">
      <c r="A26" s="26"/>
      <c r="B26" s="14" t="str">
        <f>CONCATENATE("     ","Telephone/Data Lines                              ")</f>
        <v xml:space="preserve">     Telephone/Data Lines                              </v>
      </c>
      <c r="C26" s="14"/>
      <c r="D26" s="2">
        <f>SUM(OSRRefD22_3x_0)</f>
        <v>36</v>
      </c>
      <c r="E26" s="2"/>
      <c r="F26" s="6">
        <f t="shared" si="0"/>
        <v>0</v>
      </c>
      <c r="G26" s="2"/>
      <c r="H26" s="2">
        <f>SUM(OSRRefH22_3x_0)</f>
        <v>36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SUM(OSRRefP22_3x_0)</f>
        <v>553.5</v>
      </c>
      <c r="Q26" s="2"/>
      <c r="R26" s="6">
        <f t="shared" si="4"/>
        <v>0</v>
      </c>
      <c r="S26" s="2"/>
      <c r="T26" s="2">
        <f>SUM(OSRRefT22_3x_0)</f>
        <v>735</v>
      </c>
      <c r="U26" s="2"/>
      <c r="V26" s="6">
        <f t="shared" si="5"/>
        <v>0</v>
      </c>
      <c r="W26" s="2"/>
      <c r="X26" s="2">
        <f t="shared" si="6"/>
        <v>-181.5</v>
      </c>
      <c r="Y26" s="2"/>
      <c r="Z26" s="6">
        <f t="shared" si="7"/>
        <v>-0.24693877551020407</v>
      </c>
    </row>
    <row r="27" spans="1:26" s="69" customFormat="1" ht="15" hidden="1" customHeight="1" outlineLevel="2" x14ac:dyDescent="0.25">
      <c r="A27" s="25"/>
      <c r="B27" s="12" t="str">
        <f>CONCATENATE("          ","6309"," - ","TELEPHONE")</f>
        <v xml:space="preserve">          6309 - TELEPHONE</v>
      </c>
      <c r="C27" s="12"/>
      <c r="D27" s="7">
        <v>36</v>
      </c>
      <c r="E27" s="3"/>
      <c r="F27" s="8">
        <f t="shared" si="0"/>
        <v>0</v>
      </c>
      <c r="G27" s="3"/>
      <c r="H27" s="7">
        <v>36</v>
      </c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>
        <v>553.5</v>
      </c>
      <c r="Q27" s="3"/>
      <c r="R27" s="8">
        <f t="shared" si="4"/>
        <v>0</v>
      </c>
      <c r="S27" s="3"/>
      <c r="T27" s="7">
        <v>735</v>
      </c>
      <c r="U27" s="3"/>
      <c r="V27" s="8">
        <f t="shared" si="5"/>
        <v>0</v>
      </c>
      <c r="W27" s="3"/>
      <c r="X27" s="7">
        <f t="shared" si="6"/>
        <v>-181.5</v>
      </c>
      <c r="Y27" s="3"/>
      <c r="Z27" s="8">
        <f t="shared" si="7"/>
        <v>-0.24693877551020407</v>
      </c>
    </row>
    <row r="28" spans="1:26" s="64" customFormat="1" ht="15" customHeight="1" x14ac:dyDescent="0.25">
      <c r="A28" s="36"/>
      <c r="B28" s="36"/>
      <c r="C28" s="36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2" customFormat="1" ht="15" customHeight="1" collapsed="1" x14ac:dyDescent="0.25">
      <c r="A29" s="11"/>
      <c r="B29" s="28" t="s">
        <v>290</v>
      </c>
      <c r="C29" s="11"/>
      <c r="D29" s="5">
        <f>SUM(OSRRefD25x_0)</f>
        <v>20798.34</v>
      </c>
      <c r="E29" s="5"/>
      <c r="F29" s="13">
        <f>IF(D$12=0,0,D29/D$12)</f>
        <v>0</v>
      </c>
      <c r="G29" s="5"/>
      <c r="H29" s="5">
        <f>SUM(OSRRefH25x_0)</f>
        <v>0</v>
      </c>
      <c r="I29" s="5"/>
      <c r="J29" s="13">
        <f>IF(H$12=0,0,H29/H$12)</f>
        <v>0</v>
      </c>
      <c r="K29" s="5"/>
      <c r="L29" s="5">
        <f>+D29-H29</f>
        <v>20798.34</v>
      </c>
      <c r="M29" s="5"/>
      <c r="N29" s="13">
        <f>IF(H29=0,0,L29/H29)</f>
        <v>0</v>
      </c>
      <c r="O29" s="11"/>
      <c r="P29" s="5">
        <f>SUM(OSRRefP25x_0)</f>
        <v>160885.44</v>
      </c>
      <c r="Q29" s="5"/>
      <c r="R29" s="13">
        <f>IF(P$12=0,0,P29/P$12)</f>
        <v>0</v>
      </c>
      <c r="S29" s="5"/>
      <c r="T29" s="5">
        <f>SUM(OSRRefT25x_0)</f>
        <v>0</v>
      </c>
      <c r="U29" s="5"/>
      <c r="V29" s="13">
        <f>IF(T$12=0,0,T29/T$12)</f>
        <v>0</v>
      </c>
      <c r="W29" s="5"/>
      <c r="X29" s="5">
        <f>+P29-T29</f>
        <v>160885.44</v>
      </c>
      <c r="Y29" s="5"/>
      <c r="Z29" s="13">
        <f>IF(T29=0,0,X29/T29)</f>
        <v>0</v>
      </c>
    </row>
    <row r="30" spans="1:26" s="69" customFormat="1" ht="15" hidden="1" customHeight="1" outlineLevel="1" x14ac:dyDescent="0.25">
      <c r="A30" s="42"/>
      <c r="B30" s="12" t="str">
        <f>CONCATENATE("          ","9150"," - ","MISC. INCOME")</f>
        <v xml:space="preserve">          9150 - MISC. INCOME</v>
      </c>
      <c r="C30" s="12"/>
      <c r="D30" s="3">
        <f>--20798.34</f>
        <v>20798.34</v>
      </c>
      <c r="E30" s="3"/>
      <c r="F30" s="20">
        <f>IF(D$12=0,0,D30/D$12)</f>
        <v>0</v>
      </c>
      <c r="G30" s="3"/>
      <c r="H30" s="3">
        <f>0</f>
        <v>0</v>
      </c>
      <c r="I30" s="3"/>
      <c r="J30" s="20">
        <f>IF(H$12=0,0,H30/H$12)</f>
        <v>0</v>
      </c>
      <c r="K30" s="3"/>
      <c r="L30" s="3">
        <f>+D30-H30</f>
        <v>20798.34</v>
      </c>
      <c r="M30" s="3"/>
      <c r="N30" s="20">
        <f>IF(H30=0,0,L30/H30)</f>
        <v>0</v>
      </c>
      <c r="O30" s="12"/>
      <c r="P30" s="3">
        <f>--160885.44</f>
        <v>160885.44</v>
      </c>
      <c r="Q30" s="3"/>
      <c r="R30" s="20">
        <f>IF(P$12=0,0,P30/P$12)</f>
        <v>0</v>
      </c>
      <c r="S30" s="3"/>
      <c r="T30" s="3">
        <f>0</f>
        <v>0</v>
      </c>
      <c r="U30" s="3"/>
      <c r="V30" s="20">
        <f>IF(T$12=0,0,T30/T$12)</f>
        <v>0</v>
      </c>
      <c r="W30" s="3"/>
      <c r="X30" s="3">
        <f>+P30-T30</f>
        <v>160885.44</v>
      </c>
      <c r="Y30" s="3"/>
      <c r="Z30" s="20">
        <f>IF(T30=0,0,X30/T30)</f>
        <v>0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25">
      <c r="A32" s="11"/>
      <c r="B32" s="27" t="s">
        <v>291</v>
      </c>
      <c r="C32" s="27"/>
      <c r="D32" s="22">
        <f>+D16-D18+D29</f>
        <v>-5910.75</v>
      </c>
      <c r="E32" s="15"/>
      <c r="F32" s="23">
        <f>IF(D$12=0,0,D32/D$12)</f>
        <v>0</v>
      </c>
      <c r="G32" s="15"/>
      <c r="H32" s="22">
        <f>+H16-H18+H29</f>
        <v>-36</v>
      </c>
      <c r="I32" s="15"/>
      <c r="J32" s="23">
        <f>IF(H$12=0,0,H32/H$12)</f>
        <v>0</v>
      </c>
      <c r="K32" s="16"/>
      <c r="L32" s="22">
        <f>+D32-H32</f>
        <v>-5874.75</v>
      </c>
      <c r="M32" s="16"/>
      <c r="N32" s="23">
        <f>IF(H32=0,0,L32/H32)</f>
        <v>163.1875</v>
      </c>
      <c r="O32" s="28"/>
      <c r="P32" s="22">
        <f>+P16-P18+P29</f>
        <v>125278.71</v>
      </c>
      <c r="Q32" s="15"/>
      <c r="R32" s="23">
        <f>IF(P$12=0,0,P32/P$12)</f>
        <v>0</v>
      </c>
      <c r="S32" s="15"/>
      <c r="T32" s="22">
        <f>+T16-T18+T29</f>
        <v>-3216.9900000000002</v>
      </c>
      <c r="U32" s="15"/>
      <c r="V32" s="23">
        <f>IF(T$12=0,0,T32/T$12)</f>
        <v>0</v>
      </c>
      <c r="W32" s="16"/>
      <c r="X32" s="22">
        <f>+P32-T32</f>
        <v>128495.70000000001</v>
      </c>
      <c r="Y32" s="16"/>
      <c r="Z32" s="23">
        <f>IF(T32=0,0,X32/T32)</f>
        <v>-39.942834761687166</v>
      </c>
    </row>
    <row r="33" spans="1:26" ht="15" customHeight="1" x14ac:dyDescent="0.25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25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25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293</v>
      </c>
      <c r="C36" s="27"/>
      <c r="D36" s="35">
        <f>+D32-D34</f>
        <v>-5910.75</v>
      </c>
      <c r="E36" s="15"/>
      <c r="F36" s="30">
        <f>IF(D$12=0,0,D36/D$12)</f>
        <v>0</v>
      </c>
      <c r="G36" s="15"/>
      <c r="H36" s="35">
        <f>+H32-H34</f>
        <v>-36</v>
      </c>
      <c r="I36" s="15"/>
      <c r="J36" s="30">
        <f>IF(H$12=0,0,H36/H$12)</f>
        <v>0</v>
      </c>
      <c r="K36" s="16"/>
      <c r="L36" s="35">
        <f>D36-H36</f>
        <v>-5874.75</v>
      </c>
      <c r="M36" s="16"/>
      <c r="N36" s="30">
        <f>IF(H36=0,0,L36/H36)</f>
        <v>163.1875</v>
      </c>
      <c r="O36" s="28"/>
      <c r="P36" s="35">
        <f>+P32-P34</f>
        <v>125278.71</v>
      </c>
      <c r="Q36" s="15"/>
      <c r="R36" s="30">
        <f>IF(P$12=0,0,P36/P$12)</f>
        <v>0</v>
      </c>
      <c r="S36" s="15"/>
      <c r="T36" s="35">
        <f>+T32-T34</f>
        <v>-3216.9900000000002</v>
      </c>
      <c r="U36" s="15"/>
      <c r="V36" s="30">
        <f>IF(T$12=0,0,T36/T$12)</f>
        <v>0</v>
      </c>
      <c r="W36" s="16"/>
      <c r="X36" s="35">
        <f>P36-T36</f>
        <v>128495.70000000001</v>
      </c>
      <c r="Y36" s="16"/>
      <c r="Z36" s="30">
        <f>IF(T36=0,0,X36/T36)</f>
        <v>-39.942834761687166</v>
      </c>
    </row>
    <row r="37" spans="1:26" ht="15" customHeight="1" x14ac:dyDescent="0.25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25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25">
      <c r="A39" s="11"/>
      <c r="B39" s="27" t="s">
        <v>296</v>
      </c>
      <c r="C39" s="27"/>
      <c r="D39" s="32">
        <f>SUM(D36:D38)</f>
        <v>-5910.75</v>
      </c>
      <c r="E39" s="15"/>
      <c r="F39" s="34">
        <f>IF(D$12=0,0,D39/D$12)</f>
        <v>0</v>
      </c>
      <c r="G39" s="15"/>
      <c r="H39" s="32">
        <f>SUM(H36:H38)</f>
        <v>-36</v>
      </c>
      <c r="I39" s="15"/>
      <c r="J39" s="34">
        <f>IF(H$12=0,0,H39/H$12)</f>
        <v>0</v>
      </c>
      <c r="K39" s="16"/>
      <c r="L39" s="32">
        <f>+D39-H39</f>
        <v>-5874.75</v>
      </c>
      <c r="M39" s="16"/>
      <c r="N39" s="34">
        <f>IF(H39=0,0,L39/H39)</f>
        <v>163.1875</v>
      </c>
      <c r="O39" s="28"/>
      <c r="P39" s="32">
        <f>SUM(P36:P38)</f>
        <v>125278.71</v>
      </c>
      <c r="Q39" s="15"/>
      <c r="R39" s="34">
        <f>IF(P$12=0,0,P39/P$12)</f>
        <v>0</v>
      </c>
      <c r="S39" s="15"/>
      <c r="T39" s="32">
        <f>SUM(T36:T38)</f>
        <v>-3216.9900000000002</v>
      </c>
      <c r="U39" s="15"/>
      <c r="V39" s="34">
        <f>IF(T$12=0,0,T39/T$12)</f>
        <v>0</v>
      </c>
      <c r="W39" s="16"/>
      <c r="X39" s="32">
        <f>+P39-T39</f>
        <v>128495.70000000001</v>
      </c>
      <c r="Y39" s="16"/>
      <c r="Z39" s="34">
        <f>IF(T39=0,0,X39/T39)</f>
        <v>-39.942834761687166</v>
      </c>
    </row>
    <row r="40" spans="1:26" ht="15" customHeight="1" x14ac:dyDescent="0.25">
      <c r="A40" s="10"/>
      <c r="C40" s="10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A41" s="10"/>
      <c r="B41" s="50">
        <v>44727.879654085649</v>
      </c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25">
      <c r="A42" s="10"/>
      <c r="B42" s="53" t="s">
        <v>297</v>
      </c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  <row r="43" spans="1:26" ht="15" customHeight="1" x14ac:dyDescent="0.25">
      <c r="A43" s="10"/>
      <c r="B43" s="55"/>
      <c r="D43" s="18"/>
      <c r="E43" s="18"/>
      <c r="G43" s="18"/>
      <c r="H43" s="18"/>
      <c r="I43" s="18"/>
      <c r="J43" s="41"/>
      <c r="K43" s="18"/>
      <c r="L43" s="18"/>
      <c r="M43" s="18"/>
      <c r="P43" s="18"/>
      <c r="Q43" s="18"/>
      <c r="R43" s="41"/>
      <c r="S43" s="18"/>
      <c r="T43" s="18"/>
      <c r="U43" s="18"/>
      <c r="V43" s="41"/>
      <c r="W43" s="18"/>
      <c r="X43" s="18"/>
    </row>
    <row r="44" spans="1:26" ht="15" customHeight="1" x14ac:dyDescent="0.25">
      <c r="D44" s="18"/>
      <c r="E44" s="18"/>
      <c r="G44" s="18"/>
      <c r="H44" s="18"/>
      <c r="I44" s="18"/>
      <c r="J44" s="41"/>
      <c r="K44" s="18"/>
      <c r="L44" s="18"/>
      <c r="M44" s="18"/>
      <c r="P44" s="18"/>
      <c r="Q44" s="18"/>
      <c r="R44" s="41"/>
      <c r="S44" s="18"/>
      <c r="T44" s="18"/>
      <c r="U44" s="18"/>
      <c r="V44" s="41"/>
      <c r="W44" s="18"/>
      <c r="X4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2FE82-2B51-21DB-04AD-0FC6C76F7D44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","424"," - ","Blair Field")</f>
        <v>Department 424 - Blair Field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479.29</v>
      </c>
      <c r="E18" s="21"/>
      <c r="F18" s="31">
        <f t="shared" ref="F18:F26" si="0">IF(D$12=0,0,D18/D$12)</f>
        <v>0</v>
      </c>
      <c r="G18" s="21"/>
      <c r="H18" s="21" cm="1">
        <f t="array" ref="H18">SUM(OSRRefH22x_0)</f>
        <v>479.29</v>
      </c>
      <c r="I18" s="21"/>
      <c r="J18" s="31">
        <f t="shared" ref="J18:J26" si="1">IF(H$12=0,0,H18/H$12)</f>
        <v>0</v>
      </c>
      <c r="K18" s="5"/>
      <c r="L18" s="21">
        <f t="shared" ref="L18:L26" si="2">+D18-H18</f>
        <v>0</v>
      </c>
      <c r="M18" s="5"/>
      <c r="N18" s="31">
        <f t="shared" ref="N18:N26" si="3">IF(H18=0,0,L18/H18)</f>
        <v>0</v>
      </c>
      <c r="O18" s="11"/>
      <c r="P18" s="21" cm="1">
        <f t="array" ref="P18">SUM(OSRRefP22x_0)</f>
        <v>5751.19</v>
      </c>
      <c r="Q18" s="21"/>
      <c r="R18" s="31">
        <f t="shared" ref="R18:R26" si="4">IF(P$12=0,0,P18/P$12)</f>
        <v>0</v>
      </c>
      <c r="S18" s="21"/>
      <c r="T18" s="21" cm="1">
        <f t="array" ref="T18">SUM(OSRRefT22x_0)</f>
        <v>6833.08</v>
      </c>
      <c r="U18" s="21"/>
      <c r="V18" s="31">
        <f t="shared" ref="V18:V26" si="5">IF(T$12=0,0,T18/T$12)</f>
        <v>0</v>
      </c>
      <c r="W18" s="5"/>
      <c r="X18" s="21">
        <f t="shared" ref="X18:X26" si="6">+P18-T18</f>
        <v>-1081.8900000000003</v>
      </c>
      <c r="Y18" s="5"/>
      <c r="Z18" s="31">
        <f t="shared" ref="Z18:Z26" si="7">IF(T18=0,0,X18/T18)</f>
        <v>-0.15833123569459165</v>
      </c>
    </row>
    <row r="19" spans="1:26" s="68" customFormat="1" ht="15" customHeight="1" outlineLevel="1" collapsed="1" x14ac:dyDescent="0.25">
      <c r="A19" s="26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479.29</v>
      </c>
      <c r="E19" s="2"/>
      <c r="F19" s="6">
        <f t="shared" si="0"/>
        <v>0</v>
      </c>
      <c r="G19" s="2"/>
      <c r="H19" s="2">
        <f>SUM(OSRRefH22_0x_0)</f>
        <v>479.29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5272.19</v>
      </c>
      <c r="Q19" s="2"/>
      <c r="R19" s="6">
        <f t="shared" si="4"/>
        <v>0</v>
      </c>
      <c r="S19" s="2"/>
      <c r="T19" s="2">
        <f>SUM(OSRRefT22_0x_0)</f>
        <v>5272.19</v>
      </c>
      <c r="U19" s="2"/>
      <c r="V19" s="6">
        <f t="shared" si="5"/>
        <v>0</v>
      </c>
      <c r="W19" s="2"/>
      <c r="X19" s="2">
        <f t="shared" si="6"/>
        <v>0</v>
      </c>
      <c r="Y19" s="2"/>
      <c r="Z19" s="6">
        <f t="shared" si="7"/>
        <v>0</v>
      </c>
    </row>
    <row r="20" spans="1:26" s="69" customFormat="1" ht="15" hidden="1" customHeight="1" outlineLevel="2" x14ac:dyDescent="0.25">
      <c r="A20" s="25"/>
      <c r="B20" s="12" t="str">
        <f>CONCATENATE("          ","6322"," - ","EQUIPMENT DEPRECIATION EXPENSE")</f>
        <v xml:space="preserve">          6322 - EQUIPMENT DEPRECIATION EXPENSE</v>
      </c>
      <c r="C20" s="12"/>
      <c r="D20" s="7">
        <v>479.29</v>
      </c>
      <c r="E20" s="3"/>
      <c r="F20" s="8">
        <f t="shared" si="0"/>
        <v>0</v>
      </c>
      <c r="G20" s="3"/>
      <c r="H20" s="7">
        <v>479.29</v>
      </c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>
        <v>5272.19</v>
      </c>
      <c r="Q20" s="3"/>
      <c r="R20" s="8">
        <f t="shared" si="4"/>
        <v>0</v>
      </c>
      <c r="S20" s="3"/>
      <c r="T20" s="7">
        <v>5272.19</v>
      </c>
      <c r="U20" s="3"/>
      <c r="V20" s="8">
        <f t="shared" si="5"/>
        <v>0</v>
      </c>
      <c r="W20" s="3"/>
      <c r="X20" s="7">
        <f t="shared" si="6"/>
        <v>0</v>
      </c>
      <c r="Y20" s="3"/>
      <c r="Z20" s="8">
        <f t="shared" si="7"/>
        <v>0</v>
      </c>
    </row>
    <row r="21" spans="1:26" s="68" customFormat="1" ht="15" customHeight="1" outlineLevel="1" collapsed="1" x14ac:dyDescent="0.25">
      <c r="A21" s="26"/>
      <c r="B21" s="14" t="str">
        <f>CONCATENATE("     ","General                                           ")</f>
        <v xml:space="preserve">     General     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479</v>
      </c>
      <c r="Q21" s="2"/>
      <c r="R21" s="6">
        <f t="shared" si="4"/>
        <v>0</v>
      </c>
      <c r="S21" s="2"/>
      <c r="T21" s="2">
        <f>SUM(OSRRefT22_1x_0)</f>
        <v>978.55</v>
      </c>
      <c r="U21" s="2"/>
      <c r="V21" s="6">
        <f t="shared" si="5"/>
        <v>0</v>
      </c>
      <c r="W21" s="2"/>
      <c r="X21" s="2">
        <f t="shared" si="6"/>
        <v>-499.54999999999995</v>
      </c>
      <c r="Y21" s="2"/>
      <c r="Z21" s="6">
        <f t="shared" si="7"/>
        <v>-0.51050022993204225</v>
      </c>
    </row>
    <row r="22" spans="1:26" s="69" customFormat="1" ht="15" hidden="1" customHeight="1" outlineLevel="2" x14ac:dyDescent="0.25">
      <c r="A22" s="25"/>
      <c r="B22" s="12" t="str">
        <f>CONCATENATE("          ","6279"," - ","GENERAL EXPENSE")</f>
        <v xml:space="preserve">          6279 - GENERAL EXPENSE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>
        <v>479</v>
      </c>
      <c r="Q22" s="3"/>
      <c r="R22" s="8">
        <f t="shared" si="4"/>
        <v>0</v>
      </c>
      <c r="S22" s="3"/>
      <c r="T22" s="7">
        <v>978.55</v>
      </c>
      <c r="U22" s="3"/>
      <c r="V22" s="8">
        <f t="shared" si="5"/>
        <v>0</v>
      </c>
      <c r="W22" s="3"/>
      <c r="X22" s="7">
        <f t="shared" si="6"/>
        <v>-499.54999999999995</v>
      </c>
      <c r="Y22" s="3"/>
      <c r="Z22" s="8">
        <f t="shared" si="7"/>
        <v>-0.51050022993204225</v>
      </c>
    </row>
    <row r="23" spans="1:26" s="68" customFormat="1" ht="15" customHeight="1" outlineLevel="1" collapsed="1" x14ac:dyDescent="0.25">
      <c r="A23" s="26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154.33000000000001</v>
      </c>
      <c r="U23" s="2"/>
      <c r="V23" s="6">
        <f t="shared" si="5"/>
        <v>0</v>
      </c>
      <c r="W23" s="2"/>
      <c r="X23" s="2">
        <f t="shared" si="6"/>
        <v>-154.33000000000001</v>
      </c>
      <c r="Y23" s="2"/>
      <c r="Z23" s="6">
        <f t="shared" si="7"/>
        <v>-1</v>
      </c>
    </row>
    <row r="24" spans="1:26" s="69" customFormat="1" ht="15" hidden="1" customHeight="1" outlineLevel="2" x14ac:dyDescent="0.25">
      <c r="A24" s="25"/>
      <c r="B24" s="12" t="str">
        <f>CONCATENATE("          ","6373"," - ","MAINTENANCE CONTRACTS")</f>
        <v xml:space="preserve">          6373 - MAINTENANCE CONTRACTS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154.33000000000001</v>
      </c>
      <c r="U24" s="3"/>
      <c r="V24" s="8">
        <f t="shared" si="5"/>
        <v>0</v>
      </c>
      <c r="W24" s="3"/>
      <c r="X24" s="7">
        <f t="shared" si="6"/>
        <v>-154.33000000000001</v>
      </c>
      <c r="Y24" s="3"/>
      <c r="Z24" s="8">
        <f t="shared" si="7"/>
        <v>-1</v>
      </c>
    </row>
    <row r="25" spans="1:26" s="68" customFormat="1" ht="15" customHeight="1" outlineLevel="1" collapsed="1" x14ac:dyDescent="0.25">
      <c r="A25" s="26"/>
      <c r="B25" s="14" t="str">
        <f>CONCATENATE("     ","Telephone/Data Lines                              ")</f>
        <v xml:space="preserve">     Telephone/Data Lines 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0</v>
      </c>
      <c r="Q25" s="2"/>
      <c r="R25" s="6">
        <f t="shared" si="4"/>
        <v>0</v>
      </c>
      <c r="S25" s="2"/>
      <c r="T25" s="2">
        <f>SUM(OSRRefT22_3x_0)</f>
        <v>428.01</v>
      </c>
      <c r="U25" s="2"/>
      <c r="V25" s="6">
        <f t="shared" si="5"/>
        <v>0</v>
      </c>
      <c r="W25" s="2"/>
      <c r="X25" s="2">
        <f t="shared" si="6"/>
        <v>-428.01</v>
      </c>
      <c r="Y25" s="2"/>
      <c r="Z25" s="6">
        <f t="shared" si="7"/>
        <v>-1</v>
      </c>
    </row>
    <row r="26" spans="1:26" s="69" customFormat="1" ht="15" hidden="1" customHeight="1" outlineLevel="2" x14ac:dyDescent="0.25">
      <c r="A26" s="25"/>
      <c r="B26" s="12" t="str">
        <f>CONCATENATE("          ","6309"," - ","TELEPHONE")</f>
        <v xml:space="preserve">          6309 - TELEPHONE</v>
      </c>
      <c r="C26" s="12"/>
      <c r="D26" s="7"/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428.01</v>
      </c>
      <c r="U26" s="3"/>
      <c r="V26" s="8">
        <f t="shared" si="5"/>
        <v>0</v>
      </c>
      <c r="W26" s="3"/>
      <c r="X26" s="7">
        <f t="shared" si="6"/>
        <v>-428.01</v>
      </c>
      <c r="Y26" s="3"/>
      <c r="Z26" s="8">
        <f t="shared" si="7"/>
        <v>-1</v>
      </c>
    </row>
    <row r="27" spans="1:26" s="64" customFormat="1" ht="15" customHeight="1" x14ac:dyDescent="0.25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25">
      <c r="A28" s="11"/>
      <c r="B28" s="28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25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25">
      <c r="A30" s="11"/>
      <c r="B30" s="27" t="s">
        <v>291</v>
      </c>
      <c r="C30" s="27"/>
      <c r="D30" s="22">
        <f>+D16-D18+D28</f>
        <v>-479.29</v>
      </c>
      <c r="E30" s="15"/>
      <c r="F30" s="23">
        <f>IF(D$12=0,0,D30/D$12)</f>
        <v>0</v>
      </c>
      <c r="G30" s="15"/>
      <c r="H30" s="22">
        <f>+H16-H18+H28</f>
        <v>-479.29</v>
      </c>
      <c r="I30" s="15"/>
      <c r="J30" s="23">
        <f>IF(H$12=0,0,H30/H$12)</f>
        <v>0</v>
      </c>
      <c r="K30" s="16"/>
      <c r="L30" s="22">
        <f>+D30-H30</f>
        <v>0</v>
      </c>
      <c r="M30" s="16"/>
      <c r="N30" s="23">
        <f>IF(H30=0,0,L30/H30)</f>
        <v>0</v>
      </c>
      <c r="O30" s="28"/>
      <c r="P30" s="22">
        <f>+P16-P18+P28</f>
        <v>-5751.19</v>
      </c>
      <c r="Q30" s="15"/>
      <c r="R30" s="23">
        <f>IF(P$12=0,0,P30/P$12)</f>
        <v>0</v>
      </c>
      <c r="S30" s="15"/>
      <c r="T30" s="22">
        <f>+T16-T18+T28</f>
        <v>-6833.08</v>
      </c>
      <c r="U30" s="15"/>
      <c r="V30" s="23">
        <f>IF(T$12=0,0,T30/T$12)</f>
        <v>0</v>
      </c>
      <c r="W30" s="16"/>
      <c r="X30" s="22">
        <f>+P30-T30</f>
        <v>1081.8900000000003</v>
      </c>
      <c r="Y30" s="16"/>
      <c r="Z30" s="23">
        <f>IF(T30=0,0,X30/T30)</f>
        <v>-0.15833123569459165</v>
      </c>
    </row>
    <row r="31" spans="1:26" ht="15" customHeight="1" x14ac:dyDescent="0.25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25">
      <c r="A32" s="48"/>
      <c r="B32" s="11" t="s">
        <v>292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25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25">
      <c r="A34" s="11"/>
      <c r="B34" s="27" t="s">
        <v>293</v>
      </c>
      <c r="C34" s="27"/>
      <c r="D34" s="35">
        <f>+D30-D32</f>
        <v>-479.29</v>
      </c>
      <c r="E34" s="15"/>
      <c r="F34" s="30">
        <f>IF(D$12=0,0,D34/D$12)</f>
        <v>0</v>
      </c>
      <c r="G34" s="15"/>
      <c r="H34" s="35">
        <f>+H30-H32</f>
        <v>-479.29</v>
      </c>
      <c r="I34" s="15"/>
      <c r="J34" s="30">
        <f>IF(H$12=0,0,H34/H$12)</f>
        <v>0</v>
      </c>
      <c r="K34" s="16"/>
      <c r="L34" s="35">
        <f>D34-H34</f>
        <v>0</v>
      </c>
      <c r="M34" s="16"/>
      <c r="N34" s="30">
        <f>IF(H34=0,0,L34/H34)</f>
        <v>0</v>
      </c>
      <c r="O34" s="28"/>
      <c r="P34" s="35">
        <f>+P30-P32</f>
        <v>-5751.19</v>
      </c>
      <c r="Q34" s="15"/>
      <c r="R34" s="30">
        <f>IF(P$12=0,0,P34/P$12)</f>
        <v>0</v>
      </c>
      <c r="S34" s="15"/>
      <c r="T34" s="35">
        <f>+T30-T32</f>
        <v>-6833.08</v>
      </c>
      <c r="U34" s="15"/>
      <c r="V34" s="30">
        <f>IF(T$12=0,0,T34/T$12)</f>
        <v>0</v>
      </c>
      <c r="W34" s="16"/>
      <c r="X34" s="35">
        <f>P34-T34</f>
        <v>1081.8900000000003</v>
      </c>
      <c r="Y34" s="16"/>
      <c r="Z34" s="30">
        <f>IF(T34=0,0,X34/T34)</f>
        <v>-0.15833123569459165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25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25">
      <c r="A37" s="11"/>
      <c r="B37" s="27" t="s">
        <v>296</v>
      </c>
      <c r="C37" s="27"/>
      <c r="D37" s="32">
        <f>SUM(D34:D36)</f>
        <v>-479.29</v>
      </c>
      <c r="E37" s="15"/>
      <c r="F37" s="34">
        <f>IF(D$12=0,0,D37/D$12)</f>
        <v>0</v>
      </c>
      <c r="G37" s="15"/>
      <c r="H37" s="32">
        <f>SUM(H34:H36)</f>
        <v>-479.29</v>
      </c>
      <c r="I37" s="15"/>
      <c r="J37" s="34">
        <f>IF(H$12=0,0,H37/H$12)</f>
        <v>0</v>
      </c>
      <c r="K37" s="16"/>
      <c r="L37" s="32">
        <f>+D37-H37</f>
        <v>0</v>
      </c>
      <c r="M37" s="16"/>
      <c r="N37" s="34">
        <f>IF(H37=0,0,L37/H37)</f>
        <v>0</v>
      </c>
      <c r="O37" s="28"/>
      <c r="P37" s="32">
        <f>SUM(P34:P36)</f>
        <v>-5751.19</v>
      </c>
      <c r="Q37" s="15"/>
      <c r="R37" s="34">
        <f>IF(P$12=0,0,P37/P$12)</f>
        <v>0</v>
      </c>
      <c r="S37" s="15"/>
      <c r="T37" s="32">
        <f>SUM(T34:T36)</f>
        <v>-6833.08</v>
      </c>
      <c r="U37" s="15"/>
      <c r="V37" s="34">
        <f>IF(T$12=0,0,T37/T$12)</f>
        <v>0</v>
      </c>
      <c r="W37" s="16"/>
      <c r="X37" s="32">
        <f>+P37-T37</f>
        <v>1081.8900000000003</v>
      </c>
      <c r="Y37" s="16"/>
      <c r="Z37" s="34">
        <f>IF(T37=0,0,X37/T37)</f>
        <v>-0.15833123569459165</v>
      </c>
    </row>
    <row r="38" spans="1:26" ht="15" customHeight="1" x14ac:dyDescent="0.25">
      <c r="A38" s="10"/>
      <c r="C38" s="10"/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0">
        <v>44727.879654085649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3" t="s">
        <v>297</v>
      </c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A41" s="10"/>
      <c r="B41" s="55"/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25"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6D63F-94F4-EDD1-4E98-3479E17B0911}">
  <sheetPr>
    <tabColor rgb="FF92D050"/>
    <outlinePr summaryBelow="0" summaryRight="0"/>
  </sheetPr>
  <dimension ref="A2:Z5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","425"," - ","Events Center")</f>
        <v>Department 425 - Events Center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493.42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493.42</v>
      </c>
      <c r="M12" s="5"/>
      <c r="N12" s="13">
        <f>IF(H12=0,0,L12/H12)</f>
        <v>0</v>
      </c>
      <c r="O12" s="11"/>
      <c r="P12" s="5">
        <f>SUM(OSRRefP13x_0)</f>
        <v>24745.26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24745.26</v>
      </c>
      <c r="Y12" s="5"/>
      <c r="Z12" s="13">
        <f>IF(T12=0,0,X12/T12)</f>
        <v>0</v>
      </c>
    </row>
    <row r="13" spans="1:26" s="69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--493.42</f>
        <v>493.42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493.42</v>
      </c>
      <c r="M13" s="3"/>
      <c r="N13" s="20">
        <f>IF(H13=0,0,L13/H13)</f>
        <v>0</v>
      </c>
      <c r="O13" s="12"/>
      <c r="P13" s="3">
        <f>--24745.26</f>
        <v>24745.26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24745.26</v>
      </c>
      <c r="Y13" s="3"/>
      <c r="Z13" s="20">
        <f>IF(T13=0,0,X13/T13)</f>
        <v>0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>
        <f>SUM(OSRRefD16x_0)</f>
        <v>894.72</v>
      </c>
      <c r="E15" s="5"/>
      <c r="F15" s="13">
        <f>IF(D$12=0,0,D15/D$12)</f>
        <v>1.8133030683798792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894.72</v>
      </c>
      <c r="M15" s="5"/>
      <c r="N15" s="13">
        <f>IF(H15=0,0,L15/H15)</f>
        <v>0</v>
      </c>
      <c r="O15" s="11"/>
      <c r="P15" s="5">
        <f>SUM(OSRRefP16x_0)</f>
        <v>11406.91</v>
      </c>
      <c r="Q15" s="5"/>
      <c r="R15" s="13">
        <f>IF(P$12=0,0,P15/P$12)</f>
        <v>0.46097353594183293</v>
      </c>
      <c r="S15" s="5"/>
      <c r="T15" s="5">
        <f>SUM(OSRRefT16x_0)</f>
        <v>-6593.4</v>
      </c>
      <c r="U15" s="5"/>
      <c r="V15" s="13">
        <f>IF(T$12=0,0,T15/T$12)</f>
        <v>0</v>
      </c>
      <c r="W15" s="5"/>
      <c r="X15" s="5">
        <f>+P15-T15</f>
        <v>18000.309999999998</v>
      </c>
      <c r="Y15" s="5"/>
      <c r="Z15" s="13">
        <f>IF(T15=0,0,X15/T15)</f>
        <v>-2.7300497467164133</v>
      </c>
    </row>
    <row r="16" spans="1:26" s="69" customFormat="1" ht="15" hidden="1" customHeight="1" outlineLevel="1" x14ac:dyDescent="0.25">
      <c r="A16" s="42"/>
      <c r="B16" s="12" t="str">
        <f>CONCATENATE("          ","5053"," - ","PURCHASES @ COST-FOOD")</f>
        <v xml:space="preserve">          5053 - PURCHASES @ COST-FOOD</v>
      </c>
      <c r="C16" s="12"/>
      <c r="D16" s="3">
        <v>894.72</v>
      </c>
      <c r="E16" s="3"/>
      <c r="F16" s="20">
        <f>IF(D$12=0,0,D16/D$12)</f>
        <v>1.8133030683798792</v>
      </c>
      <c r="G16" s="3"/>
      <c r="H16" s="3"/>
      <c r="I16" s="3"/>
      <c r="J16" s="20">
        <f>IF(H$12=0,0,H16/H$12)</f>
        <v>0</v>
      </c>
      <c r="K16" s="3"/>
      <c r="L16" s="3">
        <f>+D16-H16</f>
        <v>894.72</v>
      </c>
      <c r="M16" s="3"/>
      <c r="N16" s="20">
        <f>IF(H16=0,0,L16/H16)</f>
        <v>0</v>
      </c>
      <c r="O16" s="12"/>
      <c r="P16" s="3">
        <v>11406.91</v>
      </c>
      <c r="Q16" s="3"/>
      <c r="R16" s="20">
        <f>IF(P$12=0,0,P16/P$12)</f>
        <v>0.46097353594183293</v>
      </c>
      <c r="S16" s="3"/>
      <c r="T16" s="3">
        <v>-6593.4</v>
      </c>
      <c r="U16" s="3"/>
      <c r="V16" s="20">
        <f>IF(T$12=0,0,T16/T$12)</f>
        <v>0</v>
      </c>
      <c r="W16" s="3"/>
      <c r="X16" s="3">
        <f>+P16-T16</f>
        <v>18000.309999999998</v>
      </c>
      <c r="Y16" s="3"/>
      <c r="Z16" s="20">
        <f>IF(T16=0,0,X16/T16)</f>
        <v>-2.7300497467164133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>
        <f>D12-D15</f>
        <v>-401.3</v>
      </c>
      <c r="E18" s="15"/>
      <c r="F18" s="23">
        <f>IF(D$12=0,0,D18/D$12)</f>
        <v>-0.8133030683798792</v>
      </c>
      <c r="G18" s="15"/>
      <c r="H18" s="22">
        <f>H12-H15</f>
        <v>0</v>
      </c>
      <c r="I18" s="15"/>
      <c r="J18" s="23">
        <f>IF(H$12=0,0,H18/H$12)</f>
        <v>0</v>
      </c>
      <c r="K18" s="16"/>
      <c r="L18" s="22">
        <f>+D18-H18</f>
        <v>-401.3</v>
      </c>
      <c r="M18" s="16"/>
      <c r="N18" s="23">
        <f>IF(H18=0,0,L18/H18)</f>
        <v>0</v>
      </c>
      <c r="O18" s="28"/>
      <c r="P18" s="22">
        <f>P12-P15</f>
        <v>13338.349999999999</v>
      </c>
      <c r="Q18" s="15"/>
      <c r="R18" s="23">
        <f>IF(P$12=0,0,P18/P$12)</f>
        <v>0.53902646405816712</v>
      </c>
      <c r="S18" s="15"/>
      <c r="T18" s="22">
        <f>T12-T15</f>
        <v>6593.4</v>
      </c>
      <c r="U18" s="15"/>
      <c r="V18" s="23">
        <f>IF(T$12=0,0,T18/T$12)</f>
        <v>0</v>
      </c>
      <c r="W18" s="16"/>
      <c r="X18" s="22">
        <f>+P18-T18</f>
        <v>6744.9499999999989</v>
      </c>
      <c r="Y18" s="16"/>
      <c r="Z18" s="23">
        <f>IF(T18=0,0,X18/T18)</f>
        <v>1.0229851063184396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cm="1">
        <f t="array" ref="D20">SUM(OSRRefD22x_0)</f>
        <v>1800.78</v>
      </c>
      <c r="E20" s="21"/>
      <c r="F20" s="31">
        <f t="shared" ref="F20:F43" si="0">IF(D$12=0,0,D20/D$12)</f>
        <v>3.6495885857889827</v>
      </c>
      <c r="G20" s="21"/>
      <c r="H20" s="21" cm="1">
        <f t="array" ref="H20">SUM(OSRRefH22x_0)</f>
        <v>1000.91</v>
      </c>
      <c r="I20" s="21"/>
      <c r="J20" s="31">
        <f t="shared" ref="J20:J43" si="1">IF(H$12=0,0,H20/H$12)</f>
        <v>0</v>
      </c>
      <c r="K20" s="5"/>
      <c r="L20" s="21">
        <f t="shared" ref="L20:L43" si="2">+D20-H20</f>
        <v>799.87</v>
      </c>
      <c r="M20" s="5"/>
      <c r="N20" s="31">
        <f t="shared" ref="N20:N43" si="3">IF(H20=0,0,L20/H20)</f>
        <v>0.79914278007013617</v>
      </c>
      <c r="O20" s="11"/>
      <c r="P20" s="21" cm="1">
        <f t="array" ref="P20">SUM(OSRRefP22x_0)</f>
        <v>23538.649999999998</v>
      </c>
      <c r="Q20" s="21"/>
      <c r="R20" s="31">
        <f t="shared" ref="R20:R43" si="4">IF(P$12=0,0,P20/P$12)</f>
        <v>0.95123874228842209</v>
      </c>
      <c r="S20" s="21"/>
      <c r="T20" s="21" cm="1">
        <f t="array" ref="T20">SUM(OSRRefT22x_0)</f>
        <v>14638.689999999999</v>
      </c>
      <c r="U20" s="21"/>
      <c r="V20" s="31">
        <f t="shared" ref="V20:V43" si="5">IF(T$12=0,0,T20/T$12)</f>
        <v>0</v>
      </c>
      <c r="W20" s="5"/>
      <c r="X20" s="21">
        <f t="shared" ref="X20:X43" si="6">+P20-T20</f>
        <v>8899.9599999999991</v>
      </c>
      <c r="Y20" s="5"/>
      <c r="Z20" s="31">
        <f t="shared" ref="Z20:Z43" si="7">IF(T20=0,0,X20/T20)</f>
        <v>0.60797516717684441</v>
      </c>
    </row>
    <row r="21" spans="1:26" s="68" customFormat="1" ht="15" customHeight="1" outlineLevel="1" collapsed="1" x14ac:dyDescent="0.25">
      <c r="A21" s="26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1420.5</v>
      </c>
      <c r="U21" s="2"/>
      <c r="V21" s="6">
        <f t="shared" si="5"/>
        <v>0</v>
      </c>
      <c r="W21" s="2"/>
      <c r="X21" s="2">
        <f t="shared" si="6"/>
        <v>-1420.5</v>
      </c>
      <c r="Y21" s="2"/>
      <c r="Z21" s="6">
        <f t="shared" si="7"/>
        <v>-1</v>
      </c>
    </row>
    <row r="22" spans="1:26" s="69" customFormat="1" ht="15" hidden="1" customHeight="1" outlineLevel="2" x14ac:dyDescent="0.25">
      <c r="A22" s="25"/>
      <c r="B22" s="12" t="str">
        <f>CONCATENATE("          ","6111"," - ","F.I.C.A.")</f>
        <v xml:space="preserve">          6111 - F.I.C.A.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/>
      <c r="Q22" s="3"/>
      <c r="R22" s="8">
        <f t="shared" si="4"/>
        <v>0</v>
      </c>
      <c r="S22" s="3"/>
      <c r="T22" s="7">
        <v>171.54</v>
      </c>
      <c r="U22" s="3"/>
      <c r="V22" s="8">
        <f t="shared" si="5"/>
        <v>0</v>
      </c>
      <c r="W22" s="3"/>
      <c r="X22" s="7">
        <f t="shared" si="6"/>
        <v>-171.54</v>
      </c>
      <c r="Y22" s="3"/>
      <c r="Z22" s="8">
        <f t="shared" si="7"/>
        <v>-1</v>
      </c>
    </row>
    <row r="23" spans="1:26" s="69" customFormat="1" ht="15" hidden="1" customHeight="1" outlineLevel="2" x14ac:dyDescent="0.25">
      <c r="A23" s="25"/>
      <c r="B23" s="12" t="str">
        <f>CONCATENATE("          ","6113"," - ","GROUP INSURANCE")</f>
        <v xml:space="preserve">          6113 - GROUP INSURANCE</v>
      </c>
      <c r="C23" s="12"/>
      <c r="D23" s="7"/>
      <c r="E23" s="3"/>
      <c r="F23" s="8">
        <f t="shared" si="0"/>
        <v>0</v>
      </c>
      <c r="G23" s="3"/>
      <c r="H23" s="7"/>
      <c r="I23" s="3"/>
      <c r="J23" s="8">
        <f t="shared" si="1"/>
        <v>0</v>
      </c>
      <c r="K23" s="3"/>
      <c r="L23" s="7">
        <f t="shared" si="2"/>
        <v>0</v>
      </c>
      <c r="M23" s="3"/>
      <c r="N23" s="8">
        <f t="shared" si="3"/>
        <v>0</v>
      </c>
      <c r="O23" s="12"/>
      <c r="P23" s="7"/>
      <c r="Q23" s="3"/>
      <c r="R23" s="8">
        <f t="shared" si="4"/>
        <v>0</v>
      </c>
      <c r="S23" s="3"/>
      <c r="T23" s="7">
        <v>699.3</v>
      </c>
      <c r="U23" s="3"/>
      <c r="V23" s="8">
        <f t="shared" si="5"/>
        <v>0</v>
      </c>
      <c r="W23" s="3"/>
      <c r="X23" s="7">
        <f t="shared" si="6"/>
        <v>-699.3</v>
      </c>
      <c r="Y23" s="3"/>
      <c r="Z23" s="8">
        <f t="shared" si="7"/>
        <v>-1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355.22</v>
      </c>
      <c r="U24" s="3"/>
      <c r="V24" s="8">
        <f t="shared" si="5"/>
        <v>0</v>
      </c>
      <c r="W24" s="3"/>
      <c r="X24" s="7">
        <f t="shared" si="6"/>
        <v>-355.22</v>
      </c>
      <c r="Y24" s="3"/>
      <c r="Z24" s="8">
        <f t="shared" si="7"/>
        <v>-1</v>
      </c>
    </row>
    <row r="25" spans="1:26" s="69" customFormat="1" ht="15" hidden="1" customHeight="1" outlineLevel="2" x14ac:dyDescent="0.25">
      <c r="A25" s="25"/>
      <c r="B25" s="12" t="str">
        <f>CONCATENATE("          ","6118"," - ","VACATION")</f>
        <v xml:space="preserve">          6118 - VACATION</v>
      </c>
      <c r="C25" s="12"/>
      <c r="D25" s="7"/>
      <c r="E25" s="3"/>
      <c r="F25" s="8">
        <f t="shared" si="0"/>
        <v>0</v>
      </c>
      <c r="G25" s="3"/>
      <c r="H25" s="7"/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88.46</v>
      </c>
      <c r="U25" s="3"/>
      <c r="V25" s="8">
        <f t="shared" si="5"/>
        <v>0</v>
      </c>
      <c r="W25" s="3"/>
      <c r="X25" s="7">
        <f t="shared" si="6"/>
        <v>-88.46</v>
      </c>
      <c r="Y25" s="3"/>
      <c r="Z25" s="8">
        <f t="shared" si="7"/>
        <v>-1</v>
      </c>
    </row>
    <row r="26" spans="1:26" s="69" customFormat="1" ht="15" hidden="1" customHeight="1" outlineLevel="2" x14ac:dyDescent="0.25">
      <c r="A26" s="25"/>
      <c r="B26" s="12" t="str">
        <f>CONCATENATE("          ","6119"," - ","SICK LEAVE")</f>
        <v xml:space="preserve">          6119 - SICK LEAVE</v>
      </c>
      <c r="C26" s="12"/>
      <c r="D26" s="7"/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105.98</v>
      </c>
      <c r="U26" s="3"/>
      <c r="V26" s="8">
        <f t="shared" si="5"/>
        <v>0</v>
      </c>
      <c r="W26" s="3"/>
      <c r="X26" s="7">
        <f t="shared" si="6"/>
        <v>-105.98</v>
      </c>
      <c r="Y26" s="3"/>
      <c r="Z26" s="8">
        <f t="shared" si="7"/>
        <v>-1</v>
      </c>
    </row>
    <row r="27" spans="1:26" s="68" customFormat="1" ht="15" customHeight="1" outlineLevel="1" collapsed="1" x14ac:dyDescent="0.25">
      <c r="A27" s="26"/>
      <c r="B27" s="14" t="str">
        <f>CONCATENATE("     ","*Payroll                                          ")</f>
        <v xml:space="preserve">     *Payroll                                          </v>
      </c>
      <c r="C27" s="14"/>
      <c r="D27" s="2">
        <f>SUM(OSRRefD22_1x_0)</f>
        <v>0</v>
      </c>
      <c r="E27" s="2"/>
      <c r="F27" s="6">
        <f t="shared" si="0"/>
        <v>0</v>
      </c>
      <c r="G27" s="2"/>
      <c r="H27" s="2">
        <f>SUM(OSRRefH22_1x_0)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SUM(OSRRefP22_1x_0)</f>
        <v>0</v>
      </c>
      <c r="Q27" s="2"/>
      <c r="R27" s="6">
        <f t="shared" si="4"/>
        <v>0</v>
      </c>
      <c r="S27" s="2"/>
      <c r="T27" s="2">
        <f>SUM(OSRRefT22_1x_0)</f>
        <v>1378.61</v>
      </c>
      <c r="U27" s="2"/>
      <c r="V27" s="6">
        <f t="shared" si="5"/>
        <v>0</v>
      </c>
      <c r="W27" s="2"/>
      <c r="X27" s="2">
        <f t="shared" si="6"/>
        <v>-1378.61</v>
      </c>
      <c r="Y27" s="2"/>
      <c r="Z27" s="6">
        <f t="shared" si="7"/>
        <v>-1</v>
      </c>
    </row>
    <row r="28" spans="1:26" s="69" customFormat="1" ht="15" hidden="1" customHeight="1" outlineLevel="2" x14ac:dyDescent="0.25">
      <c r="A28" s="25"/>
      <c r="B28" s="12" t="str">
        <f>CONCATENATE("          ","6002"," - ","STAFF SALARIES")</f>
        <v xml:space="preserve">          6002 - STAFF SALARIES</v>
      </c>
      <c r="C28" s="12"/>
      <c r="D28" s="7"/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0</v>
      </c>
      <c r="M28" s="3"/>
      <c r="N28" s="8">
        <f t="shared" si="3"/>
        <v>0</v>
      </c>
      <c r="O28" s="12"/>
      <c r="P28" s="7"/>
      <c r="Q28" s="3"/>
      <c r="R28" s="8">
        <f t="shared" si="4"/>
        <v>0</v>
      </c>
      <c r="S28" s="3"/>
      <c r="T28" s="7">
        <v>1378.61</v>
      </c>
      <c r="U28" s="3"/>
      <c r="V28" s="8">
        <f t="shared" si="5"/>
        <v>0</v>
      </c>
      <c r="W28" s="3"/>
      <c r="X28" s="7">
        <f t="shared" si="6"/>
        <v>-1378.61</v>
      </c>
      <c r="Y28" s="3"/>
      <c r="Z28" s="8">
        <f t="shared" si="7"/>
        <v>-1</v>
      </c>
    </row>
    <row r="29" spans="1:26" s="68" customFormat="1" ht="15" customHeight="1" outlineLevel="1" collapsed="1" x14ac:dyDescent="0.25">
      <c r="A29" s="26"/>
      <c r="B29" s="14" t="str">
        <f>CONCATENATE("     ","Bank/card Fees                                    ")</f>
        <v xml:space="preserve">     Bank/card Fees                                    </v>
      </c>
      <c r="C29" s="14"/>
      <c r="D29" s="2">
        <f>SUM(OSRRefD22_2x_0)</f>
        <v>76.510000000000005</v>
      </c>
      <c r="E29" s="2"/>
      <c r="F29" s="6">
        <f t="shared" si="0"/>
        <v>0.15506059746260792</v>
      </c>
      <c r="G29" s="2"/>
      <c r="H29" s="2">
        <f>SUM(OSRRefH22_2x_0)</f>
        <v>0</v>
      </c>
      <c r="I29" s="2"/>
      <c r="J29" s="6">
        <f t="shared" si="1"/>
        <v>0</v>
      </c>
      <c r="K29" s="2"/>
      <c r="L29" s="2">
        <f t="shared" si="2"/>
        <v>76.510000000000005</v>
      </c>
      <c r="M29" s="2"/>
      <c r="N29" s="6">
        <f t="shared" si="3"/>
        <v>0</v>
      </c>
      <c r="O29" s="14"/>
      <c r="P29" s="2">
        <f>SUM(OSRRefP22_2x_0)</f>
        <v>570.96</v>
      </c>
      <c r="Q29" s="2"/>
      <c r="R29" s="6">
        <f t="shared" si="4"/>
        <v>2.3073509835823108E-2</v>
      </c>
      <c r="S29" s="2"/>
      <c r="T29" s="2">
        <f>SUM(OSRRefT22_2x_0)</f>
        <v>0</v>
      </c>
      <c r="U29" s="2"/>
      <c r="V29" s="6">
        <f t="shared" si="5"/>
        <v>0</v>
      </c>
      <c r="W29" s="2"/>
      <c r="X29" s="2">
        <f t="shared" si="6"/>
        <v>570.96</v>
      </c>
      <c r="Y29" s="2"/>
      <c r="Z29" s="6">
        <f t="shared" si="7"/>
        <v>0</v>
      </c>
    </row>
    <row r="30" spans="1:26" s="69" customFormat="1" ht="15" hidden="1" customHeight="1" outlineLevel="2" x14ac:dyDescent="0.25">
      <c r="A30" s="25"/>
      <c r="B30" s="12" t="str">
        <f>CONCATENATE("          ","6381"," - ","BANK/CREDIT CARD FEES")</f>
        <v xml:space="preserve">          6381 - BANK/CREDIT CARD FEES</v>
      </c>
      <c r="C30" s="12"/>
      <c r="D30" s="7">
        <v>76.510000000000005</v>
      </c>
      <c r="E30" s="3"/>
      <c r="F30" s="8">
        <f t="shared" si="0"/>
        <v>0.15506059746260792</v>
      </c>
      <c r="G30" s="3"/>
      <c r="H30" s="7"/>
      <c r="I30" s="3"/>
      <c r="J30" s="8">
        <f t="shared" si="1"/>
        <v>0</v>
      </c>
      <c r="K30" s="3"/>
      <c r="L30" s="7">
        <f t="shared" si="2"/>
        <v>76.510000000000005</v>
      </c>
      <c r="M30" s="3"/>
      <c r="N30" s="8">
        <f t="shared" si="3"/>
        <v>0</v>
      </c>
      <c r="O30" s="12"/>
      <c r="P30" s="7">
        <v>570.96</v>
      </c>
      <c r="Q30" s="3"/>
      <c r="R30" s="8">
        <f t="shared" si="4"/>
        <v>2.3073509835823108E-2</v>
      </c>
      <c r="S30" s="3"/>
      <c r="T30" s="7"/>
      <c r="U30" s="3"/>
      <c r="V30" s="8">
        <f t="shared" si="5"/>
        <v>0</v>
      </c>
      <c r="W30" s="3"/>
      <c r="X30" s="7">
        <f t="shared" si="6"/>
        <v>570.96</v>
      </c>
      <c r="Y30" s="3"/>
      <c r="Z30" s="8">
        <f t="shared" si="7"/>
        <v>0</v>
      </c>
    </row>
    <row r="31" spans="1:26" s="68" customFormat="1" ht="15" customHeight="1" outlineLevel="1" collapsed="1" x14ac:dyDescent="0.25">
      <c r="A31" s="26"/>
      <c r="B31" s="14" t="str">
        <f>CONCATENATE("     ","Depreciation                                      ")</f>
        <v xml:space="preserve">     Depreciation                                      </v>
      </c>
      <c r="C31" s="14"/>
      <c r="D31" s="2">
        <f>SUM(OSRRefD22_3x_0)</f>
        <v>1000.91</v>
      </c>
      <c r="E31" s="2"/>
      <c r="F31" s="6">
        <f t="shared" si="0"/>
        <v>2.0285152608325565</v>
      </c>
      <c r="G31" s="2"/>
      <c r="H31" s="2">
        <f>SUM(OSRRefH22_3x_0)</f>
        <v>1000.91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SUM(OSRRefP22_3x_0)</f>
        <v>11010.01</v>
      </c>
      <c r="Q31" s="2"/>
      <c r="R31" s="6">
        <f t="shared" si="4"/>
        <v>0.44493410051056248</v>
      </c>
      <c r="S31" s="2"/>
      <c r="T31" s="2">
        <f>SUM(OSRRefT22_3x_0)</f>
        <v>11010.01</v>
      </c>
      <c r="U31" s="2"/>
      <c r="V31" s="6">
        <f t="shared" si="5"/>
        <v>0</v>
      </c>
      <c r="W31" s="2"/>
      <c r="X31" s="2">
        <f t="shared" si="6"/>
        <v>0</v>
      </c>
      <c r="Y31" s="2"/>
      <c r="Z31" s="6">
        <f t="shared" si="7"/>
        <v>0</v>
      </c>
    </row>
    <row r="32" spans="1:26" s="69" customFormat="1" ht="15" hidden="1" customHeight="1" outlineLevel="2" x14ac:dyDescent="0.25">
      <c r="A32" s="25"/>
      <c r="B32" s="12" t="str">
        <f>CONCATENATE("          ","6322"," - ","EQUIPMENT DEPRECIATION EXPENSE")</f>
        <v xml:space="preserve">          6322 - EQUIPMENT DEPRECIATION EXPENSE</v>
      </c>
      <c r="C32" s="12"/>
      <c r="D32" s="7">
        <v>1000.91</v>
      </c>
      <c r="E32" s="3"/>
      <c r="F32" s="8">
        <f t="shared" si="0"/>
        <v>2.0285152608325565</v>
      </c>
      <c r="G32" s="3"/>
      <c r="H32" s="7">
        <v>1000.91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11010.01</v>
      </c>
      <c r="Q32" s="3"/>
      <c r="R32" s="8">
        <f t="shared" si="4"/>
        <v>0.44493410051056248</v>
      </c>
      <c r="S32" s="3"/>
      <c r="T32" s="7">
        <v>11010.01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68" customFormat="1" ht="15" customHeight="1" outlineLevel="1" collapsed="1" x14ac:dyDescent="0.25">
      <c r="A33" s="26"/>
      <c r="B33" s="14" t="str">
        <f>CONCATENATE("     ","General                                           ")</f>
        <v xml:space="preserve">     General                                           </v>
      </c>
      <c r="C33" s="14"/>
      <c r="D33" s="2">
        <f>SUM(OSRRefD22_4x_0)</f>
        <v>600</v>
      </c>
      <c r="E33" s="2"/>
      <c r="F33" s="6">
        <f t="shared" si="0"/>
        <v>1.2160025941388675</v>
      </c>
      <c r="G33" s="2"/>
      <c r="H33" s="2">
        <f>SUM(OSRRefH22_4x_0)</f>
        <v>0</v>
      </c>
      <c r="I33" s="2"/>
      <c r="J33" s="6">
        <f t="shared" si="1"/>
        <v>0</v>
      </c>
      <c r="K33" s="2"/>
      <c r="L33" s="2">
        <f t="shared" si="2"/>
        <v>600</v>
      </c>
      <c r="M33" s="2"/>
      <c r="N33" s="6">
        <f t="shared" si="3"/>
        <v>0</v>
      </c>
      <c r="O33" s="14"/>
      <c r="P33" s="2">
        <f>SUM(OSRRefP22_4x_0)</f>
        <v>5655</v>
      </c>
      <c r="Q33" s="2"/>
      <c r="R33" s="6">
        <f t="shared" si="4"/>
        <v>0.22852861517720971</v>
      </c>
      <c r="S33" s="2"/>
      <c r="T33" s="2">
        <f>SUM(OSRRefT22_4x_0)</f>
        <v>455</v>
      </c>
      <c r="U33" s="2"/>
      <c r="V33" s="6">
        <f t="shared" si="5"/>
        <v>0</v>
      </c>
      <c r="W33" s="2"/>
      <c r="X33" s="2">
        <f t="shared" si="6"/>
        <v>5200</v>
      </c>
      <c r="Y33" s="2"/>
      <c r="Z33" s="6">
        <f t="shared" si="7"/>
        <v>11.428571428571429</v>
      </c>
    </row>
    <row r="34" spans="1:26" s="69" customFormat="1" ht="15" hidden="1" customHeight="1" outlineLevel="2" x14ac:dyDescent="0.25">
      <c r="A34" s="25"/>
      <c r="B34" s="12" t="str">
        <f>CONCATENATE("          ","6279"," - ","GENERAL EXPENSE")</f>
        <v xml:space="preserve">          6279 - GENERAL EXPENSE</v>
      </c>
      <c r="C34" s="12"/>
      <c r="D34" s="7">
        <v>600</v>
      </c>
      <c r="E34" s="3"/>
      <c r="F34" s="8">
        <f t="shared" si="0"/>
        <v>1.2160025941388675</v>
      </c>
      <c r="G34" s="3"/>
      <c r="H34" s="7"/>
      <c r="I34" s="3"/>
      <c r="J34" s="8">
        <f t="shared" si="1"/>
        <v>0</v>
      </c>
      <c r="K34" s="3"/>
      <c r="L34" s="7">
        <f t="shared" si="2"/>
        <v>600</v>
      </c>
      <c r="M34" s="3"/>
      <c r="N34" s="8">
        <f t="shared" si="3"/>
        <v>0</v>
      </c>
      <c r="O34" s="12"/>
      <c r="P34" s="7">
        <v>5655</v>
      </c>
      <c r="Q34" s="3"/>
      <c r="R34" s="8">
        <f t="shared" si="4"/>
        <v>0.22852861517720971</v>
      </c>
      <c r="S34" s="3"/>
      <c r="T34" s="7">
        <v>455</v>
      </c>
      <c r="U34" s="3"/>
      <c r="V34" s="8">
        <f t="shared" si="5"/>
        <v>0</v>
      </c>
      <c r="W34" s="3"/>
      <c r="X34" s="7">
        <f t="shared" si="6"/>
        <v>5200</v>
      </c>
      <c r="Y34" s="3"/>
      <c r="Z34" s="8">
        <f t="shared" si="7"/>
        <v>11.428571428571429</v>
      </c>
    </row>
    <row r="35" spans="1:26" s="68" customFormat="1" ht="15" customHeight="1" outlineLevel="1" collapsed="1" x14ac:dyDescent="0.25">
      <c r="A35" s="26"/>
      <c r="B35" s="14" t="str">
        <f>CONCATENATE("     ","Repair and Maintenance                            ")</f>
        <v xml:space="preserve">     Repair and Maintenance                            </v>
      </c>
      <c r="C35" s="14"/>
      <c r="D35" s="2">
        <f>SUM(OSRRefD22_5x_0)</f>
        <v>0</v>
      </c>
      <c r="E35" s="2"/>
      <c r="F35" s="6">
        <f t="shared" si="0"/>
        <v>0</v>
      </c>
      <c r="G35" s="2"/>
      <c r="H35" s="2">
        <f>SUM(OSRRefH22_5x_0)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SUM(OSRRefP22_5x_0)</f>
        <v>0</v>
      </c>
      <c r="Q35" s="2"/>
      <c r="R35" s="6">
        <f t="shared" si="4"/>
        <v>0</v>
      </c>
      <c r="S35" s="2"/>
      <c r="T35" s="2">
        <f>SUM(OSRRefT22_5x_0)</f>
        <v>242.03</v>
      </c>
      <c r="U35" s="2"/>
      <c r="V35" s="6">
        <f t="shared" si="5"/>
        <v>0</v>
      </c>
      <c r="W35" s="2"/>
      <c r="X35" s="2">
        <f t="shared" si="6"/>
        <v>-242.03</v>
      </c>
      <c r="Y35" s="2"/>
      <c r="Z35" s="6">
        <f t="shared" si="7"/>
        <v>-1</v>
      </c>
    </row>
    <row r="36" spans="1:26" s="69" customFormat="1" ht="15" hidden="1" customHeight="1" outlineLevel="2" x14ac:dyDescent="0.25">
      <c r="A36" s="25"/>
      <c r="B36" s="12" t="str">
        <f>CONCATENATE("          ","6373"," - ","MAINTENANCE CONTRACTS")</f>
        <v xml:space="preserve">          6373 - MAINTENANCE CONTRACTS</v>
      </c>
      <c r="C36" s="12"/>
      <c r="D36" s="7"/>
      <c r="E36" s="3"/>
      <c r="F36" s="8">
        <f t="shared" si="0"/>
        <v>0</v>
      </c>
      <c r="G36" s="3"/>
      <c r="H36" s="7"/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235.8</v>
      </c>
      <c r="U36" s="3"/>
      <c r="V36" s="8">
        <f t="shared" si="5"/>
        <v>0</v>
      </c>
      <c r="W36" s="3"/>
      <c r="X36" s="7">
        <f t="shared" si="6"/>
        <v>-235.8</v>
      </c>
      <c r="Y36" s="3"/>
      <c r="Z36" s="8">
        <f t="shared" si="7"/>
        <v>-1</v>
      </c>
    </row>
    <row r="37" spans="1:26" s="69" customFormat="1" ht="15" hidden="1" customHeight="1" outlineLevel="2" x14ac:dyDescent="0.25">
      <c r="A37" s="25"/>
      <c r="B37" s="12" t="str">
        <f>CONCATENATE("          ","6375"," - ","OUTSIDE REPAIRS &amp; MAINTENANCE")</f>
        <v xml:space="preserve">          6375 - OUTSIDE REPAIRS &amp; MAINTENANCE</v>
      </c>
      <c r="C37" s="12"/>
      <c r="D37" s="7"/>
      <c r="E37" s="3"/>
      <c r="F37" s="8">
        <f t="shared" si="0"/>
        <v>0</v>
      </c>
      <c r="G37" s="3"/>
      <c r="H37" s="7"/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6.23</v>
      </c>
      <c r="U37" s="3"/>
      <c r="V37" s="8">
        <f t="shared" si="5"/>
        <v>0</v>
      </c>
      <c r="W37" s="3"/>
      <c r="X37" s="7">
        <f t="shared" si="6"/>
        <v>-6.23</v>
      </c>
      <c r="Y37" s="3"/>
      <c r="Z37" s="8">
        <f t="shared" si="7"/>
        <v>-1</v>
      </c>
    </row>
    <row r="38" spans="1:26" s="68" customFormat="1" ht="15" customHeight="1" outlineLevel="1" collapsed="1" x14ac:dyDescent="0.25">
      <c r="A38" s="26"/>
      <c r="B38" s="14" t="str">
        <f>CONCATENATE("     ","Royalty &amp; Commissions                             ")</f>
        <v xml:space="preserve">     Royalty &amp; Commissions                             </v>
      </c>
      <c r="C38" s="14"/>
      <c r="D38" s="2">
        <f>SUM(OSRRefD22_6x_0)</f>
        <v>123.36</v>
      </c>
      <c r="E38" s="2"/>
      <c r="F38" s="6">
        <f t="shared" si="0"/>
        <v>0.25001013335495115</v>
      </c>
      <c r="G38" s="2"/>
      <c r="H38" s="2">
        <f>SUM(OSRRefH22_6x_0)</f>
        <v>0</v>
      </c>
      <c r="I38" s="2"/>
      <c r="J38" s="6">
        <f t="shared" si="1"/>
        <v>0</v>
      </c>
      <c r="K38" s="2"/>
      <c r="L38" s="2">
        <f t="shared" si="2"/>
        <v>123.36</v>
      </c>
      <c r="M38" s="2"/>
      <c r="N38" s="6">
        <f t="shared" si="3"/>
        <v>0</v>
      </c>
      <c r="O38" s="14"/>
      <c r="P38" s="2">
        <f>SUM(OSRRefP22_6x_0)</f>
        <v>6186.42</v>
      </c>
      <c r="Q38" s="2"/>
      <c r="R38" s="6">
        <f t="shared" si="4"/>
        <v>0.25000424323688658</v>
      </c>
      <c r="S38" s="2"/>
      <c r="T38" s="2">
        <f>SUM(OSRRefT22_6x_0)</f>
        <v>0</v>
      </c>
      <c r="U38" s="2"/>
      <c r="V38" s="6">
        <f t="shared" si="5"/>
        <v>0</v>
      </c>
      <c r="W38" s="2"/>
      <c r="X38" s="2">
        <f t="shared" si="6"/>
        <v>6186.42</v>
      </c>
      <c r="Y38" s="2"/>
      <c r="Z38" s="6">
        <f t="shared" si="7"/>
        <v>0</v>
      </c>
    </row>
    <row r="39" spans="1:26" s="69" customFormat="1" ht="15" hidden="1" customHeight="1" outlineLevel="2" x14ac:dyDescent="0.25">
      <c r="A39" s="25"/>
      <c r="B39" s="12" t="str">
        <f>CONCATENATE("          ","6254"," - ","ROYALTY &amp; COMMISSIONS")</f>
        <v xml:space="preserve">          6254 - ROYALTY &amp; COMMISSIONS</v>
      </c>
      <c r="C39" s="12"/>
      <c r="D39" s="7">
        <v>123.36</v>
      </c>
      <c r="E39" s="3"/>
      <c r="F39" s="8">
        <f t="shared" si="0"/>
        <v>0.25001013335495115</v>
      </c>
      <c r="G39" s="3"/>
      <c r="H39" s="7"/>
      <c r="I39" s="3"/>
      <c r="J39" s="8">
        <f t="shared" si="1"/>
        <v>0</v>
      </c>
      <c r="K39" s="3"/>
      <c r="L39" s="7">
        <f t="shared" si="2"/>
        <v>123.36</v>
      </c>
      <c r="M39" s="3"/>
      <c r="N39" s="8">
        <f t="shared" si="3"/>
        <v>0</v>
      </c>
      <c r="O39" s="12"/>
      <c r="P39" s="7">
        <v>6186.42</v>
      </c>
      <c r="Q39" s="3"/>
      <c r="R39" s="8">
        <f t="shared" si="4"/>
        <v>0.25000424323688658</v>
      </c>
      <c r="S39" s="3"/>
      <c r="T39" s="7"/>
      <c r="U39" s="3"/>
      <c r="V39" s="8">
        <f t="shared" si="5"/>
        <v>0</v>
      </c>
      <c r="W39" s="3"/>
      <c r="X39" s="7">
        <f t="shared" si="6"/>
        <v>6186.42</v>
      </c>
      <c r="Y39" s="3"/>
      <c r="Z39" s="8">
        <f t="shared" si="7"/>
        <v>0</v>
      </c>
    </row>
    <row r="40" spans="1:26" s="68" customFormat="1" ht="15" customHeight="1" outlineLevel="1" collapsed="1" x14ac:dyDescent="0.25">
      <c r="A40" s="26"/>
      <c r="B40" s="14" t="str">
        <f>CONCATENATE("     ","Supplies                                          ")</f>
        <v xml:space="preserve">     Supplies                                          </v>
      </c>
      <c r="C40" s="14"/>
      <c r="D40" s="2">
        <f>SUM(OSRRefD22_7x_0)</f>
        <v>0</v>
      </c>
      <c r="E40" s="2"/>
      <c r="F40" s="6">
        <f t="shared" si="0"/>
        <v>0</v>
      </c>
      <c r="G40" s="2"/>
      <c r="H40" s="2">
        <f>SUM(OSRRefH22_7x_0)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SUM(OSRRefP22_7x_0)</f>
        <v>116.26</v>
      </c>
      <c r="Q40" s="2"/>
      <c r="R40" s="6">
        <f t="shared" si="4"/>
        <v>4.6982735279403011E-3</v>
      </c>
      <c r="S40" s="2"/>
      <c r="T40" s="2">
        <f>SUM(OSRRefT22_7x_0)</f>
        <v>0</v>
      </c>
      <c r="U40" s="2"/>
      <c r="V40" s="6">
        <f t="shared" si="5"/>
        <v>0</v>
      </c>
      <c r="W40" s="2"/>
      <c r="X40" s="2">
        <f t="shared" si="6"/>
        <v>116.26</v>
      </c>
      <c r="Y40" s="2"/>
      <c r="Z40" s="6">
        <f t="shared" si="7"/>
        <v>0</v>
      </c>
    </row>
    <row r="41" spans="1:26" s="69" customFormat="1" ht="15" hidden="1" customHeight="1" outlineLevel="2" x14ac:dyDescent="0.25">
      <c r="A41" s="25"/>
      <c r="B41" s="12" t="str">
        <f>CONCATENATE("          ","6243"," - ","PAPER SUPPLIES")</f>
        <v xml:space="preserve">          6243 - PAPER SUPPLIES</v>
      </c>
      <c r="C41" s="12"/>
      <c r="D41" s="7"/>
      <c r="E41" s="3"/>
      <c r="F41" s="8">
        <f t="shared" si="0"/>
        <v>0</v>
      </c>
      <c r="G41" s="3"/>
      <c r="H41" s="7"/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>
        <v>116.26</v>
      </c>
      <c r="Q41" s="3"/>
      <c r="R41" s="8">
        <f t="shared" si="4"/>
        <v>4.6982735279403011E-3</v>
      </c>
      <c r="S41" s="3"/>
      <c r="T41" s="7"/>
      <c r="U41" s="3"/>
      <c r="V41" s="8">
        <f t="shared" si="5"/>
        <v>0</v>
      </c>
      <c r="W41" s="3"/>
      <c r="X41" s="7">
        <f t="shared" si="6"/>
        <v>116.26</v>
      </c>
      <c r="Y41" s="3"/>
      <c r="Z41" s="8">
        <f t="shared" si="7"/>
        <v>0</v>
      </c>
    </row>
    <row r="42" spans="1:26" s="68" customFormat="1" ht="15" customHeight="1" outlineLevel="1" collapsed="1" x14ac:dyDescent="0.25">
      <c r="A42" s="26"/>
      <c r="B42" s="14" t="str">
        <f>CONCATENATE("     ","Telephone/Data Lines                              ")</f>
        <v xml:space="preserve">     Telephone/Data Lines                              </v>
      </c>
      <c r="C42" s="14"/>
      <c r="D42" s="2">
        <f>SUM(OSRRefD22_8x_0)</f>
        <v>0</v>
      </c>
      <c r="E42" s="2"/>
      <c r="F42" s="6">
        <f t="shared" si="0"/>
        <v>0</v>
      </c>
      <c r="G42" s="2"/>
      <c r="H42" s="2">
        <f>SUM(OSRRefH22_8x_0)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SUM(OSRRefP22_8x_0)</f>
        <v>0</v>
      </c>
      <c r="Q42" s="2"/>
      <c r="R42" s="6">
        <f t="shared" si="4"/>
        <v>0</v>
      </c>
      <c r="S42" s="2"/>
      <c r="T42" s="2">
        <f>SUM(OSRRefT22_8x_0)</f>
        <v>132.54</v>
      </c>
      <c r="U42" s="2"/>
      <c r="V42" s="6">
        <f t="shared" si="5"/>
        <v>0</v>
      </c>
      <c r="W42" s="2"/>
      <c r="X42" s="2">
        <f t="shared" si="6"/>
        <v>-132.54</v>
      </c>
      <c r="Y42" s="2"/>
      <c r="Z42" s="6">
        <f t="shared" si="7"/>
        <v>-1</v>
      </c>
    </row>
    <row r="43" spans="1:26" s="69" customFormat="1" ht="15" hidden="1" customHeight="1" outlineLevel="2" x14ac:dyDescent="0.25">
      <c r="A43" s="25"/>
      <c r="B43" s="12" t="str">
        <f>CONCATENATE("          ","6309"," - ","TELEPHONE")</f>
        <v xml:space="preserve">          6309 - TELEPHONE</v>
      </c>
      <c r="C43" s="12"/>
      <c r="D43" s="7"/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132.54</v>
      </c>
      <c r="U43" s="3"/>
      <c r="V43" s="8">
        <f t="shared" si="5"/>
        <v>0</v>
      </c>
      <c r="W43" s="3"/>
      <c r="X43" s="7">
        <f t="shared" si="6"/>
        <v>-132.54</v>
      </c>
      <c r="Y43" s="3"/>
      <c r="Z43" s="8">
        <f t="shared" si="7"/>
        <v>-1</v>
      </c>
    </row>
    <row r="44" spans="1:26" s="64" customFormat="1" ht="15" customHeight="1" x14ac:dyDescent="0.25">
      <c r="A44" s="36"/>
      <c r="B44" s="36"/>
      <c r="C44" s="36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36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62" customFormat="1" ht="15" customHeight="1" x14ac:dyDescent="0.25">
      <c r="A45" s="11"/>
      <c r="B45" s="28" t="s">
        <v>290</v>
      </c>
      <c r="C45" s="11"/>
      <c r="D45" s="5">
        <f>SUM(0)</f>
        <v>0</v>
      </c>
      <c r="E45" s="5"/>
      <c r="F45" s="13">
        <f>IF(D$12=0,0,D45/D$12)</f>
        <v>0</v>
      </c>
      <c r="G45" s="5"/>
      <c r="H45" s="5">
        <f>SUM(0)</f>
        <v>0</v>
      </c>
      <c r="I45" s="5"/>
      <c r="J45" s="13">
        <f>IF(H$12=0,0,H45/H$12)</f>
        <v>0</v>
      </c>
      <c r="K45" s="5"/>
      <c r="L45" s="5">
        <f>+D45-H45</f>
        <v>0</v>
      </c>
      <c r="M45" s="5"/>
      <c r="N45" s="13">
        <f>IF(H45=0,0,L45/H45)</f>
        <v>0</v>
      </c>
      <c r="O45" s="11"/>
      <c r="P45" s="5">
        <f>SUM(0)</f>
        <v>0</v>
      </c>
      <c r="Q45" s="5"/>
      <c r="R45" s="13">
        <f>IF(P$12=0,0,P45/P$12)</f>
        <v>0</v>
      </c>
      <c r="S45" s="5"/>
      <c r="T45" s="5">
        <f>SUM(0)</f>
        <v>0</v>
      </c>
      <c r="U45" s="5"/>
      <c r="V45" s="13">
        <f>IF(T$12=0,0,T45/T$12)</f>
        <v>0</v>
      </c>
      <c r="W45" s="5"/>
      <c r="X45" s="5">
        <f>+P45-T45</f>
        <v>0</v>
      </c>
      <c r="Y45" s="5"/>
      <c r="Z45" s="13">
        <f>IF(T45=0,0,X45/T45)</f>
        <v>0</v>
      </c>
    </row>
    <row r="46" spans="1:26" ht="15" customHeight="1" x14ac:dyDescent="0.25">
      <c r="A46" s="10"/>
      <c r="B46" s="11"/>
      <c r="C46" s="11"/>
      <c r="D46" s="4"/>
      <c r="E46" s="4"/>
      <c r="F46" s="9"/>
      <c r="G46" s="4"/>
      <c r="H46" s="4"/>
      <c r="I46" s="4"/>
      <c r="J46" s="9"/>
      <c r="K46" s="4"/>
      <c r="L46" s="4"/>
      <c r="M46" s="4"/>
      <c r="N46" s="9"/>
      <c r="O46" s="11"/>
      <c r="P46" s="4"/>
      <c r="Q46" s="4"/>
      <c r="R46" s="9"/>
      <c r="S46" s="4"/>
      <c r="T46" s="4"/>
      <c r="U46" s="4"/>
      <c r="V46" s="9"/>
      <c r="W46" s="4"/>
      <c r="X46" s="4"/>
      <c r="Y46" s="4"/>
      <c r="Z46" s="9"/>
    </row>
    <row r="47" spans="1:26" s="62" customFormat="1" ht="15" customHeight="1" x14ac:dyDescent="0.25">
      <c r="A47" s="11"/>
      <c r="B47" s="27" t="s">
        <v>291</v>
      </c>
      <c r="C47" s="27"/>
      <c r="D47" s="22">
        <f>+D18-D20+D45</f>
        <v>-2202.08</v>
      </c>
      <c r="E47" s="15"/>
      <c r="F47" s="23">
        <f>IF(D$12=0,0,D47/D$12)</f>
        <v>-4.4628916541688621</v>
      </c>
      <c r="G47" s="15"/>
      <c r="H47" s="22">
        <f>+H18-H20+H45</f>
        <v>-1000.91</v>
      </c>
      <c r="I47" s="15"/>
      <c r="J47" s="23">
        <f>IF(H$12=0,0,H47/H$12)</f>
        <v>0</v>
      </c>
      <c r="K47" s="16"/>
      <c r="L47" s="22">
        <f>+D47-H47</f>
        <v>-1201.17</v>
      </c>
      <c r="M47" s="16"/>
      <c r="N47" s="23">
        <f>IF(H47=0,0,L47/H47)</f>
        <v>1.2000779290845331</v>
      </c>
      <c r="O47" s="28"/>
      <c r="P47" s="22">
        <f>+P18-P20+P45</f>
        <v>-10200.299999999999</v>
      </c>
      <c r="Q47" s="15"/>
      <c r="R47" s="23">
        <f>IF(P$12=0,0,P47/P$12)</f>
        <v>-0.41221227823025502</v>
      </c>
      <c r="S47" s="15"/>
      <c r="T47" s="22">
        <f>+T18-T20+T45</f>
        <v>-8045.2899999999991</v>
      </c>
      <c r="U47" s="15"/>
      <c r="V47" s="23">
        <f>IF(T$12=0,0,T47/T$12)</f>
        <v>0</v>
      </c>
      <c r="W47" s="16"/>
      <c r="X47" s="22">
        <f>+P47-T47</f>
        <v>-2155.0100000000002</v>
      </c>
      <c r="Y47" s="16"/>
      <c r="Z47" s="23">
        <f>IF(T47=0,0,X47/T47)</f>
        <v>0.26785982854564599</v>
      </c>
    </row>
    <row r="48" spans="1:26" ht="15" customHeight="1" x14ac:dyDescent="0.25">
      <c r="A48" s="10"/>
      <c r="B48" s="11"/>
      <c r="C48" s="10"/>
      <c r="D48" s="4"/>
      <c r="E48" s="4"/>
      <c r="F48" s="9"/>
      <c r="G48" s="4"/>
      <c r="H48" s="4"/>
      <c r="I48" s="4"/>
      <c r="J48" s="9"/>
      <c r="K48" s="4"/>
      <c r="L48" s="4"/>
      <c r="M48" s="4"/>
      <c r="N48" s="9"/>
      <c r="P48" s="4"/>
      <c r="Q48" s="4"/>
      <c r="R48" s="9"/>
      <c r="S48" s="4"/>
      <c r="T48" s="4"/>
      <c r="U48" s="4"/>
      <c r="V48" s="9"/>
      <c r="W48" s="4"/>
      <c r="X48" s="4"/>
      <c r="Y48" s="4"/>
      <c r="Z48" s="9"/>
    </row>
    <row r="49" spans="1:26" s="62" customFormat="1" ht="15" customHeight="1" x14ac:dyDescent="0.25">
      <c r="A49" s="48"/>
      <c r="B49" s="11" t="s">
        <v>292</v>
      </c>
      <c r="C49" s="11"/>
      <c r="D49" s="5">
        <v>34.65</v>
      </c>
      <c r="E49" s="5"/>
      <c r="F49" s="13">
        <f>IF(D$12=0,0,D49/D$12)</f>
        <v>7.0224149811519587E-2</v>
      </c>
      <c r="G49" s="5"/>
      <c r="H49" s="5"/>
      <c r="I49" s="5"/>
      <c r="J49" s="13">
        <f>IF(H$12=0,0,H49/H$12)</f>
        <v>0</v>
      </c>
      <c r="K49" s="5"/>
      <c r="L49" s="5">
        <f>+D49-H49</f>
        <v>34.65</v>
      </c>
      <c r="M49" s="5"/>
      <c r="N49" s="13">
        <f>IF(H49=0,0,L49/H49)</f>
        <v>0</v>
      </c>
      <c r="O49" s="11"/>
      <c r="P49" s="5">
        <v>2781.99</v>
      </c>
      <c r="Q49" s="5"/>
      <c r="R49" s="13">
        <f>IF(P$12=0,0,P49/P$12)</f>
        <v>0.11242516748662168</v>
      </c>
      <c r="S49" s="5"/>
      <c r="T49" s="5"/>
      <c r="U49" s="5"/>
      <c r="V49" s="13">
        <f>IF(T$12=0,0,T49/T$12)</f>
        <v>0</v>
      </c>
      <c r="W49" s="5"/>
      <c r="X49" s="5">
        <f>+P49-T49</f>
        <v>2781.99</v>
      </c>
      <c r="Y49" s="5"/>
      <c r="Z49" s="13">
        <f>IF(T49=0,0,X49/T49)</f>
        <v>0</v>
      </c>
    </row>
    <row r="50" spans="1:26" ht="15" customHeight="1" x14ac:dyDescent="0.25">
      <c r="A50" s="10"/>
      <c r="B50" s="11"/>
      <c r="C50" s="11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O50" s="11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25">
      <c r="A51" s="11"/>
      <c r="B51" s="27" t="s">
        <v>293</v>
      </c>
      <c r="C51" s="27"/>
      <c r="D51" s="35">
        <f>+D47-D49</f>
        <v>-2236.73</v>
      </c>
      <c r="E51" s="15"/>
      <c r="F51" s="30">
        <f>IF(D$12=0,0,D51/D$12)</f>
        <v>-4.5331158039803814</v>
      </c>
      <c r="G51" s="15"/>
      <c r="H51" s="35">
        <f>+H47-H49</f>
        <v>-1000.91</v>
      </c>
      <c r="I51" s="15"/>
      <c r="J51" s="30">
        <f>IF(H$12=0,0,H51/H$12)</f>
        <v>0</v>
      </c>
      <c r="K51" s="16"/>
      <c r="L51" s="35">
        <f>D51-H51</f>
        <v>-1235.8200000000002</v>
      </c>
      <c r="M51" s="16"/>
      <c r="N51" s="30">
        <f>IF(H51=0,0,L51/H51)</f>
        <v>1.2346964262521107</v>
      </c>
      <c r="O51" s="28"/>
      <c r="P51" s="35">
        <f>+P47-P49</f>
        <v>-12982.289999999999</v>
      </c>
      <c r="Q51" s="15"/>
      <c r="R51" s="30">
        <f>IF(P$12=0,0,P51/P$12)</f>
        <v>-0.52463744571687665</v>
      </c>
      <c r="S51" s="15"/>
      <c r="T51" s="35">
        <f>+T47-T49</f>
        <v>-8045.2899999999991</v>
      </c>
      <c r="U51" s="15"/>
      <c r="V51" s="30">
        <f>IF(T$12=0,0,T51/T$12)</f>
        <v>0</v>
      </c>
      <c r="W51" s="16"/>
      <c r="X51" s="35">
        <f>P51-T51</f>
        <v>-4937</v>
      </c>
      <c r="Y51" s="16"/>
      <c r="Z51" s="30">
        <f>IF(T51=0,0,X51/T51)</f>
        <v>0.61365096845483513</v>
      </c>
    </row>
    <row r="52" spans="1:26" ht="15" customHeight="1" x14ac:dyDescent="0.25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ht="15" customHeight="1" x14ac:dyDescent="0.25">
      <c r="A53" s="10"/>
      <c r="B53" s="10"/>
      <c r="C53" s="10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s="62" customFormat="1" ht="15" customHeight="1" x14ac:dyDescent="0.25">
      <c r="A54" s="11"/>
      <c r="B54" s="27" t="s">
        <v>296</v>
      </c>
      <c r="C54" s="27"/>
      <c r="D54" s="32">
        <f>SUM(D51:D53)</f>
        <v>-2236.73</v>
      </c>
      <c r="E54" s="15"/>
      <c r="F54" s="34">
        <f>IF(D$12=0,0,D54/D$12)</f>
        <v>-4.5331158039803814</v>
      </c>
      <c r="G54" s="15"/>
      <c r="H54" s="32">
        <f>SUM(H51:H53)</f>
        <v>-1000.91</v>
      </c>
      <c r="I54" s="15"/>
      <c r="J54" s="34">
        <f>IF(H$12=0,0,H54/H$12)</f>
        <v>0</v>
      </c>
      <c r="K54" s="16"/>
      <c r="L54" s="32">
        <f>+D54-H54</f>
        <v>-1235.8200000000002</v>
      </c>
      <c r="M54" s="16"/>
      <c r="N54" s="34">
        <f>IF(H54=0,0,L54/H54)</f>
        <v>1.2346964262521107</v>
      </c>
      <c r="O54" s="28"/>
      <c r="P54" s="32">
        <f>SUM(P51:P53)</f>
        <v>-12982.289999999999</v>
      </c>
      <c r="Q54" s="15"/>
      <c r="R54" s="34">
        <f>IF(P$12=0,0,P54/P$12)</f>
        <v>-0.52463744571687665</v>
      </c>
      <c r="S54" s="15"/>
      <c r="T54" s="32">
        <f>SUM(T51:T53)</f>
        <v>-8045.2899999999991</v>
      </c>
      <c r="U54" s="15"/>
      <c r="V54" s="34">
        <f>IF(T$12=0,0,T54/T$12)</f>
        <v>0</v>
      </c>
      <c r="W54" s="16"/>
      <c r="X54" s="32">
        <f>+P54-T54</f>
        <v>-4937</v>
      </c>
      <c r="Y54" s="16"/>
      <c r="Z54" s="34">
        <f>IF(T54=0,0,X54/T54)</f>
        <v>0.61365096845483513</v>
      </c>
    </row>
    <row r="55" spans="1:26" ht="15" customHeight="1" x14ac:dyDescent="0.25">
      <c r="A55" s="10"/>
      <c r="C55" s="10"/>
      <c r="D55" s="18"/>
      <c r="E55" s="18"/>
      <c r="G55" s="18"/>
      <c r="H55" s="18"/>
      <c r="I55" s="18"/>
      <c r="J55" s="41"/>
      <c r="K55" s="18"/>
      <c r="L55" s="18"/>
      <c r="M55" s="18"/>
      <c r="P55" s="18"/>
      <c r="Q55" s="18"/>
      <c r="R55" s="41"/>
      <c r="S55" s="18"/>
      <c r="T55" s="18"/>
      <c r="U55" s="18"/>
      <c r="V55" s="41"/>
      <c r="W55" s="18"/>
      <c r="X55" s="18"/>
    </row>
    <row r="56" spans="1:26" ht="15" customHeight="1" x14ac:dyDescent="0.25">
      <c r="A56" s="10"/>
      <c r="B56" s="50">
        <v>44727.879654085649</v>
      </c>
      <c r="D56" s="18"/>
      <c r="E56" s="18"/>
      <c r="G56" s="18"/>
      <c r="H56" s="18"/>
      <c r="I56" s="18"/>
      <c r="J56" s="41"/>
      <c r="K56" s="18"/>
      <c r="L56" s="18"/>
      <c r="M56" s="18"/>
      <c r="P56" s="18"/>
      <c r="Q56" s="18"/>
      <c r="R56" s="41"/>
      <c r="S56" s="18"/>
      <c r="T56" s="18"/>
      <c r="U56" s="18"/>
      <c r="V56" s="41"/>
      <c r="W56" s="18"/>
      <c r="X56" s="18"/>
    </row>
    <row r="57" spans="1:26" ht="15" customHeight="1" x14ac:dyDescent="0.25">
      <c r="A57" s="10"/>
      <c r="B57" s="53" t="s">
        <v>297</v>
      </c>
      <c r="D57" s="18"/>
      <c r="E57" s="18"/>
      <c r="G57" s="18"/>
      <c r="H57" s="18"/>
      <c r="I57" s="18"/>
      <c r="J57" s="41"/>
      <c r="K57" s="18"/>
      <c r="L57" s="18"/>
      <c r="M57" s="18"/>
      <c r="P57" s="18"/>
      <c r="Q57" s="18"/>
      <c r="R57" s="41"/>
      <c r="S57" s="18"/>
      <c r="T57" s="18"/>
      <c r="U57" s="18"/>
      <c r="V57" s="41"/>
      <c r="W57" s="18"/>
      <c r="X57" s="18"/>
    </row>
    <row r="58" spans="1:26" ht="15" customHeight="1" x14ac:dyDescent="0.25">
      <c r="A58" s="10"/>
      <c r="B58" s="55"/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  <row r="59" spans="1:26" ht="15" customHeight="1" x14ac:dyDescent="0.25">
      <c r="D59" s="18"/>
      <c r="E59" s="18"/>
      <c r="G59" s="18"/>
      <c r="H59" s="18"/>
      <c r="I59" s="18"/>
      <c r="J59" s="41"/>
      <c r="K59" s="18"/>
      <c r="L59" s="18"/>
      <c r="M59" s="18"/>
      <c r="P59" s="18"/>
      <c r="Q59" s="18"/>
      <c r="R59" s="41"/>
      <c r="S59" s="18"/>
      <c r="T59" s="18"/>
      <c r="U59" s="18"/>
      <c r="V59" s="41"/>
      <c r="W59" s="18"/>
      <c r="X5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B0619-626A-B22F-EC96-681F9C12A697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","455"," - ","Vending (old)")</f>
        <v>Department 455 - Vending (old)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5"/>
      <c r="L18" s="21">
        <f>+D18-H18</f>
        <v>0</v>
      </c>
      <c r="M18" s="5"/>
      <c r="N18" s="31">
        <f>IF(H18=0,0,L18/H18)</f>
        <v>0</v>
      </c>
      <c r="O18" s="11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5"/>
      <c r="X18" s="21">
        <f>+P18-T18</f>
        <v>0</v>
      </c>
      <c r="Y18" s="5"/>
      <c r="Z18" s="31">
        <f>IF(T18=0,0,X18/T18)</f>
        <v>0</v>
      </c>
    </row>
    <row r="19" spans="1:26" s="64" customFormat="1" ht="15" customHeight="1" x14ac:dyDescent="0.25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collapsed="1" x14ac:dyDescent="0.25">
      <c r="A20" s="11"/>
      <c r="B20" s="28" t="s">
        <v>290</v>
      </c>
      <c r="C20" s="11"/>
      <c r="D20" s="5">
        <f>SUM(OSRRefD25x_0)</f>
        <v>0</v>
      </c>
      <c r="E20" s="5"/>
      <c r="F20" s="13">
        <f>IF(D$12=0,0,D20/D$12)</f>
        <v>0</v>
      </c>
      <c r="G20" s="5"/>
      <c r="H20" s="5">
        <f>SUM(OSRRefH25x_0)</f>
        <v>32.82</v>
      </c>
      <c r="I20" s="5"/>
      <c r="J20" s="13">
        <f>IF(H$12=0,0,H20/H$12)</f>
        <v>0</v>
      </c>
      <c r="K20" s="5"/>
      <c r="L20" s="5">
        <f>+D20-H20</f>
        <v>-32.82</v>
      </c>
      <c r="M20" s="5"/>
      <c r="N20" s="13">
        <f>IF(H20=0,0,L20/H20)</f>
        <v>-1</v>
      </c>
      <c r="O20" s="11"/>
      <c r="P20" s="5">
        <f>SUM(OSRRefP25x_0)</f>
        <v>0</v>
      </c>
      <c r="Q20" s="5"/>
      <c r="R20" s="13">
        <f>IF(P$12=0,0,P20/P$12)</f>
        <v>0</v>
      </c>
      <c r="S20" s="5"/>
      <c r="T20" s="5">
        <f>SUM(OSRRefT25x_0)</f>
        <v>16320.39</v>
      </c>
      <c r="U20" s="5"/>
      <c r="V20" s="13">
        <f>IF(T$12=0,0,T20/T$12)</f>
        <v>0</v>
      </c>
      <c r="W20" s="5"/>
      <c r="X20" s="5">
        <f>+P20-T20</f>
        <v>-16320.39</v>
      </c>
      <c r="Y20" s="5"/>
      <c r="Z20" s="13">
        <f>IF(T20=0,0,X20/T20)</f>
        <v>-1</v>
      </c>
    </row>
    <row r="21" spans="1:26" s="69" customFormat="1" ht="15" hidden="1" customHeight="1" outlineLevel="1" x14ac:dyDescent="0.25">
      <c r="A21" s="42"/>
      <c r="B21" s="12" t="str">
        <f>CONCATENATE("          ","9160"," - ","MISC. INCOME")</f>
        <v xml:space="preserve">          9160 - MISC. INCOME</v>
      </c>
      <c r="C21" s="12"/>
      <c r="D21" s="3">
        <f>0</f>
        <v>0</v>
      </c>
      <c r="E21" s="3"/>
      <c r="F21" s="20">
        <f>IF(D$12=0,0,D21/D$12)</f>
        <v>0</v>
      </c>
      <c r="G21" s="3"/>
      <c r="H21" s="3">
        <f>0</f>
        <v>0</v>
      </c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f>0</f>
        <v>0</v>
      </c>
      <c r="Q21" s="3"/>
      <c r="R21" s="20">
        <f>IF(P$12=0,0,P21/P$12)</f>
        <v>0</v>
      </c>
      <c r="S21" s="3"/>
      <c r="T21" s="3">
        <f>--12798.71</f>
        <v>12798.71</v>
      </c>
      <c r="U21" s="3"/>
      <c r="V21" s="20">
        <f>IF(T$12=0,0,T21/T$12)</f>
        <v>0</v>
      </c>
      <c r="W21" s="3"/>
      <c r="X21" s="3">
        <f>+P21-T21</f>
        <v>-12798.71</v>
      </c>
      <c r="Y21" s="3"/>
      <c r="Z21" s="20">
        <f>IF(T21=0,0,X21/T21)</f>
        <v>-1</v>
      </c>
    </row>
    <row r="22" spans="1:26" s="69" customFormat="1" ht="15" hidden="1" customHeight="1" outlineLevel="1" x14ac:dyDescent="0.25">
      <c r="A22" s="42"/>
      <c r="B22" s="12" t="str">
        <f>CONCATENATE("          ","9165"," - ","OTHER INCOME")</f>
        <v xml:space="preserve">          9165 - OTHER INCOME</v>
      </c>
      <c r="C22" s="12"/>
      <c r="D22" s="3">
        <f>0</f>
        <v>0</v>
      </c>
      <c r="E22" s="3"/>
      <c r="F22" s="20">
        <f>IF(D$12=0,0,D22/D$12)</f>
        <v>0</v>
      </c>
      <c r="G22" s="3"/>
      <c r="H22" s="3">
        <f>--32.82</f>
        <v>32.82</v>
      </c>
      <c r="I22" s="3"/>
      <c r="J22" s="20">
        <f>IF(H$12=0,0,H22/H$12)</f>
        <v>0</v>
      </c>
      <c r="K22" s="3"/>
      <c r="L22" s="3">
        <f>+D22-H22</f>
        <v>-32.82</v>
      </c>
      <c r="M22" s="3"/>
      <c r="N22" s="20">
        <f>IF(H22=0,0,L22/H22)</f>
        <v>-1</v>
      </c>
      <c r="O22" s="12"/>
      <c r="P22" s="3">
        <f>0</f>
        <v>0</v>
      </c>
      <c r="Q22" s="3"/>
      <c r="R22" s="20">
        <f>IF(P$12=0,0,P22/P$12)</f>
        <v>0</v>
      </c>
      <c r="S22" s="3"/>
      <c r="T22" s="3">
        <f>--3521.68</f>
        <v>3521.68</v>
      </c>
      <c r="U22" s="3"/>
      <c r="V22" s="20">
        <f>IF(T$12=0,0,T22/T$12)</f>
        <v>0</v>
      </c>
      <c r="W22" s="3"/>
      <c r="X22" s="3">
        <f>+P22-T22</f>
        <v>-3521.68</v>
      </c>
      <c r="Y22" s="3"/>
      <c r="Z22" s="20">
        <f>IF(T22=0,0,X22/T22)</f>
        <v>-1</v>
      </c>
    </row>
    <row r="23" spans="1:26" ht="15" customHeight="1" x14ac:dyDescent="0.25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25">
      <c r="A24" s="11"/>
      <c r="B24" s="27" t="s">
        <v>291</v>
      </c>
      <c r="C24" s="27"/>
      <c r="D24" s="22">
        <f>+D16-D18+D20</f>
        <v>0</v>
      </c>
      <c r="E24" s="15"/>
      <c r="F24" s="23">
        <f>IF(D$12=0,0,D24/D$12)</f>
        <v>0</v>
      </c>
      <c r="G24" s="15"/>
      <c r="H24" s="22">
        <f>+H16-H18+H20</f>
        <v>32.82</v>
      </c>
      <c r="I24" s="15"/>
      <c r="J24" s="23">
        <f>IF(H$12=0,0,H24/H$12)</f>
        <v>0</v>
      </c>
      <c r="K24" s="16"/>
      <c r="L24" s="22">
        <f>+D24-H24</f>
        <v>-32.82</v>
      </c>
      <c r="M24" s="16"/>
      <c r="N24" s="23">
        <f>IF(H24=0,0,L24/H24)</f>
        <v>-1</v>
      </c>
      <c r="O24" s="28"/>
      <c r="P24" s="22">
        <f>+P16-P18+P20</f>
        <v>0</v>
      </c>
      <c r="Q24" s="15"/>
      <c r="R24" s="23">
        <f>IF(P$12=0,0,P24/P$12)</f>
        <v>0</v>
      </c>
      <c r="S24" s="15"/>
      <c r="T24" s="22">
        <f>+T16-T18+T20</f>
        <v>16320.39</v>
      </c>
      <c r="U24" s="15"/>
      <c r="V24" s="23">
        <f>IF(T$12=0,0,T24/T$12)</f>
        <v>0</v>
      </c>
      <c r="W24" s="16"/>
      <c r="X24" s="22">
        <f>+P24-T24</f>
        <v>-16320.39</v>
      </c>
      <c r="Y24" s="16"/>
      <c r="Z24" s="23">
        <f>IF(T24=0,0,X24/T24)</f>
        <v>-1</v>
      </c>
    </row>
    <row r="25" spans="1:26" ht="15" customHeight="1" x14ac:dyDescent="0.25">
      <c r="A25" s="10"/>
      <c r="B25" s="11"/>
      <c r="C25" s="10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25">
      <c r="A26" s="48"/>
      <c r="B26" s="11" t="s">
        <v>292</v>
      </c>
      <c r="C26" s="11"/>
      <c r="D26" s="5"/>
      <c r="E26" s="5"/>
      <c r="F26" s="13">
        <f>IF(D$12=0,0,D26/D$12)</f>
        <v>0</v>
      </c>
      <c r="G26" s="5"/>
      <c r="H26" s="5"/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/>
      <c r="Q26" s="5"/>
      <c r="R26" s="13">
        <f>IF(P$12=0,0,P26/P$12)</f>
        <v>0</v>
      </c>
      <c r="S26" s="5"/>
      <c r="T26" s="5"/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25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25">
      <c r="A28" s="11"/>
      <c r="B28" s="27" t="s">
        <v>293</v>
      </c>
      <c r="C28" s="27"/>
      <c r="D28" s="35">
        <f>+D24-D26</f>
        <v>0</v>
      </c>
      <c r="E28" s="15"/>
      <c r="F28" s="30">
        <f>IF(D$12=0,0,D28/D$12)</f>
        <v>0</v>
      </c>
      <c r="G28" s="15"/>
      <c r="H28" s="35">
        <f>+H24-H26</f>
        <v>32.82</v>
      </c>
      <c r="I28" s="15"/>
      <c r="J28" s="30">
        <f>IF(H$12=0,0,H28/H$12)</f>
        <v>0</v>
      </c>
      <c r="K28" s="16"/>
      <c r="L28" s="35">
        <f>D28-H28</f>
        <v>-32.82</v>
      </c>
      <c r="M28" s="16"/>
      <c r="N28" s="30">
        <f>IF(H28=0,0,L28/H28)</f>
        <v>-1</v>
      </c>
      <c r="O28" s="28"/>
      <c r="P28" s="35">
        <f>+P24-P26</f>
        <v>0</v>
      </c>
      <c r="Q28" s="15"/>
      <c r="R28" s="30">
        <f>IF(P$12=0,0,P28/P$12)</f>
        <v>0</v>
      </c>
      <c r="S28" s="15"/>
      <c r="T28" s="35">
        <f>+T24-T26</f>
        <v>16320.39</v>
      </c>
      <c r="U28" s="15"/>
      <c r="V28" s="30">
        <f>IF(T$12=0,0,T28/T$12)</f>
        <v>0</v>
      </c>
      <c r="W28" s="16"/>
      <c r="X28" s="35">
        <f>P28-T28</f>
        <v>-16320.39</v>
      </c>
      <c r="Y28" s="16"/>
      <c r="Z28" s="30">
        <f>IF(T28=0,0,X28/T28)</f>
        <v>-1</v>
      </c>
    </row>
    <row r="29" spans="1:26" ht="15" customHeight="1" x14ac:dyDescent="0.25">
      <c r="A29" s="10"/>
      <c r="B29" s="10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ht="15" customHeight="1" x14ac:dyDescent="0.25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296</v>
      </c>
      <c r="C31" s="27"/>
      <c r="D31" s="32">
        <f>SUM(D28:D30)</f>
        <v>0</v>
      </c>
      <c r="E31" s="15"/>
      <c r="F31" s="34">
        <f>IF(D$12=0,0,D31/D$12)</f>
        <v>0</v>
      </c>
      <c r="G31" s="15"/>
      <c r="H31" s="32">
        <f>SUM(H28:H30)</f>
        <v>32.82</v>
      </c>
      <c r="I31" s="15"/>
      <c r="J31" s="34">
        <f>IF(H$12=0,0,H31/H$12)</f>
        <v>0</v>
      </c>
      <c r="K31" s="16"/>
      <c r="L31" s="32">
        <f>+D31-H31</f>
        <v>-32.82</v>
      </c>
      <c r="M31" s="16"/>
      <c r="N31" s="34">
        <f>IF(H31=0,0,L31/H31)</f>
        <v>-1</v>
      </c>
      <c r="O31" s="28"/>
      <c r="P31" s="32">
        <f>SUM(P28:P30)</f>
        <v>0</v>
      </c>
      <c r="Q31" s="15"/>
      <c r="R31" s="34">
        <f>IF(P$12=0,0,P31/P$12)</f>
        <v>0</v>
      </c>
      <c r="S31" s="15"/>
      <c r="T31" s="32">
        <f>SUM(T28:T30)</f>
        <v>16320.39</v>
      </c>
      <c r="U31" s="15"/>
      <c r="V31" s="34">
        <f>IF(T$12=0,0,T31/T$12)</f>
        <v>0</v>
      </c>
      <c r="W31" s="16"/>
      <c r="X31" s="32">
        <f>+P31-T31</f>
        <v>-16320.39</v>
      </c>
      <c r="Y31" s="16"/>
      <c r="Z31" s="34">
        <f>IF(T31=0,0,X31/T31)</f>
        <v>-1</v>
      </c>
    </row>
    <row r="32" spans="1:26" ht="15" customHeight="1" x14ac:dyDescent="0.25">
      <c r="A32" s="10"/>
      <c r="C32" s="10"/>
      <c r="D32" s="18"/>
      <c r="E32" s="18"/>
      <c r="G32" s="18"/>
      <c r="H32" s="18"/>
      <c r="I32" s="18"/>
      <c r="J32" s="41"/>
      <c r="K32" s="18"/>
      <c r="L32" s="18"/>
      <c r="M32" s="18"/>
      <c r="P32" s="18"/>
      <c r="Q32" s="18"/>
      <c r="R32" s="41"/>
      <c r="S32" s="18"/>
      <c r="T32" s="18"/>
      <c r="U32" s="18"/>
      <c r="V32" s="41"/>
      <c r="W32" s="18"/>
      <c r="X32" s="18"/>
    </row>
    <row r="33" spans="1:24" ht="15" customHeight="1" x14ac:dyDescent="0.25">
      <c r="A33" s="10"/>
      <c r="B33" s="50">
        <v>44727.879654085649</v>
      </c>
      <c r="D33" s="18"/>
      <c r="E33" s="18"/>
      <c r="G33" s="18"/>
      <c r="H33" s="18"/>
      <c r="I33" s="18"/>
      <c r="J33" s="41"/>
      <c r="K33" s="18"/>
      <c r="L33" s="18"/>
      <c r="M33" s="18"/>
      <c r="P33" s="18"/>
      <c r="Q33" s="18"/>
      <c r="R33" s="41"/>
      <c r="S33" s="18"/>
      <c r="T33" s="18"/>
      <c r="U33" s="18"/>
      <c r="V33" s="41"/>
      <c r="W33" s="18"/>
      <c r="X33" s="18"/>
    </row>
    <row r="34" spans="1:24" ht="15" customHeight="1" x14ac:dyDescent="0.25">
      <c r="A34" s="10"/>
      <c r="B34" s="53" t="s">
        <v>297</v>
      </c>
      <c r="D34" s="18"/>
      <c r="E34" s="18"/>
      <c r="G34" s="18"/>
      <c r="H34" s="18"/>
      <c r="I34" s="18"/>
      <c r="J34" s="41"/>
      <c r="K34" s="18"/>
      <c r="L34" s="18"/>
      <c r="M34" s="18"/>
      <c r="P34" s="18"/>
      <c r="Q34" s="18"/>
      <c r="R34" s="41"/>
      <c r="S34" s="18"/>
      <c r="T34" s="18"/>
      <c r="U34" s="18"/>
      <c r="V34" s="41"/>
      <c r="W34" s="18"/>
      <c r="X34" s="18"/>
    </row>
    <row r="35" spans="1:24" ht="15" customHeight="1" x14ac:dyDescent="0.25">
      <c r="A35" s="10"/>
      <c r="B35" s="55"/>
      <c r="D35" s="18"/>
      <c r="E35" s="18"/>
      <c r="G35" s="18"/>
      <c r="H35" s="18"/>
      <c r="I35" s="18"/>
      <c r="J35" s="41"/>
      <c r="K35" s="18"/>
      <c r="L35" s="18"/>
      <c r="M35" s="18"/>
      <c r="P35" s="18"/>
      <c r="Q35" s="18"/>
      <c r="R35" s="41"/>
      <c r="S35" s="18"/>
      <c r="T35" s="18"/>
      <c r="U35" s="18"/>
      <c r="V35" s="41"/>
      <c r="W35" s="18"/>
      <c r="X35" s="18"/>
    </row>
    <row r="36" spans="1:24" ht="15" customHeight="1" x14ac:dyDescent="0.25">
      <c r="D36" s="18"/>
      <c r="E36" s="18"/>
      <c r="G36" s="18"/>
      <c r="H36" s="18"/>
      <c r="I36" s="18"/>
      <c r="J36" s="41"/>
      <c r="K36" s="18"/>
      <c r="L36" s="18"/>
      <c r="M36" s="18"/>
      <c r="P36" s="18"/>
      <c r="Q36" s="18"/>
      <c r="R36" s="41"/>
      <c r="S36" s="18"/>
      <c r="T36" s="18"/>
      <c r="U36" s="18"/>
      <c r="V36" s="41"/>
      <c r="W36" s="18"/>
      <c r="X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89294-044A-908A-AB61-6713D37932E5}">
  <sheetPr>
    <tabColor rgb="FFFFFF00"/>
    <outlinePr summaryBelow="0" summaryRight="0"/>
  </sheetPr>
  <dimension ref="A2:Z10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312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689495.4</v>
      </c>
      <c r="E12" s="5"/>
      <c r="F12" s="13"/>
      <c r="G12" s="5"/>
      <c r="H12" s="5">
        <f>SUM(OSRRefH13x_0)</f>
        <v>50528.700000000004</v>
      </c>
      <c r="I12" s="5"/>
      <c r="J12" s="13"/>
      <c r="K12" s="5"/>
      <c r="L12" s="5">
        <f t="shared" ref="L12:L17" si="0">+D12-H12</f>
        <v>638966.70000000007</v>
      </c>
      <c r="M12" s="5"/>
      <c r="N12" s="13">
        <f t="shared" ref="N12:N17" si="1">IF(H12=0,0,L12/H12)</f>
        <v>12.645619222342946</v>
      </c>
      <c r="O12" s="11"/>
      <c r="P12" s="5">
        <f>SUM(OSRRefP13x_0)</f>
        <v>11615542.800000001</v>
      </c>
      <c r="Q12" s="5"/>
      <c r="R12" s="13"/>
      <c r="S12" s="5"/>
      <c r="T12" s="5">
        <f>SUM(OSRRefT13x_0)</f>
        <v>991884.6</v>
      </c>
      <c r="U12" s="5"/>
      <c r="V12" s="13"/>
      <c r="W12" s="5"/>
      <c r="X12" s="5">
        <f t="shared" ref="X12:X17" si="2">+P12-T12</f>
        <v>10623658.200000001</v>
      </c>
      <c r="Y12" s="5"/>
      <c r="Z12" s="13">
        <f t="shared" ref="Z12:Z17" si="3">IF(T12=0,0,X12/T12)</f>
        <v>10.710578831448741</v>
      </c>
    </row>
    <row r="13" spans="1:26" s="69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--295.61</f>
        <v>295.61</v>
      </c>
      <c r="E13" s="3"/>
      <c r="F13" s="20"/>
      <c r="G13" s="3"/>
      <c r="H13" s="3">
        <f>--21.66</f>
        <v>21.66</v>
      </c>
      <c r="I13" s="3"/>
      <c r="J13" s="20"/>
      <c r="K13" s="3"/>
      <c r="L13" s="3">
        <f t="shared" si="0"/>
        <v>273.95</v>
      </c>
      <c r="M13" s="3"/>
      <c r="N13" s="20">
        <f t="shared" si="1"/>
        <v>12.647737765466296</v>
      </c>
      <c r="O13" s="12"/>
      <c r="P13" s="3">
        <f>--4616.72</f>
        <v>4616.72</v>
      </c>
      <c r="Q13" s="3"/>
      <c r="R13" s="20"/>
      <c r="S13" s="3"/>
      <c r="T13" s="3">
        <f>--1106.56</f>
        <v>1106.56</v>
      </c>
      <c r="U13" s="3"/>
      <c r="V13" s="20"/>
      <c r="W13" s="3"/>
      <c r="X13" s="3">
        <f t="shared" si="2"/>
        <v>3510.1600000000003</v>
      </c>
      <c r="Y13" s="3"/>
      <c r="Z13" s="20">
        <f t="shared" si="3"/>
        <v>3.1721370734528636</v>
      </c>
    </row>
    <row r="14" spans="1:26" s="69" customFormat="1" ht="15" hidden="1" customHeight="1" outlineLevel="1" x14ac:dyDescent="0.25">
      <c r="A14" s="42"/>
      <c r="B14" s="12" t="str">
        <f>CONCATENATE("          ","4055"," - ","TAXABLE SALES-FOOD")</f>
        <v xml:space="preserve">          4055 - TAXABLE SALES-FOOD</v>
      </c>
      <c r="C14" s="12"/>
      <c r="D14" s="3">
        <f>--514.53</f>
        <v>514.53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514.53</v>
      </c>
      <c r="M14" s="3"/>
      <c r="N14" s="20">
        <f t="shared" si="1"/>
        <v>0</v>
      </c>
      <c r="O14" s="12"/>
      <c r="P14" s="3">
        <f>--2070.63</f>
        <v>2070.63</v>
      </c>
      <c r="Q14" s="3"/>
      <c r="R14" s="20"/>
      <c r="S14" s="3"/>
      <c r="T14" s="3">
        <f>0</f>
        <v>0</v>
      </c>
      <c r="U14" s="3"/>
      <c r="V14" s="20"/>
      <c r="W14" s="3"/>
      <c r="X14" s="3">
        <f t="shared" si="2"/>
        <v>2070.63</v>
      </c>
      <c r="Y14" s="3"/>
      <c r="Z14" s="20">
        <f t="shared" si="3"/>
        <v>0</v>
      </c>
    </row>
    <row r="15" spans="1:26" s="69" customFormat="1" ht="15" hidden="1" customHeight="1" outlineLevel="1" x14ac:dyDescent="0.25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--681732.75</f>
        <v>681732.75</v>
      </c>
      <c r="E15" s="3"/>
      <c r="F15" s="20"/>
      <c r="G15" s="3"/>
      <c r="H15" s="3">
        <f>--47615</f>
        <v>47615</v>
      </c>
      <c r="I15" s="3"/>
      <c r="J15" s="20"/>
      <c r="K15" s="3"/>
      <c r="L15" s="3">
        <f t="shared" si="0"/>
        <v>634117.75</v>
      </c>
      <c r="M15" s="3"/>
      <c r="N15" s="20">
        <f t="shared" si="1"/>
        <v>13.317604746403445</v>
      </c>
      <c r="O15" s="12"/>
      <c r="P15" s="3">
        <f>--11486057.05</f>
        <v>11486057.050000001</v>
      </c>
      <c r="Q15" s="3"/>
      <c r="R15" s="20"/>
      <c r="S15" s="3"/>
      <c r="T15" s="3">
        <f>--940443.72</f>
        <v>940443.72</v>
      </c>
      <c r="U15" s="3"/>
      <c r="V15" s="20"/>
      <c r="W15" s="3"/>
      <c r="X15" s="3">
        <f t="shared" si="2"/>
        <v>10545613.33</v>
      </c>
      <c r="Y15" s="3"/>
      <c r="Z15" s="20">
        <f t="shared" si="3"/>
        <v>11.21344436219958</v>
      </c>
    </row>
    <row r="16" spans="1:26" s="69" customFormat="1" ht="15" hidden="1" customHeight="1" outlineLevel="1" x14ac:dyDescent="0.25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--6068.42</f>
        <v>6068.42</v>
      </c>
      <c r="E16" s="3"/>
      <c r="F16" s="20"/>
      <c r="G16" s="3"/>
      <c r="H16" s="3">
        <f>--2892.04</f>
        <v>2892.04</v>
      </c>
      <c r="I16" s="3"/>
      <c r="J16" s="20"/>
      <c r="K16" s="3"/>
      <c r="L16" s="3">
        <f t="shared" si="0"/>
        <v>3176.38</v>
      </c>
      <c r="M16" s="3"/>
      <c r="N16" s="20">
        <f t="shared" si="1"/>
        <v>1.0983181422110344</v>
      </c>
      <c r="O16" s="12"/>
      <c r="P16" s="3">
        <f>--118114.99</f>
        <v>118114.99</v>
      </c>
      <c r="Q16" s="3"/>
      <c r="R16" s="20"/>
      <c r="S16" s="3"/>
      <c r="T16" s="3">
        <f>--50334.32</f>
        <v>50334.32</v>
      </c>
      <c r="U16" s="3"/>
      <c r="V16" s="20"/>
      <c r="W16" s="3"/>
      <c r="X16" s="3">
        <f t="shared" si="2"/>
        <v>67780.670000000013</v>
      </c>
      <c r="Y16" s="3"/>
      <c r="Z16" s="20">
        <f t="shared" si="3"/>
        <v>1.3466094307025507</v>
      </c>
    </row>
    <row r="17" spans="1:26" s="69" customFormat="1" ht="15" hidden="1" customHeight="1" outlineLevel="1" x14ac:dyDescent="0.25">
      <c r="A17" s="42"/>
      <c r="B17" s="12" t="str">
        <f>CONCATENATE("          ","4155"," - ","NON-TAXABLE SALES-FOOD")</f>
        <v xml:space="preserve">          4155 - NON-TAXABLE SALES-FOOD</v>
      </c>
      <c r="C17" s="12"/>
      <c r="D17" s="3">
        <f>--884.09</f>
        <v>884.09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884.09</v>
      </c>
      <c r="M17" s="3"/>
      <c r="N17" s="20">
        <f t="shared" si="1"/>
        <v>0</v>
      </c>
      <c r="O17" s="12"/>
      <c r="P17" s="3">
        <f>--4683.41</f>
        <v>4683.41</v>
      </c>
      <c r="Q17" s="3"/>
      <c r="R17" s="20"/>
      <c r="S17" s="3"/>
      <c r="T17" s="3">
        <f>0</f>
        <v>0</v>
      </c>
      <c r="U17" s="3"/>
      <c r="V17" s="20"/>
      <c r="W17" s="3"/>
      <c r="X17" s="3">
        <f t="shared" si="2"/>
        <v>4683.41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2" customFormat="1" ht="15" customHeight="1" collapsed="1" x14ac:dyDescent="0.25">
      <c r="A19" s="11"/>
      <c r="B19" s="28" t="s">
        <v>287</v>
      </c>
      <c r="C19" s="11"/>
      <c r="D19" s="5">
        <f>SUM(OSRRefD16x_0)</f>
        <v>174203.04</v>
      </c>
      <c r="E19" s="5"/>
      <c r="F19" s="13">
        <f>IF(D$12=0,0,D19/D$12)</f>
        <v>0.25265294010663453</v>
      </c>
      <c r="G19" s="5"/>
      <c r="H19" s="5">
        <f>SUM(OSRRefH16x_0)</f>
        <v>25181.79</v>
      </c>
      <c r="I19" s="5"/>
      <c r="J19" s="13">
        <f>IF(H$12=0,0,H19/H$12)</f>
        <v>0.49836607710073677</v>
      </c>
      <c r="K19" s="5"/>
      <c r="L19" s="5">
        <f>+D19-H19</f>
        <v>149021.25</v>
      </c>
      <c r="M19" s="5"/>
      <c r="N19" s="13">
        <f>IF(H19=0,0,L19/H19)</f>
        <v>5.9178179946699574</v>
      </c>
      <c r="O19" s="11"/>
      <c r="P19" s="5">
        <f>SUM(OSRRefP16x_0)</f>
        <v>2760866.4</v>
      </c>
      <c r="Q19" s="5"/>
      <c r="R19" s="13">
        <f>IF(P$12=0,0,P19/P$12)</f>
        <v>0.23768724781419598</v>
      </c>
      <c r="S19" s="5"/>
      <c r="T19" s="5">
        <f>SUM(OSRRefT16x_0)</f>
        <v>441071.97</v>
      </c>
      <c r="U19" s="5"/>
      <c r="V19" s="13">
        <f>IF(T$12=0,0,T19/T$12)</f>
        <v>0.44468073201257485</v>
      </c>
      <c r="W19" s="5"/>
      <c r="X19" s="5">
        <f>+P19-T19</f>
        <v>2319794.4299999997</v>
      </c>
      <c r="Y19" s="5"/>
      <c r="Z19" s="13">
        <f>IF(T19=0,0,X19/T19)</f>
        <v>5.2594465025741712</v>
      </c>
    </row>
    <row r="20" spans="1:26" s="69" customFormat="1" ht="15" hidden="1" customHeight="1" outlineLevel="1" x14ac:dyDescent="0.25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152349.84</v>
      </c>
      <c r="E20" s="3"/>
      <c r="F20" s="20">
        <f>IF(D$12=0,0,D20/D$12)</f>
        <v>0.22095845744583648</v>
      </c>
      <c r="G20" s="3"/>
      <c r="H20" s="3">
        <v>24078.79</v>
      </c>
      <c r="I20" s="3"/>
      <c r="J20" s="20">
        <f>IF(H$12=0,0,H20/H$12)</f>
        <v>0.47653689883175304</v>
      </c>
      <c r="K20" s="3"/>
      <c r="L20" s="3">
        <f>+D20-H20</f>
        <v>128271.04999999999</v>
      </c>
      <c r="M20" s="3"/>
      <c r="N20" s="20">
        <f>IF(H20=0,0,L20/H20)</f>
        <v>5.3271385314627517</v>
      </c>
      <c r="O20" s="12"/>
      <c r="P20" s="3">
        <v>2779200.26</v>
      </c>
      <c r="Q20" s="3"/>
      <c r="R20" s="20">
        <f>IF(P$12=0,0,P20/P$12)</f>
        <v>0.23926563810689927</v>
      </c>
      <c r="S20" s="3"/>
      <c r="T20" s="3">
        <v>443748.67</v>
      </c>
      <c r="U20" s="3"/>
      <c r="V20" s="20">
        <f>IF(T$12=0,0,T20/T$12)</f>
        <v>0.44737933223280207</v>
      </c>
      <c r="W20" s="3"/>
      <c r="X20" s="3">
        <f>+P20-T20</f>
        <v>2335451.59</v>
      </c>
      <c r="Y20" s="3"/>
      <c r="Z20" s="20">
        <f>IF(T20=0,0,X20/T20)</f>
        <v>5.2630052727820003</v>
      </c>
    </row>
    <row r="21" spans="1:26" s="69" customFormat="1" ht="15" hidden="1" customHeight="1" outlineLevel="1" x14ac:dyDescent="0.25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21853.200000000001</v>
      </c>
      <c r="E21" s="3"/>
      <c r="F21" s="20">
        <f>IF(D$12=0,0,D21/D$12)</f>
        <v>3.169448266079803E-2</v>
      </c>
      <c r="G21" s="3"/>
      <c r="H21" s="3">
        <v>1103</v>
      </c>
      <c r="I21" s="3"/>
      <c r="J21" s="20">
        <f>IF(H$12=0,0,H21/H$12)</f>
        <v>2.1829178268983764E-2</v>
      </c>
      <c r="K21" s="3"/>
      <c r="L21" s="3">
        <f>+D21-H21</f>
        <v>20750.2</v>
      </c>
      <c r="M21" s="3"/>
      <c r="N21" s="20">
        <f>IF(H21=0,0,L21/H21)</f>
        <v>18.812511332728921</v>
      </c>
      <c r="O21" s="12"/>
      <c r="P21" s="3">
        <v>-18333.86</v>
      </c>
      <c r="Q21" s="3"/>
      <c r="R21" s="20">
        <f>IF(P$12=0,0,P21/P$12)</f>
        <v>-1.5783902927033249E-3</v>
      </c>
      <c r="S21" s="3"/>
      <c r="T21" s="3">
        <v>-2676.7</v>
      </c>
      <c r="U21" s="3"/>
      <c r="V21" s="20">
        <f>IF(T$12=0,0,T21/T$12)</f>
        <v>-2.6986002202272321E-3</v>
      </c>
      <c r="W21" s="3"/>
      <c r="X21" s="3">
        <f>+P21-T21</f>
        <v>-15657.16</v>
      </c>
      <c r="Y21" s="3"/>
      <c r="Z21" s="20">
        <f>IF(T21=0,0,X21/T21)</f>
        <v>5.8494265326708268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25">
      <c r="A23" s="11"/>
      <c r="B23" s="27" t="s">
        <v>288</v>
      </c>
      <c r="C23" s="27"/>
      <c r="D23" s="22">
        <f>D12-D19</f>
        <v>515292.36</v>
      </c>
      <c r="E23" s="15"/>
      <c r="F23" s="23">
        <f>IF(D$12=0,0,D23/D$12)</f>
        <v>0.74734705989336547</v>
      </c>
      <c r="G23" s="15"/>
      <c r="H23" s="22">
        <f>H12-H19</f>
        <v>25346.910000000003</v>
      </c>
      <c r="I23" s="15"/>
      <c r="J23" s="23">
        <f>IF(H$12=0,0,H23/H$12)</f>
        <v>0.50163392289926323</v>
      </c>
      <c r="K23" s="16"/>
      <c r="L23" s="22">
        <f>+D23-H23</f>
        <v>489945.44999999995</v>
      </c>
      <c r="M23" s="16"/>
      <c r="N23" s="23">
        <f>IF(H23=0,0,L23/H23)</f>
        <v>19.329592837943554</v>
      </c>
      <c r="O23" s="28"/>
      <c r="P23" s="22">
        <f>P12-P19</f>
        <v>8854676.4000000004</v>
      </c>
      <c r="Q23" s="15"/>
      <c r="R23" s="23">
        <f>IF(P$12=0,0,P23/P$12)</f>
        <v>0.76231275218580397</v>
      </c>
      <c r="S23" s="15"/>
      <c r="T23" s="22">
        <f>T12-T19</f>
        <v>550812.63</v>
      </c>
      <c r="U23" s="15"/>
      <c r="V23" s="23">
        <f>IF(T$12=0,0,T23/T$12)</f>
        <v>0.55531926798742515</v>
      </c>
      <c r="W23" s="16"/>
      <c r="X23" s="22">
        <f>+P23-T23</f>
        <v>8303863.7700000005</v>
      </c>
      <c r="Y23" s="16"/>
      <c r="Z23" s="23">
        <f>IF(T23=0,0,X23/T23)</f>
        <v>15.075659703010079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25">
      <c r="A25" s="11"/>
      <c r="B25" s="28" t="s">
        <v>289</v>
      </c>
      <c r="C25" s="11"/>
      <c r="D25" s="21" cm="1">
        <f t="array" ref="D25">SUM(OSRRefD22x_0)</f>
        <v>378012.2900000001</v>
      </c>
      <c r="E25" s="21"/>
      <c r="F25" s="31">
        <f t="shared" ref="F25:F56" si="4">IF(D$12=0,0,D25/D$12)</f>
        <v>0.54824483238031763</v>
      </c>
      <c r="G25" s="21"/>
      <c r="H25" s="21" cm="1">
        <f t="array" ref="H25">SUM(OSRRefH22x_0)</f>
        <v>200452.86000000002</v>
      </c>
      <c r="I25" s="21"/>
      <c r="J25" s="31">
        <f t="shared" ref="J25:J56" si="5">IF(H$12=0,0,H25/H$12)</f>
        <v>3.9671089895445557</v>
      </c>
      <c r="K25" s="5"/>
      <c r="L25" s="21">
        <f t="shared" ref="L25:L56" si="6">+D25-H25</f>
        <v>177559.43000000008</v>
      </c>
      <c r="M25" s="5"/>
      <c r="N25" s="31">
        <f t="shared" ref="N25:N56" si="7">IF(H25=0,0,L25/H25)</f>
        <v>0.88579145241429869</v>
      </c>
      <c r="O25" s="11"/>
      <c r="P25" s="21" cm="1">
        <f t="array" ref="P25">SUM(OSRRefP22x_0)</f>
        <v>5138401.6899999976</v>
      </c>
      <c r="Q25" s="21"/>
      <c r="R25" s="31">
        <f t="shared" ref="R25:R56" si="8">IF(P$12=0,0,P25/P$12)</f>
        <v>0.44237292896893265</v>
      </c>
      <c r="S25" s="21"/>
      <c r="T25" s="21" cm="1">
        <f t="array" ref="T25">SUM(OSRRefT22x_0)</f>
        <v>2467799.77</v>
      </c>
      <c r="U25" s="21"/>
      <c r="V25" s="31">
        <f t="shared" ref="V25:V56" si="9">IF(T$12=0,0,T25/T$12)</f>
        <v>2.4879908106245425</v>
      </c>
      <c r="W25" s="5"/>
      <c r="X25" s="21">
        <f t="shared" ref="X25:X56" si="10">+P25-T25</f>
        <v>2670601.9199999976</v>
      </c>
      <c r="Y25" s="5"/>
      <c r="Z25" s="31">
        <f t="shared" ref="Z25:Z56" si="11">IF(T25=0,0,X25/T25)</f>
        <v>1.082179337426552</v>
      </c>
    </row>
    <row r="26" spans="1:26" s="68" customFormat="1" ht="15" customHeight="1" outlineLevel="1" collapsed="1" x14ac:dyDescent="0.25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87318.66</v>
      </c>
      <c r="E26" s="2"/>
      <c r="F26" s="6">
        <f t="shared" si="4"/>
        <v>0.12664139601221416</v>
      </c>
      <c r="G26" s="2"/>
      <c r="H26" s="2">
        <f>SUM(OSRRefH22_0x_0)</f>
        <v>75679.17</v>
      </c>
      <c r="I26" s="2"/>
      <c r="J26" s="6">
        <f t="shared" si="5"/>
        <v>1.4977462313497081</v>
      </c>
      <c r="K26" s="2"/>
      <c r="L26" s="2">
        <f t="shared" si="6"/>
        <v>11639.490000000005</v>
      </c>
      <c r="M26" s="2"/>
      <c r="N26" s="6">
        <f t="shared" si="7"/>
        <v>0.1538004446930378</v>
      </c>
      <c r="O26" s="14"/>
      <c r="P26" s="2">
        <f>SUM(OSRRefP22_0x_0)</f>
        <v>959266.1</v>
      </c>
      <c r="Q26" s="2"/>
      <c r="R26" s="6">
        <f t="shared" si="8"/>
        <v>8.2584698495536513E-2</v>
      </c>
      <c r="S26" s="2"/>
      <c r="T26" s="2">
        <f>SUM(OSRRefT22_0x_0)</f>
        <v>848883.86</v>
      </c>
      <c r="U26" s="2"/>
      <c r="V26" s="6">
        <f t="shared" si="9"/>
        <v>0.8558292567502308</v>
      </c>
      <c r="W26" s="2"/>
      <c r="X26" s="2">
        <f t="shared" si="10"/>
        <v>110382.23999999999</v>
      </c>
      <c r="Y26" s="2"/>
      <c r="Z26" s="6">
        <f t="shared" si="11"/>
        <v>0.13003220487664827</v>
      </c>
    </row>
    <row r="27" spans="1:26" s="69" customFormat="1" ht="15" hidden="1" customHeight="1" outlineLevel="2" x14ac:dyDescent="0.25">
      <c r="A27" s="25"/>
      <c r="B27" s="12" t="str">
        <f>CONCATENATE("          ","6111"," - ","F.I.C.A.")</f>
        <v xml:space="preserve">          6111 - F.I.C.A.</v>
      </c>
      <c r="C27" s="12"/>
      <c r="D27" s="7">
        <v>10858.49</v>
      </c>
      <c r="E27" s="3"/>
      <c r="F27" s="8">
        <f t="shared" si="4"/>
        <v>1.5748458945483899E-2</v>
      </c>
      <c r="G27" s="3"/>
      <c r="H27" s="7">
        <v>7100.5</v>
      </c>
      <c r="I27" s="3"/>
      <c r="J27" s="8">
        <f t="shared" si="5"/>
        <v>0.14052409818578351</v>
      </c>
      <c r="K27" s="3"/>
      <c r="L27" s="7">
        <f t="shared" si="6"/>
        <v>3757.99</v>
      </c>
      <c r="M27" s="3"/>
      <c r="N27" s="8">
        <f t="shared" si="7"/>
        <v>0.52925709457080483</v>
      </c>
      <c r="O27" s="12"/>
      <c r="P27" s="7">
        <v>134770.31</v>
      </c>
      <c r="Q27" s="3"/>
      <c r="R27" s="8">
        <f t="shared" si="8"/>
        <v>1.160258391024137E-2</v>
      </c>
      <c r="S27" s="3"/>
      <c r="T27" s="7">
        <v>89288.51</v>
      </c>
      <c r="U27" s="3"/>
      <c r="V27" s="8">
        <f t="shared" si="9"/>
        <v>9.0019050603265746E-2</v>
      </c>
      <c r="W27" s="3"/>
      <c r="X27" s="7">
        <f t="shared" si="10"/>
        <v>45481.8</v>
      </c>
      <c r="Y27" s="3"/>
      <c r="Z27" s="8">
        <f t="shared" si="11"/>
        <v>0.50938021028685554</v>
      </c>
    </row>
    <row r="28" spans="1:26" s="69" customFormat="1" ht="15" hidden="1" customHeight="1" outlineLevel="2" x14ac:dyDescent="0.25">
      <c r="A28" s="25"/>
      <c r="B28" s="12" t="str">
        <f>CONCATENATE("          ","6112"," - ","COMPENSATION INSURANCE")</f>
        <v xml:space="preserve">          6112 - COMPENSATION INSURANCE</v>
      </c>
      <c r="C28" s="12"/>
      <c r="D28" s="7">
        <v>11994.37</v>
      </c>
      <c r="E28" s="3"/>
      <c r="F28" s="8">
        <f t="shared" si="4"/>
        <v>1.7395866600415318E-2</v>
      </c>
      <c r="G28" s="3"/>
      <c r="H28" s="7">
        <v>6532.49</v>
      </c>
      <c r="I28" s="3"/>
      <c r="J28" s="8">
        <f t="shared" si="5"/>
        <v>0.12928276405290456</v>
      </c>
      <c r="K28" s="3"/>
      <c r="L28" s="7">
        <f t="shared" si="6"/>
        <v>5461.880000000001</v>
      </c>
      <c r="M28" s="3"/>
      <c r="N28" s="8">
        <f t="shared" si="7"/>
        <v>0.83610996725597764</v>
      </c>
      <c r="O28" s="12"/>
      <c r="P28" s="7">
        <v>89299.62</v>
      </c>
      <c r="Q28" s="3"/>
      <c r="R28" s="8">
        <f t="shared" si="8"/>
        <v>7.6879420563970534E-3</v>
      </c>
      <c r="S28" s="3"/>
      <c r="T28" s="7">
        <v>55307.93</v>
      </c>
      <c r="U28" s="3"/>
      <c r="V28" s="8">
        <f t="shared" si="9"/>
        <v>5.576044834247855E-2</v>
      </c>
      <c r="W28" s="3"/>
      <c r="X28" s="7">
        <f t="shared" si="10"/>
        <v>33991.689999999995</v>
      </c>
      <c r="Y28" s="3"/>
      <c r="Z28" s="8">
        <f t="shared" si="11"/>
        <v>0.61458980656119289</v>
      </c>
    </row>
    <row r="29" spans="1:26" s="69" customFormat="1" ht="15" hidden="1" customHeight="1" outlineLevel="2" x14ac:dyDescent="0.25">
      <c r="A29" s="25"/>
      <c r="B29" s="12" t="str">
        <f>CONCATENATE("          ","6113"," - ","GROUP INSURANCE")</f>
        <v xml:space="preserve">          6113 - GROUP INSURANCE</v>
      </c>
      <c r="C29" s="12"/>
      <c r="D29" s="7">
        <v>42149.23</v>
      </c>
      <c r="E29" s="3"/>
      <c r="F29" s="8">
        <f t="shared" si="4"/>
        <v>6.1130545613502285E-2</v>
      </c>
      <c r="G29" s="3"/>
      <c r="H29" s="7">
        <v>44830.89</v>
      </c>
      <c r="I29" s="3"/>
      <c r="J29" s="8">
        <f t="shared" si="5"/>
        <v>0.88723616479347367</v>
      </c>
      <c r="K29" s="3"/>
      <c r="L29" s="7">
        <f t="shared" si="6"/>
        <v>-2681.6599999999962</v>
      </c>
      <c r="M29" s="3"/>
      <c r="N29" s="8">
        <f t="shared" si="7"/>
        <v>-5.9817237623433224E-2</v>
      </c>
      <c r="O29" s="12"/>
      <c r="P29" s="7">
        <v>468676.45</v>
      </c>
      <c r="Q29" s="3"/>
      <c r="R29" s="8">
        <f t="shared" si="8"/>
        <v>4.0349078650030887E-2</v>
      </c>
      <c r="S29" s="3"/>
      <c r="T29" s="7">
        <v>493517.74</v>
      </c>
      <c r="U29" s="3"/>
      <c r="V29" s="8">
        <f t="shared" si="9"/>
        <v>0.49755560273846372</v>
      </c>
      <c r="W29" s="3"/>
      <c r="X29" s="7">
        <f t="shared" si="10"/>
        <v>-24841.289999999979</v>
      </c>
      <c r="Y29" s="3"/>
      <c r="Z29" s="8">
        <f t="shared" si="11"/>
        <v>-5.0335151072786119E-2</v>
      </c>
    </row>
    <row r="30" spans="1:26" s="69" customFormat="1" ht="15" hidden="1" customHeight="1" outlineLevel="2" x14ac:dyDescent="0.25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7">
        <v>866.25</v>
      </c>
      <c r="E30" s="3"/>
      <c r="F30" s="8">
        <f t="shared" si="4"/>
        <v>1.2563535594291128E-3</v>
      </c>
      <c r="G30" s="3"/>
      <c r="H30" s="7">
        <v>395.91</v>
      </c>
      <c r="I30" s="3"/>
      <c r="J30" s="8">
        <f t="shared" si="5"/>
        <v>7.8353490194681442E-3</v>
      </c>
      <c r="K30" s="3"/>
      <c r="L30" s="7">
        <f t="shared" si="6"/>
        <v>470.34</v>
      </c>
      <c r="M30" s="3"/>
      <c r="N30" s="8">
        <f t="shared" si="7"/>
        <v>1.1879972721072969</v>
      </c>
      <c r="O30" s="12"/>
      <c r="P30" s="7">
        <v>6449.37</v>
      </c>
      <c r="Q30" s="3"/>
      <c r="R30" s="8">
        <f t="shared" si="8"/>
        <v>5.5523621332616497E-4</v>
      </c>
      <c r="S30" s="3"/>
      <c r="T30" s="7">
        <v>3440.41</v>
      </c>
      <c r="U30" s="3"/>
      <c r="V30" s="8">
        <f t="shared" si="9"/>
        <v>3.4685587416116753E-3</v>
      </c>
      <c r="W30" s="3"/>
      <c r="X30" s="7">
        <f t="shared" si="10"/>
        <v>3008.96</v>
      </c>
      <c r="Y30" s="3"/>
      <c r="Z30" s="8">
        <f t="shared" si="11"/>
        <v>0.87459343508477194</v>
      </c>
    </row>
    <row r="31" spans="1:26" s="69" customFormat="1" ht="15" hidden="1" customHeight="1" outlineLevel="2" x14ac:dyDescent="0.25">
      <c r="A31" s="25"/>
      <c r="B31" s="12" t="str">
        <f>CONCATENATE("          ","6115"," - ","P.E.R.S.")</f>
        <v xml:space="preserve">          6115 - P.E.R.S.</v>
      </c>
      <c r="C31" s="12"/>
      <c r="D31" s="7">
        <v>3898.96</v>
      </c>
      <c r="E31" s="3"/>
      <c r="F31" s="8">
        <f t="shared" si="4"/>
        <v>5.6548020479904575E-3</v>
      </c>
      <c r="G31" s="3"/>
      <c r="H31" s="7">
        <v>3594.33</v>
      </c>
      <c r="I31" s="3"/>
      <c r="J31" s="8">
        <f t="shared" si="5"/>
        <v>7.113442459433944E-2</v>
      </c>
      <c r="K31" s="3"/>
      <c r="L31" s="7">
        <f t="shared" si="6"/>
        <v>304.63000000000011</v>
      </c>
      <c r="M31" s="3"/>
      <c r="N31" s="8">
        <f t="shared" si="7"/>
        <v>8.4752930309682228E-2</v>
      </c>
      <c r="O31" s="12"/>
      <c r="P31" s="7">
        <v>46773.38</v>
      </c>
      <c r="Q31" s="3"/>
      <c r="R31" s="8">
        <f t="shared" si="8"/>
        <v>4.0267924457219502E-3</v>
      </c>
      <c r="S31" s="3"/>
      <c r="T31" s="7">
        <v>43333.01</v>
      </c>
      <c r="U31" s="3"/>
      <c r="V31" s="8">
        <f t="shared" si="9"/>
        <v>4.3687551959169443E-2</v>
      </c>
      <c r="W31" s="3"/>
      <c r="X31" s="7">
        <f t="shared" si="10"/>
        <v>3440.3699999999953</v>
      </c>
      <c r="Y31" s="3"/>
      <c r="Z31" s="8">
        <f t="shared" si="11"/>
        <v>7.939374624564495E-2</v>
      </c>
    </row>
    <row r="32" spans="1:26" s="69" customFormat="1" ht="15" hidden="1" customHeight="1" outlineLevel="2" x14ac:dyDescent="0.25">
      <c r="A32" s="25"/>
      <c r="B32" s="12" t="str">
        <f>CONCATENATE("          ","6117"," - ","RETIREMENT STAFF HOURLY")</f>
        <v xml:space="preserve">          6117 - RETIREMENT STAFF HOURLY</v>
      </c>
      <c r="C32" s="12"/>
      <c r="D32" s="7">
        <v>1516.13</v>
      </c>
      <c r="E32" s="3"/>
      <c r="F32" s="8">
        <f t="shared" si="4"/>
        <v>2.1988979186808207E-3</v>
      </c>
      <c r="G32" s="3"/>
      <c r="H32" s="7">
        <v>1429.07</v>
      </c>
      <c r="I32" s="3"/>
      <c r="J32" s="8">
        <f t="shared" si="5"/>
        <v>2.8282342510296123E-2</v>
      </c>
      <c r="K32" s="3"/>
      <c r="L32" s="7">
        <f t="shared" si="6"/>
        <v>87.060000000000173</v>
      </c>
      <c r="M32" s="3"/>
      <c r="N32" s="8">
        <f t="shared" si="7"/>
        <v>6.0920738662207014E-2</v>
      </c>
      <c r="O32" s="12"/>
      <c r="P32" s="7">
        <v>18398.14</v>
      </c>
      <c r="Q32" s="3"/>
      <c r="R32" s="8">
        <f t="shared" si="8"/>
        <v>1.5839242570738923E-3</v>
      </c>
      <c r="S32" s="3"/>
      <c r="T32" s="7">
        <v>16831.96</v>
      </c>
      <c r="U32" s="3"/>
      <c r="V32" s="8">
        <f t="shared" si="9"/>
        <v>1.696967570622631E-2</v>
      </c>
      <c r="W32" s="3"/>
      <c r="X32" s="7">
        <f t="shared" si="10"/>
        <v>1566.1800000000003</v>
      </c>
      <c r="Y32" s="3"/>
      <c r="Z32" s="8">
        <f t="shared" si="11"/>
        <v>9.3047987281338618E-2</v>
      </c>
    </row>
    <row r="33" spans="1:26" s="69" customFormat="1" ht="15" hidden="1" customHeight="1" outlineLevel="2" x14ac:dyDescent="0.25">
      <c r="A33" s="25"/>
      <c r="B33" s="12" t="str">
        <f>CONCATENATE("          ","6118"," - ","VACATION")</f>
        <v xml:space="preserve">          6118 - VACATION</v>
      </c>
      <c r="C33" s="12"/>
      <c r="D33" s="7">
        <v>7024.32</v>
      </c>
      <c r="E33" s="3"/>
      <c r="F33" s="8">
        <f t="shared" si="4"/>
        <v>1.0187624166890744E-2</v>
      </c>
      <c r="G33" s="3"/>
      <c r="H33" s="7">
        <v>6044.28</v>
      </c>
      <c r="I33" s="3"/>
      <c r="J33" s="8">
        <f t="shared" si="5"/>
        <v>0.11962073039678439</v>
      </c>
      <c r="K33" s="3"/>
      <c r="L33" s="7">
        <f t="shared" si="6"/>
        <v>980.04</v>
      </c>
      <c r="M33" s="3"/>
      <c r="N33" s="8">
        <f t="shared" si="7"/>
        <v>0.162143381842006</v>
      </c>
      <c r="O33" s="12"/>
      <c r="P33" s="7">
        <v>88440.45</v>
      </c>
      <c r="Q33" s="3"/>
      <c r="R33" s="8">
        <f t="shared" si="8"/>
        <v>7.6139747855778197E-3</v>
      </c>
      <c r="S33" s="3"/>
      <c r="T33" s="7">
        <v>73034.73</v>
      </c>
      <c r="U33" s="3"/>
      <c r="V33" s="8">
        <f t="shared" si="9"/>
        <v>7.3632285449335533E-2</v>
      </c>
      <c r="W33" s="3"/>
      <c r="X33" s="7">
        <f t="shared" si="10"/>
        <v>15405.720000000001</v>
      </c>
      <c r="Y33" s="3"/>
      <c r="Z33" s="8">
        <f t="shared" si="11"/>
        <v>0.21093690631840498</v>
      </c>
    </row>
    <row r="34" spans="1:26" s="69" customFormat="1" ht="15" hidden="1" customHeight="1" outlineLevel="2" x14ac:dyDescent="0.25">
      <c r="A34" s="25"/>
      <c r="B34" s="12" t="str">
        <f>CONCATENATE("          ","6119"," - ","SICK LEAVE")</f>
        <v xml:space="preserve">          6119 - SICK LEAVE</v>
      </c>
      <c r="C34" s="12"/>
      <c r="D34" s="7">
        <v>5420.16</v>
      </c>
      <c r="E34" s="3"/>
      <c r="F34" s="8">
        <f t="shared" si="4"/>
        <v>7.8610531701879365E-3</v>
      </c>
      <c r="G34" s="3"/>
      <c r="H34" s="7">
        <v>3942.3</v>
      </c>
      <c r="I34" s="3"/>
      <c r="J34" s="8">
        <f t="shared" si="5"/>
        <v>7.8021005883784855E-2</v>
      </c>
      <c r="K34" s="3"/>
      <c r="L34" s="7">
        <f t="shared" si="6"/>
        <v>1477.8599999999997</v>
      </c>
      <c r="M34" s="3"/>
      <c r="N34" s="8">
        <f t="shared" si="7"/>
        <v>0.37487253633665618</v>
      </c>
      <c r="O34" s="12"/>
      <c r="P34" s="7">
        <v>68729.48</v>
      </c>
      <c r="Q34" s="3"/>
      <c r="R34" s="8">
        <f t="shared" si="8"/>
        <v>5.9170269683823983E-3</v>
      </c>
      <c r="S34" s="3"/>
      <c r="T34" s="7">
        <v>49291.76</v>
      </c>
      <c r="U34" s="3"/>
      <c r="V34" s="8">
        <f t="shared" si="9"/>
        <v>4.9695055251387107E-2</v>
      </c>
      <c r="W34" s="3"/>
      <c r="X34" s="7">
        <f t="shared" si="10"/>
        <v>19437.719999999994</v>
      </c>
      <c r="Y34" s="3"/>
      <c r="Z34" s="8">
        <f t="shared" si="11"/>
        <v>0.39434014934747702</v>
      </c>
    </row>
    <row r="35" spans="1:26" s="69" customFormat="1" ht="15" hidden="1" customHeight="1" outlineLevel="2" x14ac:dyDescent="0.25">
      <c r="A35" s="25"/>
      <c r="B35" s="12" t="str">
        <f>CONCATENATE("          ","6156"," - ","EMPLOYEE MEALS")</f>
        <v xml:space="preserve">          6156 - EMPLOYEE MEALS</v>
      </c>
      <c r="C35" s="12"/>
      <c r="D35" s="7">
        <v>3590.75</v>
      </c>
      <c r="E35" s="3"/>
      <c r="F35" s="8">
        <f t="shared" si="4"/>
        <v>5.2077939896335778E-3</v>
      </c>
      <c r="G35" s="3"/>
      <c r="H35" s="7">
        <v>1809.4</v>
      </c>
      <c r="I35" s="3"/>
      <c r="J35" s="8">
        <f t="shared" si="5"/>
        <v>3.580935191287328E-2</v>
      </c>
      <c r="K35" s="3"/>
      <c r="L35" s="7">
        <f t="shared" si="6"/>
        <v>1781.35</v>
      </c>
      <c r="M35" s="3"/>
      <c r="N35" s="8">
        <f t="shared" si="7"/>
        <v>0.9844976235216093</v>
      </c>
      <c r="O35" s="12"/>
      <c r="P35" s="7">
        <v>37728.9</v>
      </c>
      <c r="Q35" s="3"/>
      <c r="R35" s="8">
        <f t="shared" si="8"/>
        <v>3.2481392087849738E-3</v>
      </c>
      <c r="S35" s="3"/>
      <c r="T35" s="7">
        <v>24837.81</v>
      </c>
      <c r="U35" s="3"/>
      <c r="V35" s="8">
        <f t="shared" si="9"/>
        <v>2.504102795829273E-2</v>
      </c>
      <c r="W35" s="3"/>
      <c r="X35" s="7">
        <f t="shared" si="10"/>
        <v>12891.09</v>
      </c>
      <c r="Y35" s="3"/>
      <c r="Z35" s="8">
        <f t="shared" si="11"/>
        <v>0.5190107340381459</v>
      </c>
    </row>
    <row r="36" spans="1:26" s="68" customFormat="1" ht="15" customHeight="1" outlineLevel="1" collapsed="1" x14ac:dyDescent="0.25">
      <c r="A36" s="26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183728.09</v>
      </c>
      <c r="E36" s="2"/>
      <c r="F36" s="6">
        <f t="shared" si="4"/>
        <v>0.26646746301715718</v>
      </c>
      <c r="G36" s="2"/>
      <c r="H36" s="2">
        <f>SUM(OSRRefH22_1x_0)</f>
        <v>89885.39</v>
      </c>
      <c r="I36" s="2"/>
      <c r="J36" s="6">
        <f t="shared" si="5"/>
        <v>1.7788977353464466</v>
      </c>
      <c r="K36" s="2"/>
      <c r="L36" s="2">
        <f t="shared" si="6"/>
        <v>93842.7</v>
      </c>
      <c r="M36" s="2"/>
      <c r="N36" s="6">
        <f t="shared" si="7"/>
        <v>1.0440261760003489</v>
      </c>
      <c r="O36" s="14"/>
      <c r="P36" s="2">
        <f>SUM(OSRRefP22_1x_0)</f>
        <v>2556538.1799999997</v>
      </c>
      <c r="Q36" s="2"/>
      <c r="R36" s="6">
        <f t="shared" si="8"/>
        <v>0.22009631611877833</v>
      </c>
      <c r="S36" s="2"/>
      <c r="T36" s="2">
        <f>SUM(OSRRefT22_1x_0)</f>
        <v>1158106.5699999998</v>
      </c>
      <c r="U36" s="2"/>
      <c r="V36" s="6">
        <f t="shared" si="9"/>
        <v>1.1675819646761325</v>
      </c>
      <c r="W36" s="2"/>
      <c r="X36" s="2">
        <f t="shared" si="10"/>
        <v>1398431.6099999999</v>
      </c>
      <c r="Y36" s="2"/>
      <c r="Z36" s="6">
        <f t="shared" si="11"/>
        <v>1.2075154793396949</v>
      </c>
    </row>
    <row r="37" spans="1:26" s="69" customFormat="1" ht="15" hidden="1" customHeight="1" outlineLevel="2" x14ac:dyDescent="0.25">
      <c r="A37" s="25"/>
      <c r="B37" s="12" t="str">
        <f>CONCATENATE("          ","6001"," - ","ADMINISTRATIVE SALARIES")</f>
        <v xml:space="preserve">          6001 - ADMINISTRATIVE SALARIES</v>
      </c>
      <c r="C37" s="12"/>
      <c r="D37" s="7">
        <v>9317.92</v>
      </c>
      <c r="E37" s="3"/>
      <c r="F37" s="8">
        <f t="shared" si="4"/>
        <v>1.3514114814979186E-2</v>
      </c>
      <c r="G37" s="3"/>
      <c r="H37" s="7">
        <v>8959.5400000000009</v>
      </c>
      <c r="I37" s="3"/>
      <c r="J37" s="8">
        <f t="shared" si="5"/>
        <v>0.17731586207442504</v>
      </c>
      <c r="K37" s="3"/>
      <c r="L37" s="7">
        <f t="shared" si="6"/>
        <v>358.3799999999992</v>
      </c>
      <c r="M37" s="3"/>
      <c r="N37" s="8">
        <f t="shared" si="7"/>
        <v>3.9999821419403135E-2</v>
      </c>
      <c r="O37" s="12"/>
      <c r="P37" s="7">
        <v>103733.48</v>
      </c>
      <c r="Q37" s="3"/>
      <c r="R37" s="8">
        <f t="shared" si="8"/>
        <v>8.9305753322177928E-3</v>
      </c>
      <c r="S37" s="3"/>
      <c r="T37" s="7">
        <v>100123.86</v>
      </c>
      <c r="U37" s="3"/>
      <c r="V37" s="8">
        <f t="shared" si="9"/>
        <v>0.1009430532543806</v>
      </c>
      <c r="W37" s="3"/>
      <c r="X37" s="7">
        <f t="shared" si="10"/>
        <v>3609.6199999999953</v>
      </c>
      <c r="Y37" s="3"/>
      <c r="Z37" s="8">
        <f t="shared" si="11"/>
        <v>3.6051546554437625E-2</v>
      </c>
    </row>
    <row r="38" spans="1:26" s="69" customFormat="1" ht="15" hidden="1" customHeight="1" outlineLevel="2" x14ac:dyDescent="0.25">
      <c r="A38" s="25"/>
      <c r="B38" s="12" t="str">
        <f>CONCATENATE("          ","6002"," - ","STAFF SALARIES")</f>
        <v xml:space="preserve">          6002 - STAFF SALARIES</v>
      </c>
      <c r="C38" s="12"/>
      <c r="D38" s="7">
        <v>34111.620000000003</v>
      </c>
      <c r="E38" s="3"/>
      <c r="F38" s="8">
        <f t="shared" si="4"/>
        <v>4.9473310481839332E-2</v>
      </c>
      <c r="G38" s="3"/>
      <c r="H38" s="7">
        <v>26766.45</v>
      </c>
      <c r="I38" s="3"/>
      <c r="J38" s="8">
        <f t="shared" si="5"/>
        <v>0.52972765972605662</v>
      </c>
      <c r="K38" s="3"/>
      <c r="L38" s="7">
        <f t="shared" si="6"/>
        <v>7345.1700000000019</v>
      </c>
      <c r="M38" s="3"/>
      <c r="N38" s="8">
        <f t="shared" si="7"/>
        <v>0.27441704073569717</v>
      </c>
      <c r="O38" s="12"/>
      <c r="P38" s="7">
        <v>411352.01</v>
      </c>
      <c r="Q38" s="3"/>
      <c r="R38" s="8">
        <f t="shared" si="8"/>
        <v>3.5413929170834788E-2</v>
      </c>
      <c r="S38" s="3"/>
      <c r="T38" s="7">
        <v>317129.09000000003</v>
      </c>
      <c r="U38" s="3"/>
      <c r="V38" s="8">
        <f t="shared" si="9"/>
        <v>0.31972377633446475</v>
      </c>
      <c r="W38" s="3"/>
      <c r="X38" s="7">
        <f t="shared" si="10"/>
        <v>94222.919999999984</v>
      </c>
      <c r="Y38" s="3"/>
      <c r="Z38" s="8">
        <f t="shared" si="11"/>
        <v>0.29711219491091145</v>
      </c>
    </row>
    <row r="39" spans="1:26" s="69" customFormat="1" ht="15" hidden="1" customHeight="1" outlineLevel="2" x14ac:dyDescent="0.25">
      <c r="A39" s="25"/>
      <c r="B39" s="12" t="str">
        <f>CONCATENATE("          ","6004"," - ","STAFF HOURLY")</f>
        <v xml:space="preserve">          6004 - STAFF HOURLY</v>
      </c>
      <c r="C39" s="12"/>
      <c r="D39" s="7">
        <v>71659.09</v>
      </c>
      <c r="E39" s="3"/>
      <c r="F39" s="8">
        <f t="shared" si="4"/>
        <v>0.10392975790701431</v>
      </c>
      <c r="G39" s="3"/>
      <c r="H39" s="7">
        <v>42244.51</v>
      </c>
      <c r="I39" s="3"/>
      <c r="J39" s="8">
        <f t="shared" si="5"/>
        <v>0.83604980931628947</v>
      </c>
      <c r="K39" s="3"/>
      <c r="L39" s="7">
        <f t="shared" si="6"/>
        <v>29414.579999999994</v>
      </c>
      <c r="M39" s="3"/>
      <c r="N39" s="8">
        <f t="shared" si="7"/>
        <v>0.69629355388427971</v>
      </c>
      <c r="O39" s="12"/>
      <c r="P39" s="7">
        <v>853290.6</v>
      </c>
      <c r="Q39" s="3"/>
      <c r="R39" s="8">
        <f t="shared" si="8"/>
        <v>7.3461104202551766E-2</v>
      </c>
      <c r="S39" s="3"/>
      <c r="T39" s="7">
        <v>504692.67</v>
      </c>
      <c r="U39" s="3"/>
      <c r="V39" s="8">
        <f t="shared" si="9"/>
        <v>0.50882196376473632</v>
      </c>
      <c r="W39" s="3"/>
      <c r="X39" s="7">
        <f t="shared" si="10"/>
        <v>348597.93</v>
      </c>
      <c r="Y39" s="3"/>
      <c r="Z39" s="8">
        <f t="shared" si="11"/>
        <v>0.69071328101515717</v>
      </c>
    </row>
    <row r="40" spans="1:26" s="69" customFormat="1" ht="15" hidden="1" customHeight="1" outlineLevel="2" x14ac:dyDescent="0.25">
      <c r="A40" s="25"/>
      <c r="B40" s="12" t="str">
        <f>CONCATENATE("          ","6005"," - ","TEMPORARY WAGES-HOURLY")</f>
        <v xml:space="preserve">          6005 - TEMPORARY WAGES-HOURLY</v>
      </c>
      <c r="C40" s="12"/>
      <c r="D40" s="7">
        <v>13539.61</v>
      </c>
      <c r="E40" s="3"/>
      <c r="F40" s="8">
        <f t="shared" si="4"/>
        <v>1.9636983800036954E-2</v>
      </c>
      <c r="G40" s="3"/>
      <c r="H40" s="7">
        <v>6092.92</v>
      </c>
      <c r="I40" s="3"/>
      <c r="J40" s="8">
        <f t="shared" si="5"/>
        <v>0.12058335163976115</v>
      </c>
      <c r="K40" s="3"/>
      <c r="L40" s="7">
        <f t="shared" si="6"/>
        <v>7446.6900000000005</v>
      </c>
      <c r="M40" s="3"/>
      <c r="N40" s="8">
        <f t="shared" si="7"/>
        <v>1.2221873912672414</v>
      </c>
      <c r="O40" s="12"/>
      <c r="P40" s="7">
        <v>383341.09</v>
      </c>
      <c r="Q40" s="3"/>
      <c r="R40" s="8">
        <f t="shared" si="8"/>
        <v>3.3002425853056128E-2</v>
      </c>
      <c r="S40" s="3"/>
      <c r="T40" s="7">
        <v>106066.99</v>
      </c>
      <c r="U40" s="3"/>
      <c r="V40" s="8">
        <f t="shared" si="9"/>
        <v>0.10693480874690464</v>
      </c>
      <c r="W40" s="3"/>
      <c r="X40" s="7">
        <f t="shared" si="10"/>
        <v>277274.10000000003</v>
      </c>
      <c r="Y40" s="3"/>
      <c r="Z40" s="8">
        <f t="shared" si="11"/>
        <v>2.6141413082430267</v>
      </c>
    </row>
    <row r="41" spans="1:26" s="69" customFormat="1" ht="15" hidden="1" customHeight="1" outlineLevel="2" x14ac:dyDescent="0.25">
      <c r="A41" s="25"/>
      <c r="B41" s="12" t="str">
        <f>CONCATENATE("          ","6006"," - ","TEMPORARY PART TIME")</f>
        <v xml:space="preserve">          6006 - TEMPORARY PART TIME</v>
      </c>
      <c r="C41" s="12"/>
      <c r="D41" s="7">
        <v>1994.5</v>
      </c>
      <c r="E41" s="3"/>
      <c r="F41" s="8">
        <f t="shared" si="4"/>
        <v>2.8926951506855593E-3</v>
      </c>
      <c r="G41" s="3"/>
      <c r="H41" s="7">
        <v>252.7</v>
      </c>
      <c r="I41" s="3"/>
      <c r="J41" s="8">
        <f t="shared" si="5"/>
        <v>5.0011181764027168E-3</v>
      </c>
      <c r="K41" s="3"/>
      <c r="L41" s="7">
        <f t="shared" si="6"/>
        <v>1741.8</v>
      </c>
      <c r="M41" s="3"/>
      <c r="N41" s="8">
        <f t="shared" si="7"/>
        <v>6.8927582113177683</v>
      </c>
      <c r="O41" s="12"/>
      <c r="P41" s="7">
        <v>9198.2199999999993</v>
      </c>
      <c r="Q41" s="3"/>
      <c r="R41" s="8">
        <f t="shared" si="8"/>
        <v>7.9188895072557425E-4</v>
      </c>
      <c r="S41" s="3"/>
      <c r="T41" s="7">
        <v>2427.2199999999998</v>
      </c>
      <c r="U41" s="3"/>
      <c r="V41" s="8">
        <f t="shared" si="9"/>
        <v>2.4470790251204626E-3</v>
      </c>
      <c r="W41" s="3"/>
      <c r="X41" s="7">
        <f t="shared" si="10"/>
        <v>6771</v>
      </c>
      <c r="Y41" s="3"/>
      <c r="Z41" s="8">
        <f t="shared" si="11"/>
        <v>2.7896111600926163</v>
      </c>
    </row>
    <row r="42" spans="1:26" s="69" customFormat="1" ht="15" hidden="1" customHeight="1" outlineLevel="2" x14ac:dyDescent="0.25">
      <c r="A42" s="25"/>
      <c r="B42" s="12" t="str">
        <f>CONCATENATE("          ","6007"," - ","STUDENT HOURLY")</f>
        <v xml:space="preserve">          6007 - STUDENT HOURLY</v>
      </c>
      <c r="C42" s="12"/>
      <c r="D42" s="7">
        <v>35079.32</v>
      </c>
      <c r="E42" s="3"/>
      <c r="F42" s="8">
        <f t="shared" si="4"/>
        <v>5.0876800628401581E-2</v>
      </c>
      <c r="G42" s="3"/>
      <c r="H42" s="7">
        <v>5569.27</v>
      </c>
      <c r="I42" s="3"/>
      <c r="J42" s="8">
        <f t="shared" si="5"/>
        <v>0.11021993441351152</v>
      </c>
      <c r="K42" s="3"/>
      <c r="L42" s="7">
        <f t="shared" si="6"/>
        <v>29510.05</v>
      </c>
      <c r="M42" s="3"/>
      <c r="N42" s="8">
        <f t="shared" si="7"/>
        <v>5.2987285586800423</v>
      </c>
      <c r="O42" s="12"/>
      <c r="P42" s="7">
        <v>554887.56999999995</v>
      </c>
      <c r="Q42" s="3"/>
      <c r="R42" s="8">
        <f t="shared" si="8"/>
        <v>4.7771126976519765E-2</v>
      </c>
      <c r="S42" s="3"/>
      <c r="T42" s="7">
        <v>117035.86</v>
      </c>
      <c r="U42" s="3"/>
      <c r="V42" s="8">
        <f t="shared" si="9"/>
        <v>0.11799342383176431</v>
      </c>
      <c r="W42" s="3"/>
      <c r="X42" s="7">
        <f t="shared" si="10"/>
        <v>437851.70999999996</v>
      </c>
      <c r="Y42" s="3"/>
      <c r="Z42" s="8">
        <f t="shared" si="11"/>
        <v>3.7411756533424878</v>
      </c>
    </row>
    <row r="43" spans="1:26" s="69" customFormat="1" ht="15" hidden="1" customHeight="1" outlineLevel="2" x14ac:dyDescent="0.25">
      <c r="A43" s="25"/>
      <c r="B43" s="12" t="str">
        <f>CONCATENATE("          ","6008"," - ","STUDENT HOURLY-FICA EXEMPT")</f>
        <v xml:space="preserve">          6008 - STUDENT HOURLY-FICA EXEMPT</v>
      </c>
      <c r="C43" s="12"/>
      <c r="D43" s="7">
        <v>18026.03</v>
      </c>
      <c r="E43" s="3"/>
      <c r="F43" s="8">
        <f t="shared" si="4"/>
        <v>2.6143800234200255E-2</v>
      </c>
      <c r="G43" s="3"/>
      <c r="H43" s="7"/>
      <c r="I43" s="3"/>
      <c r="J43" s="8">
        <f t="shared" si="5"/>
        <v>0</v>
      </c>
      <c r="K43" s="3"/>
      <c r="L43" s="7">
        <f t="shared" si="6"/>
        <v>18026.03</v>
      </c>
      <c r="M43" s="3"/>
      <c r="N43" s="8">
        <f t="shared" si="7"/>
        <v>0</v>
      </c>
      <c r="O43" s="12"/>
      <c r="P43" s="7">
        <v>240735.21</v>
      </c>
      <c r="Q43" s="3"/>
      <c r="R43" s="8">
        <f t="shared" si="8"/>
        <v>2.0725265632872532E-2</v>
      </c>
      <c r="S43" s="3"/>
      <c r="T43" s="7">
        <v>10630.88</v>
      </c>
      <c r="U43" s="3"/>
      <c r="V43" s="8">
        <f t="shared" si="9"/>
        <v>1.0717859718761638E-2</v>
      </c>
      <c r="W43" s="3"/>
      <c r="X43" s="7">
        <f t="shared" si="10"/>
        <v>230104.33</v>
      </c>
      <c r="Y43" s="3"/>
      <c r="Z43" s="8">
        <f t="shared" si="11"/>
        <v>21.644899575576058</v>
      </c>
    </row>
    <row r="44" spans="1:26" s="68" customFormat="1" ht="15" customHeight="1" outlineLevel="1" collapsed="1" x14ac:dyDescent="0.25">
      <c r="A44" s="26"/>
      <c r="B44" s="14" t="str">
        <f>CONCATENATE("     ","Advertising/Promo                                 ")</f>
        <v xml:space="preserve">     Advertising/Promo                                 </v>
      </c>
      <c r="C44" s="14"/>
      <c r="D44" s="2">
        <f>SUM(OSRRefD22_2x_0)</f>
        <v>1356.26</v>
      </c>
      <c r="E44" s="2"/>
      <c r="F44" s="6">
        <f t="shared" si="4"/>
        <v>1.9670327024661803E-3</v>
      </c>
      <c r="G44" s="2"/>
      <c r="H44" s="2">
        <f>SUM(OSRRefH22_2x_0)</f>
        <v>0</v>
      </c>
      <c r="I44" s="2"/>
      <c r="J44" s="6">
        <f t="shared" si="5"/>
        <v>0</v>
      </c>
      <c r="K44" s="2"/>
      <c r="L44" s="2">
        <f t="shared" si="6"/>
        <v>1356.26</v>
      </c>
      <c r="M44" s="2"/>
      <c r="N44" s="6">
        <f t="shared" si="7"/>
        <v>0</v>
      </c>
      <c r="O44" s="14"/>
      <c r="P44" s="2">
        <f>SUM(OSRRefP22_2x_0)</f>
        <v>5191.41</v>
      </c>
      <c r="Q44" s="2"/>
      <c r="R44" s="6">
        <f t="shared" si="8"/>
        <v>4.46936496157545E-4</v>
      </c>
      <c r="S44" s="2"/>
      <c r="T44" s="2">
        <f>SUM(OSRRefT22_2x_0)</f>
        <v>1567.93</v>
      </c>
      <c r="U44" s="2"/>
      <c r="V44" s="6">
        <f t="shared" si="9"/>
        <v>1.5807584874288805E-3</v>
      </c>
      <c r="W44" s="2"/>
      <c r="X44" s="2">
        <f t="shared" si="10"/>
        <v>3623.4799999999996</v>
      </c>
      <c r="Y44" s="2"/>
      <c r="Z44" s="6">
        <f t="shared" si="11"/>
        <v>2.3109960266083305</v>
      </c>
    </row>
    <row r="45" spans="1:26" s="69" customFormat="1" ht="15" hidden="1" customHeight="1" outlineLevel="2" x14ac:dyDescent="0.25">
      <c r="A45" s="25"/>
      <c r="B45" s="12" t="str">
        <f>CONCATENATE("          ","6362"," - ","ADVERTISING EXPENSE")</f>
        <v xml:space="preserve">          6362 - ADVERTISING EXPENSE</v>
      </c>
      <c r="C45" s="12"/>
      <c r="D45" s="7">
        <v>1356.26</v>
      </c>
      <c r="E45" s="3"/>
      <c r="F45" s="8">
        <f t="shared" si="4"/>
        <v>1.9670327024661803E-3</v>
      </c>
      <c r="G45" s="3"/>
      <c r="H45" s="7"/>
      <c r="I45" s="3"/>
      <c r="J45" s="8">
        <f t="shared" si="5"/>
        <v>0</v>
      </c>
      <c r="K45" s="3"/>
      <c r="L45" s="7">
        <f t="shared" si="6"/>
        <v>1356.26</v>
      </c>
      <c r="M45" s="3"/>
      <c r="N45" s="8">
        <f t="shared" si="7"/>
        <v>0</v>
      </c>
      <c r="O45" s="12"/>
      <c r="P45" s="7">
        <v>5191.41</v>
      </c>
      <c r="Q45" s="3"/>
      <c r="R45" s="8">
        <f t="shared" si="8"/>
        <v>4.46936496157545E-4</v>
      </c>
      <c r="S45" s="3"/>
      <c r="T45" s="7">
        <v>1567.93</v>
      </c>
      <c r="U45" s="3"/>
      <c r="V45" s="8">
        <f t="shared" si="9"/>
        <v>1.5807584874288805E-3</v>
      </c>
      <c r="W45" s="3"/>
      <c r="X45" s="7">
        <f t="shared" si="10"/>
        <v>3623.4799999999996</v>
      </c>
      <c r="Y45" s="3"/>
      <c r="Z45" s="8">
        <f t="shared" si="11"/>
        <v>2.3109960266083305</v>
      </c>
    </row>
    <row r="46" spans="1:26" s="68" customFormat="1" ht="15" customHeight="1" outlineLevel="1" collapsed="1" x14ac:dyDescent="0.25">
      <c r="A46" s="26"/>
      <c r="B46" s="14" t="str">
        <f>CONCATENATE("     ","Bad Debts/Over/Short                              ")</f>
        <v xml:space="preserve">     Bad Debts/Over/Short                              </v>
      </c>
      <c r="C46" s="14"/>
      <c r="D46" s="2">
        <f>SUM(OSRRefD22_3x_0)</f>
        <v>8</v>
      </c>
      <c r="E46" s="2"/>
      <c r="F46" s="6">
        <f t="shared" si="4"/>
        <v>1.1602687994727739E-5</v>
      </c>
      <c r="G46" s="2"/>
      <c r="H46" s="2">
        <f>SUM(OSRRefH22_3x_0)</f>
        <v>0</v>
      </c>
      <c r="I46" s="2"/>
      <c r="J46" s="6">
        <f t="shared" si="5"/>
        <v>0</v>
      </c>
      <c r="K46" s="2"/>
      <c r="L46" s="2">
        <f t="shared" si="6"/>
        <v>8</v>
      </c>
      <c r="M46" s="2"/>
      <c r="N46" s="6">
        <f t="shared" si="7"/>
        <v>0</v>
      </c>
      <c r="O46" s="14"/>
      <c r="P46" s="2">
        <f>SUM(OSRRefP22_3x_0)</f>
        <v>-8</v>
      </c>
      <c r="Q46" s="2"/>
      <c r="R46" s="6">
        <f t="shared" si="8"/>
        <v>-6.8873234232325326E-7</v>
      </c>
      <c r="S46" s="2"/>
      <c r="T46" s="2">
        <f>SUM(OSRRefT22_3x_0)</f>
        <v>53.54</v>
      </c>
      <c r="U46" s="2"/>
      <c r="V46" s="6">
        <f t="shared" si="9"/>
        <v>5.3978053495336054E-5</v>
      </c>
      <c r="W46" s="2"/>
      <c r="X46" s="2">
        <f t="shared" si="10"/>
        <v>-61.54</v>
      </c>
      <c r="Y46" s="2"/>
      <c r="Z46" s="6">
        <f t="shared" si="11"/>
        <v>-1.1494209936496078</v>
      </c>
    </row>
    <row r="47" spans="1:26" s="69" customFormat="1" ht="15" hidden="1" customHeight="1" outlineLevel="2" x14ac:dyDescent="0.25">
      <c r="A47" s="25"/>
      <c r="B47" s="12" t="str">
        <f>CONCATENATE("          ","6272"," - ","CASH (OVER/SHORT)")</f>
        <v xml:space="preserve">          6272 - CASH (OVER/SHORT)</v>
      </c>
      <c r="C47" s="12"/>
      <c r="D47" s="7">
        <v>8</v>
      </c>
      <c r="E47" s="3"/>
      <c r="F47" s="8">
        <f t="shared" si="4"/>
        <v>1.1602687994727739E-5</v>
      </c>
      <c r="G47" s="3"/>
      <c r="H47" s="7"/>
      <c r="I47" s="3"/>
      <c r="J47" s="8">
        <f t="shared" si="5"/>
        <v>0</v>
      </c>
      <c r="K47" s="3"/>
      <c r="L47" s="7">
        <f t="shared" si="6"/>
        <v>8</v>
      </c>
      <c r="M47" s="3"/>
      <c r="N47" s="8">
        <f t="shared" si="7"/>
        <v>0</v>
      </c>
      <c r="O47" s="12"/>
      <c r="P47" s="7">
        <v>-8</v>
      </c>
      <c r="Q47" s="3"/>
      <c r="R47" s="8">
        <f t="shared" si="8"/>
        <v>-6.8873234232325326E-7</v>
      </c>
      <c r="S47" s="3"/>
      <c r="T47" s="7">
        <v>53.54</v>
      </c>
      <c r="U47" s="3"/>
      <c r="V47" s="8">
        <f t="shared" si="9"/>
        <v>5.3978053495336054E-5</v>
      </c>
      <c r="W47" s="3"/>
      <c r="X47" s="7">
        <f t="shared" si="10"/>
        <v>-61.54</v>
      </c>
      <c r="Y47" s="3"/>
      <c r="Z47" s="8">
        <f t="shared" si="11"/>
        <v>-1.1494209936496078</v>
      </c>
    </row>
    <row r="48" spans="1:26" s="68" customFormat="1" ht="15" customHeight="1" outlineLevel="1" collapsed="1" x14ac:dyDescent="0.25">
      <c r="A48" s="26"/>
      <c r="B48" s="14" t="str">
        <f>CONCATENATE("     ","Bank/card Fees                                    ")</f>
        <v xml:space="preserve">     Bank/card Fees                                    </v>
      </c>
      <c r="C48" s="14"/>
      <c r="D48" s="2">
        <f>SUM(OSRRefD22_4x_0)</f>
        <v>149.05000000000001</v>
      </c>
      <c r="E48" s="2"/>
      <c r="F48" s="6">
        <f t="shared" si="4"/>
        <v>2.1617258070177119E-4</v>
      </c>
      <c r="G48" s="2"/>
      <c r="H48" s="2">
        <f>SUM(OSRRefH22_4x_0)</f>
        <v>77.19</v>
      </c>
      <c r="I48" s="2"/>
      <c r="J48" s="6">
        <f t="shared" si="5"/>
        <v>1.5276466641730342E-3</v>
      </c>
      <c r="K48" s="2"/>
      <c r="L48" s="2">
        <f t="shared" si="6"/>
        <v>71.860000000000014</v>
      </c>
      <c r="M48" s="2"/>
      <c r="N48" s="6">
        <f t="shared" si="7"/>
        <v>0.93094960487109746</v>
      </c>
      <c r="O48" s="14"/>
      <c r="P48" s="2">
        <f>SUM(OSRRefP22_4x_0)</f>
        <v>1814.15</v>
      </c>
      <c r="Q48" s="2"/>
      <c r="R48" s="6">
        <f t="shared" si="8"/>
        <v>1.5618297235321624E-4</v>
      </c>
      <c r="S48" s="2"/>
      <c r="T48" s="2">
        <f>SUM(OSRRefT22_4x_0)</f>
        <v>423.53</v>
      </c>
      <c r="U48" s="2"/>
      <c r="V48" s="6">
        <f t="shared" si="9"/>
        <v>4.2699523714754721E-4</v>
      </c>
      <c r="W48" s="2"/>
      <c r="X48" s="2">
        <f t="shared" si="10"/>
        <v>1390.6200000000001</v>
      </c>
      <c r="Y48" s="2"/>
      <c r="Z48" s="6">
        <f t="shared" si="11"/>
        <v>3.2834037730503156</v>
      </c>
    </row>
    <row r="49" spans="1:26" s="69" customFormat="1" ht="15" hidden="1" customHeight="1" outlineLevel="2" x14ac:dyDescent="0.25">
      <c r="A49" s="25"/>
      <c r="B49" s="12" t="str">
        <f>CONCATENATE("          ","6381"," - ","BANK/CREDIT CARD FEES")</f>
        <v xml:space="preserve">          6381 - BANK/CREDIT CARD FEES</v>
      </c>
      <c r="C49" s="12"/>
      <c r="D49" s="7">
        <v>149.05000000000001</v>
      </c>
      <c r="E49" s="3"/>
      <c r="F49" s="8">
        <f t="shared" si="4"/>
        <v>2.1617258070177119E-4</v>
      </c>
      <c r="G49" s="3"/>
      <c r="H49" s="7">
        <v>77.19</v>
      </c>
      <c r="I49" s="3"/>
      <c r="J49" s="8">
        <f t="shared" si="5"/>
        <v>1.5276466641730342E-3</v>
      </c>
      <c r="K49" s="3"/>
      <c r="L49" s="7">
        <f t="shared" si="6"/>
        <v>71.860000000000014</v>
      </c>
      <c r="M49" s="3"/>
      <c r="N49" s="8">
        <f t="shared" si="7"/>
        <v>0.93094960487109746</v>
      </c>
      <c r="O49" s="12"/>
      <c r="P49" s="7">
        <v>1814.15</v>
      </c>
      <c r="Q49" s="3"/>
      <c r="R49" s="8">
        <f t="shared" si="8"/>
        <v>1.5618297235321624E-4</v>
      </c>
      <c r="S49" s="3"/>
      <c r="T49" s="7">
        <v>423.53</v>
      </c>
      <c r="U49" s="3"/>
      <c r="V49" s="8">
        <f t="shared" si="9"/>
        <v>4.2699523714754721E-4</v>
      </c>
      <c r="W49" s="3"/>
      <c r="X49" s="7">
        <f t="shared" si="10"/>
        <v>1390.6200000000001</v>
      </c>
      <c r="Y49" s="3"/>
      <c r="Z49" s="8">
        <f t="shared" si="11"/>
        <v>3.2834037730503156</v>
      </c>
    </row>
    <row r="50" spans="1:26" s="68" customFormat="1" ht="15" customHeight="1" outlineLevel="1" collapsed="1" x14ac:dyDescent="0.25">
      <c r="A50" s="26"/>
      <c r="B50" s="14" t="str">
        <f>CONCATENATE("     ","Depreciation                                      ")</f>
        <v xml:space="preserve">     Depreciation                                      </v>
      </c>
      <c r="C50" s="14"/>
      <c r="D50" s="2">
        <f>SUM(OSRRefD22_5x_0)</f>
        <v>760.04</v>
      </c>
      <c r="E50" s="2"/>
      <c r="F50" s="6">
        <f t="shared" si="4"/>
        <v>1.1023133729391088E-3</v>
      </c>
      <c r="G50" s="2"/>
      <c r="H50" s="2">
        <f>SUM(OSRRefH22_5x_0)</f>
        <v>758.5</v>
      </c>
      <c r="I50" s="2"/>
      <c r="J50" s="6">
        <f t="shared" si="5"/>
        <v>1.5011270822324736E-2</v>
      </c>
      <c r="K50" s="2"/>
      <c r="L50" s="2">
        <f t="shared" si="6"/>
        <v>1.5399999999999636</v>
      </c>
      <c r="M50" s="2"/>
      <c r="N50" s="6">
        <f t="shared" si="7"/>
        <v>2.0303230059327141E-3</v>
      </c>
      <c r="O50" s="14"/>
      <c r="P50" s="2">
        <f>SUM(OSRRefP22_5x_0)</f>
        <v>8360.44</v>
      </c>
      <c r="Q50" s="2"/>
      <c r="R50" s="6">
        <f t="shared" si="8"/>
        <v>7.1976317800662745E-4</v>
      </c>
      <c r="S50" s="2"/>
      <c r="T50" s="2">
        <f>SUM(OSRRefT22_5x_0)</f>
        <v>7815.06</v>
      </c>
      <c r="U50" s="2"/>
      <c r="V50" s="6">
        <f t="shared" si="9"/>
        <v>7.8790012467176134E-3</v>
      </c>
      <c r="W50" s="2"/>
      <c r="X50" s="2">
        <f t="shared" si="10"/>
        <v>545.38000000000011</v>
      </c>
      <c r="Y50" s="2"/>
      <c r="Z50" s="6">
        <f t="shared" si="11"/>
        <v>6.978577259803509E-2</v>
      </c>
    </row>
    <row r="51" spans="1:26" s="69" customFormat="1" ht="15" hidden="1" customHeight="1" outlineLevel="2" x14ac:dyDescent="0.25">
      <c r="A51" s="25"/>
      <c r="B51" s="12" t="str">
        <f>CONCATENATE("          ","6322"," - ","EQUIPMENT DEPRECIATION EXPENSE")</f>
        <v xml:space="preserve">          6322 - EQUIPMENT DEPRECIATION EXPENSE</v>
      </c>
      <c r="C51" s="12"/>
      <c r="D51" s="7">
        <v>760.04</v>
      </c>
      <c r="E51" s="3"/>
      <c r="F51" s="8">
        <f t="shared" si="4"/>
        <v>1.1023133729391088E-3</v>
      </c>
      <c r="G51" s="3"/>
      <c r="H51" s="7">
        <v>758.5</v>
      </c>
      <c r="I51" s="3"/>
      <c r="J51" s="8">
        <f t="shared" si="5"/>
        <v>1.5011270822324736E-2</v>
      </c>
      <c r="K51" s="3"/>
      <c r="L51" s="7">
        <f t="shared" si="6"/>
        <v>1.5399999999999636</v>
      </c>
      <c r="M51" s="3"/>
      <c r="N51" s="8">
        <f t="shared" si="7"/>
        <v>2.0303230059327141E-3</v>
      </c>
      <c r="O51" s="12"/>
      <c r="P51" s="7">
        <v>8360.44</v>
      </c>
      <c r="Q51" s="3"/>
      <c r="R51" s="8">
        <f t="shared" si="8"/>
        <v>7.1976317800662745E-4</v>
      </c>
      <c r="S51" s="3"/>
      <c r="T51" s="7">
        <v>7815.06</v>
      </c>
      <c r="U51" s="3"/>
      <c r="V51" s="8">
        <f t="shared" si="9"/>
        <v>7.8790012467176134E-3</v>
      </c>
      <c r="W51" s="3"/>
      <c r="X51" s="7">
        <f t="shared" si="10"/>
        <v>545.38000000000011</v>
      </c>
      <c r="Y51" s="3"/>
      <c r="Z51" s="8">
        <f t="shared" si="11"/>
        <v>6.978577259803509E-2</v>
      </c>
    </row>
    <row r="52" spans="1:26" s="68" customFormat="1" ht="15" customHeight="1" outlineLevel="1" collapsed="1" x14ac:dyDescent="0.25">
      <c r="A52" s="26"/>
      <c r="B52" s="14" t="str">
        <f>CONCATENATE("     ","Donations                                         ")</f>
        <v xml:space="preserve">     Donations                                         </v>
      </c>
      <c r="C52" s="14"/>
      <c r="D52" s="2">
        <f>SUM(OSRRefD22_6x_0)</f>
        <v>3862.46</v>
      </c>
      <c r="E52" s="2"/>
      <c r="F52" s="6">
        <f t="shared" si="4"/>
        <v>5.6018647840145128E-3</v>
      </c>
      <c r="G52" s="2"/>
      <c r="H52" s="2">
        <f>SUM(OSRRefH22_6x_0)</f>
        <v>3603.41</v>
      </c>
      <c r="I52" s="2"/>
      <c r="J52" s="6">
        <f t="shared" si="5"/>
        <v>7.1314124448085936E-2</v>
      </c>
      <c r="K52" s="2"/>
      <c r="L52" s="2">
        <f t="shared" si="6"/>
        <v>259.05000000000018</v>
      </c>
      <c r="M52" s="2"/>
      <c r="N52" s="6">
        <f t="shared" si="7"/>
        <v>7.1890237302999163E-2</v>
      </c>
      <c r="O52" s="14"/>
      <c r="P52" s="2">
        <f>SUM(OSRRefP22_6x_0)</f>
        <v>70553.73</v>
      </c>
      <c r="Q52" s="2"/>
      <c r="R52" s="6">
        <f t="shared" si="8"/>
        <v>6.0740794653177978E-3</v>
      </c>
      <c r="S52" s="2"/>
      <c r="T52" s="2">
        <f>SUM(OSRRefT22_6x_0)</f>
        <v>61909.05</v>
      </c>
      <c r="U52" s="2"/>
      <c r="V52" s="6">
        <f t="shared" si="9"/>
        <v>6.2415577376642412E-2</v>
      </c>
      <c r="W52" s="2"/>
      <c r="X52" s="2">
        <f t="shared" si="10"/>
        <v>8644.679999999993</v>
      </c>
      <c r="Y52" s="2"/>
      <c r="Z52" s="6">
        <f t="shared" si="11"/>
        <v>0.13963515834922346</v>
      </c>
    </row>
    <row r="53" spans="1:26" s="69" customFormat="1" ht="15" hidden="1" customHeight="1" outlineLevel="2" x14ac:dyDescent="0.25">
      <c r="A53" s="25"/>
      <c r="B53" s="12" t="str">
        <f>CONCATENATE("          ","6399"," - ","DONATION-ON CAMPUS")</f>
        <v xml:space="preserve">          6399 - DONATION-ON CAMPUS</v>
      </c>
      <c r="C53" s="12"/>
      <c r="D53" s="7">
        <v>3862.46</v>
      </c>
      <c r="E53" s="3"/>
      <c r="F53" s="8">
        <f t="shared" si="4"/>
        <v>5.6018647840145128E-3</v>
      </c>
      <c r="G53" s="3"/>
      <c r="H53" s="7">
        <v>3603.41</v>
      </c>
      <c r="I53" s="3"/>
      <c r="J53" s="8">
        <f t="shared" si="5"/>
        <v>7.1314124448085936E-2</v>
      </c>
      <c r="K53" s="3"/>
      <c r="L53" s="7">
        <f t="shared" si="6"/>
        <v>259.05000000000018</v>
      </c>
      <c r="M53" s="3"/>
      <c r="N53" s="8">
        <f t="shared" si="7"/>
        <v>7.1890237302999163E-2</v>
      </c>
      <c r="O53" s="12"/>
      <c r="P53" s="7">
        <v>70553.73</v>
      </c>
      <c r="Q53" s="3"/>
      <c r="R53" s="8">
        <f t="shared" si="8"/>
        <v>6.0740794653177978E-3</v>
      </c>
      <c r="S53" s="3"/>
      <c r="T53" s="7">
        <v>61909.05</v>
      </c>
      <c r="U53" s="3"/>
      <c r="V53" s="8">
        <f t="shared" si="9"/>
        <v>6.2415577376642412E-2</v>
      </c>
      <c r="W53" s="3"/>
      <c r="X53" s="7">
        <f t="shared" si="10"/>
        <v>8644.679999999993</v>
      </c>
      <c r="Y53" s="3"/>
      <c r="Z53" s="8">
        <f t="shared" si="11"/>
        <v>0.13963515834922346</v>
      </c>
    </row>
    <row r="54" spans="1:26" s="68" customFormat="1" ht="15" customHeight="1" outlineLevel="1" collapsed="1" x14ac:dyDescent="0.25">
      <c r="A54" s="26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SUM(OSRRefD22_7x_0)</f>
        <v>0</v>
      </c>
      <c r="E54" s="2"/>
      <c r="F54" s="6">
        <f t="shared" si="4"/>
        <v>0</v>
      </c>
      <c r="G54" s="2"/>
      <c r="H54" s="2">
        <f>SUM(OSRRefH22_7x_0)</f>
        <v>0</v>
      </c>
      <c r="I54" s="2"/>
      <c r="J54" s="6">
        <f t="shared" si="5"/>
        <v>0</v>
      </c>
      <c r="K54" s="2"/>
      <c r="L54" s="2">
        <f t="shared" si="6"/>
        <v>0</v>
      </c>
      <c r="M54" s="2"/>
      <c r="N54" s="6">
        <f t="shared" si="7"/>
        <v>0</v>
      </c>
      <c r="O54" s="14"/>
      <c r="P54" s="2">
        <f>SUM(OSRRefP22_7x_0)</f>
        <v>325.70999999999998</v>
      </c>
      <c r="Q54" s="2"/>
      <c r="R54" s="6">
        <f t="shared" si="8"/>
        <v>2.8040876402263349E-5</v>
      </c>
      <c r="S54" s="2"/>
      <c r="T54" s="2">
        <f>SUM(OSRRefT22_7x_0)</f>
        <v>0</v>
      </c>
      <c r="U54" s="2"/>
      <c r="V54" s="6">
        <f t="shared" si="9"/>
        <v>0</v>
      </c>
      <c r="W54" s="2"/>
      <c r="X54" s="2">
        <f t="shared" si="10"/>
        <v>325.70999999999998</v>
      </c>
      <c r="Y54" s="2"/>
      <c r="Z54" s="6">
        <f t="shared" si="11"/>
        <v>0</v>
      </c>
    </row>
    <row r="55" spans="1:26" s="69" customFormat="1" ht="15" hidden="1" customHeight="1" outlineLevel="2" x14ac:dyDescent="0.25">
      <c r="A55" s="25"/>
      <c r="B55" s="12" t="str">
        <f>CONCATENATE("          ","6277"," - ","EMPLOYEE APPRECIATION")</f>
        <v xml:space="preserve">          6277 - EMPLOYEE APPRECIATION</v>
      </c>
      <c r="C55" s="12"/>
      <c r="D55" s="7"/>
      <c r="E55" s="3"/>
      <c r="F55" s="8">
        <f t="shared" si="4"/>
        <v>0</v>
      </c>
      <c r="G55" s="3"/>
      <c r="H55" s="7"/>
      <c r="I55" s="3"/>
      <c r="J55" s="8">
        <f t="shared" si="5"/>
        <v>0</v>
      </c>
      <c r="K55" s="3"/>
      <c r="L55" s="7">
        <f t="shared" si="6"/>
        <v>0</v>
      </c>
      <c r="M55" s="3"/>
      <c r="N55" s="8">
        <f t="shared" si="7"/>
        <v>0</v>
      </c>
      <c r="O55" s="12"/>
      <c r="P55" s="7">
        <v>325.70999999999998</v>
      </c>
      <c r="Q55" s="3"/>
      <c r="R55" s="8">
        <f t="shared" si="8"/>
        <v>2.8040876402263349E-5</v>
      </c>
      <c r="S55" s="3"/>
      <c r="T55" s="7"/>
      <c r="U55" s="3"/>
      <c r="V55" s="8">
        <f t="shared" si="9"/>
        <v>0</v>
      </c>
      <c r="W55" s="3"/>
      <c r="X55" s="7">
        <f t="shared" si="10"/>
        <v>325.70999999999998</v>
      </c>
      <c r="Y55" s="3"/>
      <c r="Z55" s="8">
        <f t="shared" si="11"/>
        <v>0</v>
      </c>
    </row>
    <row r="56" spans="1:26" s="68" customFormat="1" ht="15" customHeight="1" outlineLevel="1" collapsed="1" x14ac:dyDescent="0.25">
      <c r="A56" s="26"/>
      <c r="B56" s="14" t="str">
        <f>CONCATENATE("     ","Equipment Rental                                  ")</f>
        <v xml:space="preserve">     Equipment Rental                                  </v>
      </c>
      <c r="C56" s="14"/>
      <c r="D56" s="2">
        <f>SUM(OSRRefD22_8x_0)</f>
        <v>467.12</v>
      </c>
      <c r="E56" s="2"/>
      <c r="F56" s="6">
        <f t="shared" si="4"/>
        <v>6.7748095201215265E-4</v>
      </c>
      <c r="G56" s="2"/>
      <c r="H56" s="2">
        <f>SUM(OSRRefH22_8x_0)</f>
        <v>808.32</v>
      </c>
      <c r="I56" s="2"/>
      <c r="J56" s="6">
        <f t="shared" si="5"/>
        <v>1.5997245129995428E-2</v>
      </c>
      <c r="K56" s="2"/>
      <c r="L56" s="2">
        <f t="shared" si="6"/>
        <v>-341.20000000000005</v>
      </c>
      <c r="M56" s="2"/>
      <c r="N56" s="6">
        <f t="shared" si="7"/>
        <v>-0.42211005542359464</v>
      </c>
      <c r="O56" s="14"/>
      <c r="P56" s="2">
        <f>SUM(OSRRefP22_8x_0)</f>
        <v>11245.01</v>
      </c>
      <c r="Q56" s="2"/>
      <c r="R56" s="6">
        <f t="shared" si="8"/>
        <v>9.6810025959355082E-4</v>
      </c>
      <c r="S56" s="2"/>
      <c r="T56" s="2">
        <f>SUM(OSRRefT22_8x_0)</f>
        <v>6285.5</v>
      </c>
      <c r="U56" s="2"/>
      <c r="V56" s="6">
        <f t="shared" si="9"/>
        <v>6.3369266948997902E-3</v>
      </c>
      <c r="W56" s="2"/>
      <c r="X56" s="2">
        <f t="shared" si="10"/>
        <v>4959.51</v>
      </c>
      <c r="Y56" s="2"/>
      <c r="Z56" s="6">
        <f t="shared" si="11"/>
        <v>0.78903985363137386</v>
      </c>
    </row>
    <row r="57" spans="1:26" s="69" customFormat="1" ht="15" hidden="1" customHeight="1" outlineLevel="2" x14ac:dyDescent="0.25">
      <c r="A57" s="25"/>
      <c r="B57" s="12" t="str">
        <f>CONCATENATE("          ","6351"," - ","EQUIPMENT RENTAL")</f>
        <v xml:space="preserve">          6351 - EQUIPMENT RENTAL</v>
      </c>
      <c r="C57" s="12"/>
      <c r="D57" s="7">
        <v>467.12</v>
      </c>
      <c r="E57" s="3"/>
      <c r="F57" s="8">
        <f t="shared" ref="F57:F91" si="12">IF(D$12=0,0,D57/D$12)</f>
        <v>6.7748095201215265E-4</v>
      </c>
      <c r="G57" s="3"/>
      <c r="H57" s="7">
        <v>808.32</v>
      </c>
      <c r="I57" s="3"/>
      <c r="J57" s="8">
        <f t="shared" ref="J57:J91" si="13">IF(H$12=0,0,H57/H$12)</f>
        <v>1.5997245129995428E-2</v>
      </c>
      <c r="K57" s="3"/>
      <c r="L57" s="7">
        <f t="shared" ref="L57:L91" si="14">+D57-H57</f>
        <v>-341.20000000000005</v>
      </c>
      <c r="M57" s="3"/>
      <c r="N57" s="8">
        <f t="shared" ref="N57:N91" si="15">IF(H57=0,0,L57/H57)</f>
        <v>-0.42211005542359464</v>
      </c>
      <c r="O57" s="12"/>
      <c r="P57" s="7">
        <v>11245.01</v>
      </c>
      <c r="Q57" s="3"/>
      <c r="R57" s="8">
        <f t="shared" ref="R57:R91" si="16">IF(P$12=0,0,P57/P$12)</f>
        <v>9.6810025959355082E-4</v>
      </c>
      <c r="S57" s="3"/>
      <c r="T57" s="7">
        <v>6285.5</v>
      </c>
      <c r="U57" s="3"/>
      <c r="V57" s="8">
        <f t="shared" ref="V57:V91" si="17">IF(T$12=0,0,T57/T$12)</f>
        <v>6.3369266948997902E-3</v>
      </c>
      <c r="W57" s="3"/>
      <c r="X57" s="7">
        <f t="shared" ref="X57:X91" si="18">+P57-T57</f>
        <v>4959.51</v>
      </c>
      <c r="Y57" s="3"/>
      <c r="Z57" s="8">
        <f t="shared" ref="Z57:Z91" si="19">IF(T57=0,0,X57/T57)</f>
        <v>0.78903985363137386</v>
      </c>
    </row>
    <row r="58" spans="1:26" s="68" customFormat="1" ht="15" customHeight="1" outlineLevel="1" collapsed="1" x14ac:dyDescent="0.25">
      <c r="A58" s="26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SUM(OSRRefD22_9x_0)</f>
        <v>43.2</v>
      </c>
      <c r="E58" s="2"/>
      <c r="F58" s="6">
        <f t="shared" si="12"/>
        <v>6.2654515171529785E-5</v>
      </c>
      <c r="G58" s="2"/>
      <c r="H58" s="2">
        <f>SUM(OSRRefH22_9x_0)</f>
        <v>303.18</v>
      </c>
      <c r="I58" s="2"/>
      <c r="J58" s="6">
        <f t="shared" si="13"/>
        <v>6.0001543677157734E-3</v>
      </c>
      <c r="K58" s="2"/>
      <c r="L58" s="2">
        <f t="shared" si="14"/>
        <v>-259.98</v>
      </c>
      <c r="M58" s="2"/>
      <c r="N58" s="6">
        <f t="shared" si="15"/>
        <v>-0.85751038986740558</v>
      </c>
      <c r="O58" s="14"/>
      <c r="P58" s="2">
        <f>SUM(OSRRefP22_9x_0)</f>
        <v>19546.91</v>
      </c>
      <c r="Q58" s="2"/>
      <c r="R58" s="6">
        <f t="shared" si="16"/>
        <v>1.6828236386852277E-3</v>
      </c>
      <c r="S58" s="2"/>
      <c r="T58" s="2">
        <f>SUM(OSRRefT22_9x_0)</f>
        <v>7916.93</v>
      </c>
      <c r="U58" s="2"/>
      <c r="V58" s="6">
        <f t="shared" si="17"/>
        <v>7.9817047265377441E-3</v>
      </c>
      <c r="W58" s="2"/>
      <c r="X58" s="2">
        <f t="shared" si="18"/>
        <v>11629.98</v>
      </c>
      <c r="Y58" s="2"/>
      <c r="Z58" s="6">
        <f t="shared" si="19"/>
        <v>1.4690012416429095</v>
      </c>
    </row>
    <row r="59" spans="1:26" s="69" customFormat="1" ht="15" hidden="1" customHeight="1" outlineLevel="2" x14ac:dyDescent="0.25">
      <c r="A59" s="25"/>
      <c r="B59" s="12" t="str">
        <f>CONCATENATE("          ","6279"," - ","GENERAL EXPENSE")</f>
        <v xml:space="preserve">          6279 - GENERAL EXPENSE</v>
      </c>
      <c r="C59" s="12"/>
      <c r="D59" s="7">
        <v>43.2</v>
      </c>
      <c r="E59" s="3"/>
      <c r="F59" s="8">
        <f t="shared" si="12"/>
        <v>6.2654515171529785E-5</v>
      </c>
      <c r="G59" s="3"/>
      <c r="H59" s="7">
        <v>303.18</v>
      </c>
      <c r="I59" s="3"/>
      <c r="J59" s="8">
        <f t="shared" si="13"/>
        <v>6.0001543677157734E-3</v>
      </c>
      <c r="K59" s="3"/>
      <c r="L59" s="7">
        <f t="shared" si="14"/>
        <v>-259.98</v>
      </c>
      <c r="M59" s="3"/>
      <c r="N59" s="8">
        <f t="shared" si="15"/>
        <v>-0.85751038986740558</v>
      </c>
      <c r="O59" s="12"/>
      <c r="P59" s="7">
        <v>19546.91</v>
      </c>
      <c r="Q59" s="3"/>
      <c r="R59" s="8">
        <f t="shared" si="16"/>
        <v>1.6828236386852277E-3</v>
      </c>
      <c r="S59" s="3"/>
      <c r="T59" s="7">
        <v>7916.93</v>
      </c>
      <c r="U59" s="3"/>
      <c r="V59" s="8">
        <f t="shared" si="17"/>
        <v>7.9817047265377441E-3</v>
      </c>
      <c r="W59" s="3"/>
      <c r="X59" s="7">
        <f t="shared" si="18"/>
        <v>11629.98</v>
      </c>
      <c r="Y59" s="3"/>
      <c r="Z59" s="8">
        <f t="shared" si="19"/>
        <v>1.4690012416429095</v>
      </c>
    </row>
    <row r="60" spans="1:26" s="68" customFormat="1" ht="15" customHeight="1" outlineLevel="1" collapsed="1" x14ac:dyDescent="0.25">
      <c r="A60" s="26"/>
      <c r="B60" s="14" t="str">
        <f>CONCATENATE("     ","Insurance                                         ")</f>
        <v xml:space="preserve">     Insurance                                         </v>
      </c>
      <c r="C60" s="14"/>
      <c r="D60" s="2">
        <f>SUM(OSRRefD22_10x_0)</f>
        <v>5.21</v>
      </c>
      <c r="E60" s="2"/>
      <c r="F60" s="6">
        <f t="shared" si="12"/>
        <v>7.5562505565664395E-6</v>
      </c>
      <c r="G60" s="2"/>
      <c r="H60" s="2">
        <f>SUM(OSRRefH22_10x_0)</f>
        <v>5.9</v>
      </c>
      <c r="I60" s="2"/>
      <c r="J60" s="6">
        <f t="shared" si="13"/>
        <v>1.1676532346963211E-4</v>
      </c>
      <c r="K60" s="2"/>
      <c r="L60" s="2">
        <f t="shared" si="14"/>
        <v>-0.69000000000000039</v>
      </c>
      <c r="M60" s="2"/>
      <c r="N60" s="6">
        <f t="shared" si="15"/>
        <v>-0.11694915254237294</v>
      </c>
      <c r="O60" s="14"/>
      <c r="P60" s="2">
        <f>SUM(OSRRefP22_10x_0)</f>
        <v>57.32</v>
      </c>
      <c r="Q60" s="2"/>
      <c r="R60" s="6">
        <f t="shared" si="16"/>
        <v>4.9347672327461093E-6</v>
      </c>
      <c r="S60" s="2"/>
      <c r="T60" s="2">
        <f>SUM(OSRRefT22_10x_0)</f>
        <v>64.900000000000006</v>
      </c>
      <c r="U60" s="2"/>
      <c r="V60" s="6">
        <f t="shared" si="17"/>
        <v>6.5430998727069662E-5</v>
      </c>
      <c r="W60" s="2"/>
      <c r="X60" s="2">
        <f t="shared" si="18"/>
        <v>-7.5800000000000054</v>
      </c>
      <c r="Y60" s="2"/>
      <c r="Z60" s="6">
        <f t="shared" si="19"/>
        <v>-0.1167950693374423</v>
      </c>
    </row>
    <row r="61" spans="1:26" s="69" customFormat="1" ht="15" hidden="1" customHeight="1" outlineLevel="2" x14ac:dyDescent="0.25">
      <c r="A61" s="25"/>
      <c r="B61" s="12" t="str">
        <f>CONCATENATE("          ","6314"," - ","LIABILITY INSURANCE")</f>
        <v xml:space="preserve">          6314 - LIABILITY INSURANCE</v>
      </c>
      <c r="C61" s="12"/>
      <c r="D61" s="7">
        <v>5.21</v>
      </c>
      <c r="E61" s="3"/>
      <c r="F61" s="8">
        <f t="shared" si="12"/>
        <v>7.5562505565664395E-6</v>
      </c>
      <c r="G61" s="3"/>
      <c r="H61" s="7">
        <v>5.9</v>
      </c>
      <c r="I61" s="3"/>
      <c r="J61" s="8">
        <f t="shared" si="13"/>
        <v>1.1676532346963211E-4</v>
      </c>
      <c r="K61" s="3"/>
      <c r="L61" s="7">
        <f t="shared" si="14"/>
        <v>-0.69000000000000039</v>
      </c>
      <c r="M61" s="3"/>
      <c r="N61" s="8">
        <f t="shared" si="15"/>
        <v>-0.11694915254237294</v>
      </c>
      <c r="O61" s="12"/>
      <c r="P61" s="7">
        <v>57.32</v>
      </c>
      <c r="Q61" s="3"/>
      <c r="R61" s="8">
        <f t="shared" si="16"/>
        <v>4.9347672327461093E-6</v>
      </c>
      <c r="S61" s="3"/>
      <c r="T61" s="7">
        <v>64.900000000000006</v>
      </c>
      <c r="U61" s="3"/>
      <c r="V61" s="8">
        <f t="shared" si="17"/>
        <v>6.5430998727069662E-5</v>
      </c>
      <c r="W61" s="3"/>
      <c r="X61" s="7">
        <f t="shared" si="18"/>
        <v>-7.5800000000000054</v>
      </c>
      <c r="Y61" s="3"/>
      <c r="Z61" s="8">
        <f t="shared" si="19"/>
        <v>-0.1167950693374423</v>
      </c>
    </row>
    <row r="62" spans="1:26" s="68" customFormat="1" ht="15" customHeight="1" outlineLevel="1" collapsed="1" x14ac:dyDescent="0.25">
      <c r="A62" s="26"/>
      <c r="B62" s="14" t="str">
        <f>CONCATENATE("     ","R/H Commissions                                   ")</f>
        <v xml:space="preserve">     R/H Commissions                                   </v>
      </c>
      <c r="C62" s="14"/>
      <c r="D62" s="2">
        <f>SUM(OSRRefD22_11x_0)</f>
        <v>56038.67</v>
      </c>
      <c r="E62" s="2"/>
      <c r="F62" s="6">
        <f t="shared" si="12"/>
        <v>8.1274900456188681E-2</v>
      </c>
      <c r="G62" s="2"/>
      <c r="H62" s="2">
        <f>SUM(OSRRefH22_11x_0)</f>
        <v>3760.68</v>
      </c>
      <c r="I62" s="2"/>
      <c r="J62" s="6">
        <f t="shared" si="13"/>
        <v>7.4426612994199323E-2</v>
      </c>
      <c r="K62" s="2"/>
      <c r="L62" s="2">
        <f t="shared" si="14"/>
        <v>52277.99</v>
      </c>
      <c r="M62" s="2"/>
      <c r="N62" s="6">
        <f t="shared" si="15"/>
        <v>13.901206696661243</v>
      </c>
      <c r="O62" s="14"/>
      <c r="P62" s="2">
        <f>SUM(OSRRefP22_11x_0)</f>
        <v>912239.08</v>
      </c>
      <c r="Q62" s="2"/>
      <c r="R62" s="6">
        <f t="shared" si="16"/>
        <v>7.8536069790901192E-2</v>
      </c>
      <c r="S62" s="2"/>
      <c r="T62" s="2">
        <f>SUM(OSRRefT22_11x_0)</f>
        <v>69400.47</v>
      </c>
      <c r="U62" s="2"/>
      <c r="V62" s="6">
        <f t="shared" si="17"/>
        <v>6.9968290666071437E-2</v>
      </c>
      <c r="W62" s="2"/>
      <c r="X62" s="2">
        <f t="shared" si="18"/>
        <v>842838.61</v>
      </c>
      <c r="Y62" s="2"/>
      <c r="Z62" s="6">
        <f t="shared" si="19"/>
        <v>12.14456631201489</v>
      </c>
    </row>
    <row r="63" spans="1:26" s="69" customFormat="1" ht="15" hidden="1" customHeight="1" outlineLevel="2" x14ac:dyDescent="0.25">
      <c r="A63" s="25"/>
      <c r="B63" s="12" t="str">
        <f>CONCATENATE("          ","6387"," - ","COMMISSION DUE HOUSING")</f>
        <v xml:space="preserve">          6387 - COMMISSION DUE HOUSING</v>
      </c>
      <c r="C63" s="12"/>
      <c r="D63" s="7">
        <v>56038.67</v>
      </c>
      <c r="E63" s="3"/>
      <c r="F63" s="8">
        <f t="shared" si="12"/>
        <v>8.1274900456188681E-2</v>
      </c>
      <c r="G63" s="3"/>
      <c r="H63" s="7">
        <v>3760.68</v>
      </c>
      <c r="I63" s="3"/>
      <c r="J63" s="8">
        <f t="shared" si="13"/>
        <v>7.4426612994199323E-2</v>
      </c>
      <c r="K63" s="3"/>
      <c r="L63" s="7">
        <f t="shared" si="14"/>
        <v>52277.99</v>
      </c>
      <c r="M63" s="3"/>
      <c r="N63" s="8">
        <f t="shared" si="15"/>
        <v>13.901206696661243</v>
      </c>
      <c r="O63" s="12"/>
      <c r="P63" s="7">
        <v>912239.08</v>
      </c>
      <c r="Q63" s="3"/>
      <c r="R63" s="8">
        <f t="shared" si="16"/>
        <v>7.8536069790901192E-2</v>
      </c>
      <c r="S63" s="3"/>
      <c r="T63" s="7">
        <v>69400.47</v>
      </c>
      <c r="U63" s="3"/>
      <c r="V63" s="8">
        <f t="shared" si="17"/>
        <v>6.9968290666071437E-2</v>
      </c>
      <c r="W63" s="3"/>
      <c r="X63" s="7">
        <f t="shared" si="18"/>
        <v>842838.61</v>
      </c>
      <c r="Y63" s="3"/>
      <c r="Z63" s="8">
        <f t="shared" si="19"/>
        <v>12.14456631201489</v>
      </c>
    </row>
    <row r="64" spans="1:26" s="68" customFormat="1" ht="15" customHeight="1" outlineLevel="1" collapsed="1" x14ac:dyDescent="0.25">
      <c r="A64" s="26"/>
      <c r="B64" s="14" t="str">
        <f>CONCATENATE("     ","Repair and Maintenance                            ")</f>
        <v xml:space="preserve">     Repair and Maintenance                            </v>
      </c>
      <c r="C64" s="14"/>
      <c r="D64" s="2">
        <f>SUM(OSRRefD22_12x_0)</f>
        <v>3755.77</v>
      </c>
      <c r="E64" s="2"/>
      <c r="F64" s="6">
        <f t="shared" si="12"/>
        <v>5.4471284362448249E-3</v>
      </c>
      <c r="G64" s="2"/>
      <c r="H64" s="2">
        <f>SUM(OSRRefH22_12x_0)</f>
        <v>3515.29</v>
      </c>
      <c r="I64" s="2"/>
      <c r="J64" s="6">
        <f t="shared" si="13"/>
        <v>6.9570165074502213E-2</v>
      </c>
      <c r="K64" s="2"/>
      <c r="L64" s="2">
        <f t="shared" si="14"/>
        <v>240.48000000000002</v>
      </c>
      <c r="M64" s="2"/>
      <c r="N64" s="6">
        <f t="shared" si="15"/>
        <v>6.840971868608281E-2</v>
      </c>
      <c r="O64" s="14"/>
      <c r="P64" s="2">
        <f>SUM(OSRRefP22_12x_0)</f>
        <v>50649.29</v>
      </c>
      <c r="Q64" s="2"/>
      <c r="R64" s="6">
        <f t="shared" si="16"/>
        <v>4.3604755173387161E-3</v>
      </c>
      <c r="S64" s="2"/>
      <c r="T64" s="2">
        <f>SUM(OSRRefT22_12x_0)</f>
        <v>26077.27</v>
      </c>
      <c r="U64" s="2"/>
      <c r="V64" s="6">
        <f t="shared" si="17"/>
        <v>2.6290628970345946E-2</v>
      </c>
      <c r="W64" s="2"/>
      <c r="X64" s="2">
        <f t="shared" si="18"/>
        <v>24572.02</v>
      </c>
      <c r="Y64" s="2"/>
      <c r="Z64" s="6">
        <f t="shared" si="19"/>
        <v>0.94227731660561098</v>
      </c>
    </row>
    <row r="65" spans="1:26" s="69" customFormat="1" ht="15" hidden="1" customHeight="1" outlineLevel="2" x14ac:dyDescent="0.25">
      <c r="A65" s="25"/>
      <c r="B65" s="12" t="str">
        <f>CONCATENATE("          ","6371"," - ","COMPUTER SOFTWARE MAINTENANCE")</f>
        <v xml:space="preserve">          6371 - COMPUTER SOFTWARE MAINTENANCE</v>
      </c>
      <c r="C65" s="12"/>
      <c r="D65" s="7">
        <v>3500</v>
      </c>
      <c r="E65" s="3"/>
      <c r="F65" s="8">
        <f t="shared" si="12"/>
        <v>5.0761759976933859E-3</v>
      </c>
      <c r="G65" s="3"/>
      <c r="H65" s="7">
        <v>3500</v>
      </c>
      <c r="I65" s="3"/>
      <c r="J65" s="8">
        <f t="shared" si="13"/>
        <v>6.9267564770120735E-2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>
        <v>38500</v>
      </c>
      <c r="Q65" s="3"/>
      <c r="R65" s="8">
        <f t="shared" si="16"/>
        <v>3.3145243974306562E-3</v>
      </c>
      <c r="S65" s="3"/>
      <c r="T65" s="7">
        <v>21000</v>
      </c>
      <c r="U65" s="3"/>
      <c r="V65" s="8">
        <f t="shared" si="17"/>
        <v>2.1171817769930091E-2</v>
      </c>
      <c r="W65" s="3"/>
      <c r="X65" s="7">
        <f t="shared" si="18"/>
        <v>17500</v>
      </c>
      <c r="Y65" s="3"/>
      <c r="Z65" s="8">
        <f t="shared" si="19"/>
        <v>0.83333333333333337</v>
      </c>
    </row>
    <row r="66" spans="1:26" s="69" customFormat="1" ht="15" hidden="1" customHeight="1" outlineLevel="2" x14ac:dyDescent="0.25">
      <c r="A66" s="25"/>
      <c r="B66" s="12" t="str">
        <f>CONCATENATE("          ","6373"," - ","MAINTENANCE CONTRACTS")</f>
        <v xml:space="preserve">          6373 - MAINTENANCE CONTRACTS</v>
      </c>
      <c r="C66" s="12"/>
      <c r="D66" s="7">
        <v>5.77</v>
      </c>
      <c r="E66" s="3"/>
      <c r="F66" s="8">
        <f t="shared" si="12"/>
        <v>8.3684387161973803E-6</v>
      </c>
      <c r="G66" s="3"/>
      <c r="H66" s="7">
        <v>10.89</v>
      </c>
      <c r="I66" s="3"/>
      <c r="J66" s="8">
        <f t="shared" si="13"/>
        <v>2.1552108009903281E-4</v>
      </c>
      <c r="K66" s="3"/>
      <c r="L66" s="7">
        <f t="shared" si="14"/>
        <v>-5.120000000000001</v>
      </c>
      <c r="M66" s="3"/>
      <c r="N66" s="8">
        <f t="shared" si="15"/>
        <v>-0.47015610651974293</v>
      </c>
      <c r="O66" s="12"/>
      <c r="P66" s="7">
        <v>4491.6400000000003</v>
      </c>
      <c r="Q66" s="3"/>
      <c r="R66" s="8">
        <f t="shared" si="16"/>
        <v>3.8669221725910215E-4</v>
      </c>
      <c r="S66" s="3"/>
      <c r="T66" s="7">
        <v>3250.3</v>
      </c>
      <c r="U66" s="3"/>
      <c r="V66" s="8">
        <f t="shared" si="17"/>
        <v>3.2768932998858942E-3</v>
      </c>
      <c r="W66" s="3"/>
      <c r="X66" s="7">
        <f t="shared" si="18"/>
        <v>1241.3400000000001</v>
      </c>
      <c r="Y66" s="3"/>
      <c r="Z66" s="8">
        <f t="shared" si="19"/>
        <v>0.38191551549087777</v>
      </c>
    </row>
    <row r="67" spans="1:26" s="69" customFormat="1" ht="15" hidden="1" customHeight="1" outlineLevel="2" x14ac:dyDescent="0.25">
      <c r="A67" s="25"/>
      <c r="B67" s="12" t="str">
        <f>CONCATENATE("          ","6375"," - ","OUTSIDE REPAIRS &amp; MAINTENANCE")</f>
        <v xml:space="preserve">          6375 - OUTSIDE REPAIRS &amp; MAINTENANCE</v>
      </c>
      <c r="C67" s="12"/>
      <c r="D67" s="7">
        <v>250</v>
      </c>
      <c r="E67" s="3"/>
      <c r="F67" s="8">
        <f t="shared" si="12"/>
        <v>3.6258399983524182E-4</v>
      </c>
      <c r="G67" s="3"/>
      <c r="H67" s="7">
        <v>4.4000000000000004</v>
      </c>
      <c r="I67" s="3"/>
      <c r="J67" s="8">
        <f t="shared" si="13"/>
        <v>8.7079224282437509E-5</v>
      </c>
      <c r="K67" s="3"/>
      <c r="L67" s="7">
        <f t="shared" si="14"/>
        <v>245.6</v>
      </c>
      <c r="M67" s="3"/>
      <c r="N67" s="8">
        <f t="shared" si="15"/>
        <v>55.818181818181813</v>
      </c>
      <c r="O67" s="12"/>
      <c r="P67" s="7">
        <v>7657.65</v>
      </c>
      <c r="Q67" s="3"/>
      <c r="R67" s="8">
        <f t="shared" si="16"/>
        <v>6.5925890264895745E-4</v>
      </c>
      <c r="S67" s="3"/>
      <c r="T67" s="7">
        <v>1826.97</v>
      </c>
      <c r="U67" s="3"/>
      <c r="V67" s="8">
        <f t="shared" si="17"/>
        <v>1.8419179005299609E-3</v>
      </c>
      <c r="W67" s="3"/>
      <c r="X67" s="7">
        <f t="shared" si="18"/>
        <v>5830.6799999999994</v>
      </c>
      <c r="Y67" s="3"/>
      <c r="Z67" s="8">
        <f t="shared" si="19"/>
        <v>3.1914481354373629</v>
      </c>
    </row>
    <row r="68" spans="1:26" s="68" customFormat="1" ht="15" customHeight="1" outlineLevel="1" collapsed="1" x14ac:dyDescent="0.25">
      <c r="A68" s="26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SUM(OSRRefD22_13x_0)</f>
        <v>15684.5</v>
      </c>
      <c r="E68" s="2"/>
      <c r="F68" s="6">
        <f t="shared" si="12"/>
        <v>2.2747794981663402E-2</v>
      </c>
      <c r="G68" s="2"/>
      <c r="H68" s="2">
        <f>SUM(OSRRefH22_13x_0)</f>
        <v>11620.48</v>
      </c>
      <c r="I68" s="2"/>
      <c r="J68" s="6">
        <f t="shared" si="13"/>
        <v>0.22997781458854075</v>
      </c>
      <c r="K68" s="2"/>
      <c r="L68" s="2">
        <f t="shared" si="14"/>
        <v>4064.0200000000004</v>
      </c>
      <c r="M68" s="2"/>
      <c r="N68" s="6">
        <f t="shared" si="15"/>
        <v>0.34972909897009424</v>
      </c>
      <c r="O68" s="14"/>
      <c r="P68" s="2">
        <f>SUM(OSRRefP22_13x_0)</f>
        <v>191310.54</v>
      </c>
      <c r="Q68" s="2"/>
      <c r="R68" s="6">
        <f t="shared" si="16"/>
        <v>1.6470219540665805E-2</v>
      </c>
      <c r="S68" s="2"/>
      <c r="T68" s="2">
        <f>SUM(OSRRefT22_13x_0)</f>
        <v>129005.8</v>
      </c>
      <c r="U68" s="2"/>
      <c r="V68" s="6">
        <f t="shared" si="17"/>
        <v>0.13006129946971653</v>
      </c>
      <c r="W68" s="2"/>
      <c r="X68" s="2">
        <f t="shared" si="18"/>
        <v>62304.740000000005</v>
      </c>
      <c r="Y68" s="2"/>
      <c r="Z68" s="6">
        <f t="shared" si="19"/>
        <v>0.48296076610508987</v>
      </c>
    </row>
    <row r="69" spans="1:26" s="69" customFormat="1" ht="15" hidden="1" customHeight="1" outlineLevel="2" x14ac:dyDescent="0.25">
      <c r="A69" s="25"/>
      <c r="B69" s="12" t="str">
        <f>CONCATENATE("          ","6282"," - ","JANITORIAL/EXTERMINATOR EXPENS")</f>
        <v xml:space="preserve">          6282 - JANITORIAL/EXTERMINATOR EXPENS</v>
      </c>
      <c r="C69" s="12"/>
      <c r="D69" s="7">
        <v>1644.15</v>
      </c>
      <c r="E69" s="3"/>
      <c r="F69" s="8">
        <f t="shared" si="12"/>
        <v>2.3845699333164515E-3</v>
      </c>
      <c r="G69" s="3"/>
      <c r="H69" s="7">
        <v>1508.3</v>
      </c>
      <c r="I69" s="3"/>
      <c r="J69" s="8">
        <f t="shared" si="13"/>
        <v>2.9850362269363745E-2</v>
      </c>
      <c r="K69" s="3"/>
      <c r="L69" s="7">
        <f t="shared" si="14"/>
        <v>135.85000000000014</v>
      </c>
      <c r="M69" s="3"/>
      <c r="N69" s="8">
        <f t="shared" si="15"/>
        <v>9.0068288801962562E-2</v>
      </c>
      <c r="O69" s="12"/>
      <c r="P69" s="7">
        <v>18527.32</v>
      </c>
      <c r="Q69" s="3"/>
      <c r="R69" s="8">
        <f t="shared" si="16"/>
        <v>1.5950455625715571E-3</v>
      </c>
      <c r="S69" s="3"/>
      <c r="T69" s="7">
        <v>15949.85</v>
      </c>
      <c r="U69" s="3"/>
      <c r="V69" s="8">
        <f t="shared" si="17"/>
        <v>1.6080348459891404E-2</v>
      </c>
      <c r="W69" s="3"/>
      <c r="X69" s="7">
        <f t="shared" si="18"/>
        <v>2577.4699999999993</v>
      </c>
      <c r="Y69" s="3"/>
      <c r="Z69" s="8">
        <f t="shared" si="19"/>
        <v>0.16159838493778933</v>
      </c>
    </row>
    <row r="70" spans="1:26" s="69" customFormat="1" ht="15" hidden="1" customHeight="1" outlineLevel="2" x14ac:dyDescent="0.25">
      <c r="A70" s="25"/>
      <c r="B70" s="12" t="str">
        <f>CONCATENATE("          ","6284"," - ","TRASH REMOVAL EXPENSE")</f>
        <v xml:space="preserve">          6284 - TRASH REMOVAL EXPENSE</v>
      </c>
      <c r="C70" s="12"/>
      <c r="D70" s="7"/>
      <c r="E70" s="3"/>
      <c r="F70" s="8">
        <f t="shared" si="12"/>
        <v>0</v>
      </c>
      <c r="G70" s="3"/>
      <c r="H70" s="7"/>
      <c r="I70" s="3"/>
      <c r="J70" s="8">
        <f t="shared" si="13"/>
        <v>0</v>
      </c>
      <c r="K70" s="3"/>
      <c r="L70" s="7">
        <f t="shared" si="14"/>
        <v>0</v>
      </c>
      <c r="M70" s="3"/>
      <c r="N70" s="8">
        <f t="shared" si="15"/>
        <v>0</v>
      </c>
      <c r="O70" s="12"/>
      <c r="P70" s="7"/>
      <c r="Q70" s="3"/>
      <c r="R70" s="8">
        <f t="shared" si="16"/>
        <v>0</v>
      </c>
      <c r="S70" s="3"/>
      <c r="T70" s="7">
        <v>282.75</v>
      </c>
      <c r="U70" s="3"/>
      <c r="V70" s="8">
        <f t="shared" si="17"/>
        <v>2.8506340354513015E-4</v>
      </c>
      <c r="W70" s="3"/>
      <c r="X70" s="7">
        <f t="shared" si="18"/>
        <v>-282.75</v>
      </c>
      <c r="Y70" s="3"/>
      <c r="Z70" s="8">
        <f t="shared" si="19"/>
        <v>-1</v>
      </c>
    </row>
    <row r="71" spans="1:26" s="69" customFormat="1" ht="15" hidden="1" customHeight="1" outlineLevel="2" x14ac:dyDescent="0.25">
      <c r="A71" s="25"/>
      <c r="B71" s="12" t="str">
        <f>CONCATENATE("          ","6285"," - ","JANITORIAL SERVICES")</f>
        <v xml:space="preserve">          6285 - JANITORIAL SERVICES</v>
      </c>
      <c r="C71" s="12"/>
      <c r="D71" s="7">
        <v>10732.14</v>
      </c>
      <c r="E71" s="3"/>
      <c r="F71" s="8">
        <f t="shared" si="12"/>
        <v>1.5565208991967167E-2</v>
      </c>
      <c r="G71" s="3"/>
      <c r="H71" s="7">
        <v>8897.19</v>
      </c>
      <c r="I71" s="3"/>
      <c r="J71" s="8">
        <f t="shared" si="13"/>
        <v>0.17608190988487729</v>
      </c>
      <c r="K71" s="3"/>
      <c r="L71" s="7">
        <f t="shared" si="14"/>
        <v>1834.9499999999989</v>
      </c>
      <c r="M71" s="3"/>
      <c r="N71" s="8">
        <f t="shared" si="15"/>
        <v>0.20623927329864808</v>
      </c>
      <c r="O71" s="12"/>
      <c r="P71" s="7">
        <v>140217.85</v>
      </c>
      <c r="Q71" s="3"/>
      <c r="R71" s="8">
        <f t="shared" si="16"/>
        <v>1.2071571033253823E-2</v>
      </c>
      <c r="S71" s="3"/>
      <c r="T71" s="7">
        <v>96970.54</v>
      </c>
      <c r="U71" s="3"/>
      <c r="V71" s="8">
        <f t="shared" si="17"/>
        <v>9.7763933425319832E-2</v>
      </c>
      <c r="W71" s="3"/>
      <c r="X71" s="7">
        <f t="shared" si="18"/>
        <v>43247.310000000012</v>
      </c>
      <c r="Y71" s="3"/>
      <c r="Z71" s="8">
        <f t="shared" si="19"/>
        <v>0.4459840071015384</v>
      </c>
    </row>
    <row r="72" spans="1:26" s="69" customFormat="1" ht="15" hidden="1" customHeight="1" outlineLevel="2" x14ac:dyDescent="0.25">
      <c r="A72" s="25"/>
      <c r="B72" s="12" t="str">
        <f>CONCATENATE("          ","6286"," - ","LAUNDRY EXPENSE")</f>
        <v xml:space="preserve">          6286 - LAUNDRY EXPENSE</v>
      </c>
      <c r="C72" s="12"/>
      <c r="D72" s="7">
        <v>3308.21</v>
      </c>
      <c r="E72" s="3"/>
      <c r="F72" s="8">
        <f t="shared" si="12"/>
        <v>4.7980160563797815E-3</v>
      </c>
      <c r="G72" s="3"/>
      <c r="H72" s="7">
        <v>1214.99</v>
      </c>
      <c r="I72" s="3"/>
      <c r="J72" s="8">
        <f t="shared" si="13"/>
        <v>2.4045542434299714E-2</v>
      </c>
      <c r="K72" s="3"/>
      <c r="L72" s="7">
        <f t="shared" si="14"/>
        <v>2093.2200000000003</v>
      </c>
      <c r="M72" s="3"/>
      <c r="N72" s="8">
        <f t="shared" si="15"/>
        <v>1.722828994477321</v>
      </c>
      <c r="O72" s="12"/>
      <c r="P72" s="7">
        <v>32565.37</v>
      </c>
      <c r="Q72" s="3"/>
      <c r="R72" s="8">
        <f t="shared" si="16"/>
        <v>2.8036029448404252E-3</v>
      </c>
      <c r="S72" s="3"/>
      <c r="T72" s="7">
        <v>15802.66</v>
      </c>
      <c r="U72" s="3"/>
      <c r="V72" s="8">
        <f t="shared" si="17"/>
        <v>1.5931954180960165E-2</v>
      </c>
      <c r="W72" s="3"/>
      <c r="X72" s="7">
        <f t="shared" si="18"/>
        <v>16762.71</v>
      </c>
      <c r="Y72" s="3"/>
      <c r="Z72" s="8">
        <f t="shared" si="19"/>
        <v>1.0607524302870528</v>
      </c>
    </row>
    <row r="73" spans="1:26" s="68" customFormat="1" ht="15" customHeight="1" outlineLevel="1" collapsed="1" x14ac:dyDescent="0.25">
      <c r="A73" s="26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2">
        <f>SUM(OSRRefD22_14x_0)</f>
        <v>0</v>
      </c>
      <c r="E73" s="2"/>
      <c r="F73" s="6">
        <f t="shared" si="12"/>
        <v>0</v>
      </c>
      <c r="G73" s="2"/>
      <c r="H73" s="2">
        <f>SUM(OSRRefH22_14x_0)</f>
        <v>0</v>
      </c>
      <c r="I73" s="2"/>
      <c r="J73" s="6">
        <f t="shared" si="13"/>
        <v>0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SUM(OSRRefP22_14x_0)</f>
        <v>0</v>
      </c>
      <c r="Q73" s="2"/>
      <c r="R73" s="6">
        <f t="shared" si="16"/>
        <v>0</v>
      </c>
      <c r="S73" s="2"/>
      <c r="T73" s="2">
        <f>SUM(OSRRefT22_14x_0)</f>
        <v>795</v>
      </c>
      <c r="U73" s="2"/>
      <c r="V73" s="6">
        <f t="shared" si="17"/>
        <v>8.0150452986163913E-4</v>
      </c>
      <c r="W73" s="2"/>
      <c r="X73" s="2">
        <f t="shared" si="18"/>
        <v>-795</v>
      </c>
      <c r="Y73" s="2"/>
      <c r="Z73" s="6">
        <f t="shared" si="19"/>
        <v>-1</v>
      </c>
    </row>
    <row r="74" spans="1:26" s="69" customFormat="1" ht="15" hidden="1" customHeight="1" outlineLevel="2" x14ac:dyDescent="0.25">
      <c r="A74" s="25"/>
      <c r="B74" s="12" t="str">
        <f>CONCATENATE("          ","6258"," - ","MEMBERSHIP DUES")</f>
        <v xml:space="preserve">          6258 - MEMBERSHIP DUES</v>
      </c>
      <c r="C74" s="12"/>
      <c r="D74" s="7"/>
      <c r="E74" s="3"/>
      <c r="F74" s="8">
        <f t="shared" si="12"/>
        <v>0</v>
      </c>
      <c r="G74" s="3"/>
      <c r="H74" s="7"/>
      <c r="I74" s="3"/>
      <c r="J74" s="8">
        <f t="shared" si="13"/>
        <v>0</v>
      </c>
      <c r="K74" s="3"/>
      <c r="L74" s="7">
        <f t="shared" si="14"/>
        <v>0</v>
      </c>
      <c r="M74" s="3"/>
      <c r="N74" s="8">
        <f t="shared" si="15"/>
        <v>0</v>
      </c>
      <c r="O74" s="12"/>
      <c r="P74" s="7"/>
      <c r="Q74" s="3"/>
      <c r="R74" s="8">
        <f t="shared" si="16"/>
        <v>0</v>
      </c>
      <c r="S74" s="3"/>
      <c r="T74" s="7">
        <v>795</v>
      </c>
      <c r="U74" s="3"/>
      <c r="V74" s="8">
        <f t="shared" si="17"/>
        <v>8.0150452986163913E-4</v>
      </c>
      <c r="W74" s="3"/>
      <c r="X74" s="7">
        <f t="shared" si="18"/>
        <v>-795</v>
      </c>
      <c r="Y74" s="3"/>
      <c r="Z74" s="8">
        <f t="shared" si="19"/>
        <v>-1</v>
      </c>
    </row>
    <row r="75" spans="1:26" s="68" customFormat="1" ht="15" customHeight="1" outlineLevel="1" collapsed="1" x14ac:dyDescent="0.25">
      <c r="A75" s="26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SUM(OSRRefD22_15x_0)</f>
        <v>15924.51</v>
      </c>
      <c r="E75" s="2"/>
      <c r="F75" s="6">
        <f t="shared" si="12"/>
        <v>2.3095890124865227E-2</v>
      </c>
      <c r="G75" s="2"/>
      <c r="H75" s="2">
        <f>SUM(OSRRefH22_15x_0)</f>
        <v>9812.35</v>
      </c>
      <c r="I75" s="2"/>
      <c r="J75" s="6">
        <f t="shared" si="13"/>
        <v>0.19419359690631263</v>
      </c>
      <c r="K75" s="2"/>
      <c r="L75" s="2">
        <f t="shared" si="14"/>
        <v>6112.16</v>
      </c>
      <c r="M75" s="2"/>
      <c r="N75" s="6">
        <f t="shared" si="15"/>
        <v>0.62290480873592968</v>
      </c>
      <c r="O75" s="14"/>
      <c r="P75" s="2">
        <f>SUM(OSRRefP22_15x_0)</f>
        <v>325100.21000000002</v>
      </c>
      <c r="Q75" s="2"/>
      <c r="R75" s="6">
        <f t="shared" si="16"/>
        <v>2.7988378640385191E-2</v>
      </c>
      <c r="S75" s="2"/>
      <c r="T75" s="2">
        <f>SUM(OSRRefT22_15x_0)</f>
        <v>143149.51</v>
      </c>
      <c r="U75" s="2"/>
      <c r="V75" s="6">
        <f t="shared" si="17"/>
        <v>0.14432073045594215</v>
      </c>
      <c r="W75" s="2"/>
      <c r="X75" s="2">
        <f t="shared" si="18"/>
        <v>181950.7</v>
      </c>
      <c r="Y75" s="2"/>
      <c r="Z75" s="6">
        <f t="shared" si="19"/>
        <v>1.2710535998341874</v>
      </c>
    </row>
    <row r="76" spans="1:26" s="69" customFormat="1" ht="15" hidden="1" customHeight="1" outlineLevel="2" x14ac:dyDescent="0.25">
      <c r="A76" s="25"/>
      <c r="B76" s="12" t="str">
        <f>CONCATENATE("          ","6234"," - ","EXPENDABLE SUPPLIES &amp; EQUIPMEN")</f>
        <v xml:space="preserve">          6234 - EXPENDABLE SUPPLIES &amp; EQUIPMEN</v>
      </c>
      <c r="C76" s="12"/>
      <c r="D76" s="7"/>
      <c r="E76" s="3"/>
      <c r="F76" s="8">
        <f t="shared" si="12"/>
        <v>0</v>
      </c>
      <c r="G76" s="3"/>
      <c r="H76" s="7"/>
      <c r="I76" s="3"/>
      <c r="J76" s="8">
        <f t="shared" si="13"/>
        <v>0</v>
      </c>
      <c r="K76" s="3"/>
      <c r="L76" s="7">
        <f t="shared" si="14"/>
        <v>0</v>
      </c>
      <c r="M76" s="3"/>
      <c r="N76" s="8">
        <f t="shared" si="15"/>
        <v>0</v>
      </c>
      <c r="O76" s="12"/>
      <c r="P76" s="7">
        <v>336.98</v>
      </c>
      <c r="Q76" s="3"/>
      <c r="R76" s="8">
        <f t="shared" si="16"/>
        <v>2.9011128089511237E-5</v>
      </c>
      <c r="S76" s="3"/>
      <c r="T76" s="7"/>
      <c r="U76" s="3"/>
      <c r="V76" s="8">
        <f t="shared" si="17"/>
        <v>0</v>
      </c>
      <c r="W76" s="3"/>
      <c r="X76" s="7">
        <f t="shared" si="18"/>
        <v>336.98</v>
      </c>
      <c r="Y76" s="3"/>
      <c r="Z76" s="8">
        <f t="shared" si="19"/>
        <v>0</v>
      </c>
    </row>
    <row r="77" spans="1:26" s="69" customFormat="1" ht="15" hidden="1" customHeight="1" outlineLevel="2" x14ac:dyDescent="0.25">
      <c r="A77" s="25"/>
      <c r="B77" s="12" t="str">
        <f>CONCATENATE("          ","6235"," - ","COVID-19 EXPENSES")</f>
        <v xml:space="preserve">          6235 - COVID-19 EXPENSES</v>
      </c>
      <c r="C77" s="12"/>
      <c r="D77" s="7"/>
      <c r="E77" s="3"/>
      <c r="F77" s="8">
        <f t="shared" si="12"/>
        <v>0</v>
      </c>
      <c r="G77" s="3"/>
      <c r="H77" s="7">
        <v>2921.2</v>
      </c>
      <c r="I77" s="3"/>
      <c r="J77" s="8">
        <f t="shared" si="13"/>
        <v>5.781268863042191E-2</v>
      </c>
      <c r="K77" s="3"/>
      <c r="L77" s="7">
        <f t="shared" si="14"/>
        <v>-2921.2</v>
      </c>
      <c r="M77" s="3"/>
      <c r="N77" s="8">
        <f t="shared" si="15"/>
        <v>-1</v>
      </c>
      <c r="O77" s="12"/>
      <c r="P77" s="7">
        <v>158.76</v>
      </c>
      <c r="Q77" s="3"/>
      <c r="R77" s="8">
        <f t="shared" si="16"/>
        <v>1.3667893333404959E-5</v>
      </c>
      <c r="S77" s="3"/>
      <c r="T77" s="7">
        <v>59411.95</v>
      </c>
      <c r="U77" s="3"/>
      <c r="V77" s="8">
        <f t="shared" si="17"/>
        <v>5.9898046607437999E-2</v>
      </c>
      <c r="W77" s="3"/>
      <c r="X77" s="7">
        <f t="shared" si="18"/>
        <v>-59253.189999999995</v>
      </c>
      <c r="Y77" s="3"/>
      <c r="Z77" s="8">
        <f t="shared" si="19"/>
        <v>-0.99732781031425488</v>
      </c>
    </row>
    <row r="78" spans="1:26" s="69" customFormat="1" ht="15" hidden="1" customHeight="1" outlineLevel="2" x14ac:dyDescent="0.25">
      <c r="A78" s="25"/>
      <c r="B78" s="12" t="str">
        <f>CONCATENATE("          ","6237"," - ","JANITORIAL SUPPLIES")</f>
        <v xml:space="preserve">          6237 - JANITORIAL SUPPLIES</v>
      </c>
      <c r="C78" s="12"/>
      <c r="D78" s="7">
        <v>7985.39</v>
      </c>
      <c r="E78" s="3"/>
      <c r="F78" s="8">
        <f t="shared" si="12"/>
        <v>1.1581498585777367E-2</v>
      </c>
      <c r="G78" s="3"/>
      <c r="H78" s="7">
        <v>1425.01</v>
      </c>
      <c r="I78" s="3"/>
      <c r="J78" s="8">
        <f t="shared" si="13"/>
        <v>2.8201992135162786E-2</v>
      </c>
      <c r="K78" s="3"/>
      <c r="L78" s="7">
        <f t="shared" si="14"/>
        <v>6560.38</v>
      </c>
      <c r="M78" s="3"/>
      <c r="N78" s="8">
        <f t="shared" si="15"/>
        <v>4.6037431316271462</v>
      </c>
      <c r="O78" s="12"/>
      <c r="P78" s="7">
        <v>79885.710000000006</v>
      </c>
      <c r="Q78" s="3"/>
      <c r="R78" s="8">
        <f t="shared" si="16"/>
        <v>6.8774840208070172E-3</v>
      </c>
      <c r="S78" s="3"/>
      <c r="T78" s="7">
        <v>23166.73</v>
      </c>
      <c r="U78" s="3"/>
      <c r="V78" s="8">
        <f t="shared" si="17"/>
        <v>2.3356275518341549E-2</v>
      </c>
      <c r="W78" s="3"/>
      <c r="X78" s="7">
        <f t="shared" si="18"/>
        <v>56718.98000000001</v>
      </c>
      <c r="Y78" s="3"/>
      <c r="Z78" s="8">
        <f t="shared" si="19"/>
        <v>2.4482946017845424</v>
      </c>
    </row>
    <row r="79" spans="1:26" s="69" customFormat="1" ht="15" hidden="1" customHeight="1" outlineLevel="2" x14ac:dyDescent="0.25">
      <c r="A79" s="25"/>
      <c r="B79" s="12" t="str">
        <f>CONCATENATE("          ","6239"," - ","KITCHEN SUPPLIES")</f>
        <v xml:space="preserve">          6239 - KITCHEN SUPPLIES</v>
      </c>
      <c r="C79" s="12"/>
      <c r="D79" s="7">
        <v>702.31</v>
      </c>
      <c r="E79" s="3"/>
      <c r="F79" s="8">
        <f t="shared" si="12"/>
        <v>1.0185854756971546E-3</v>
      </c>
      <c r="G79" s="3"/>
      <c r="H79" s="7">
        <v>618.89</v>
      </c>
      <c r="I79" s="3"/>
      <c r="J79" s="8">
        <f t="shared" si="13"/>
        <v>1.2248286617308578E-2</v>
      </c>
      <c r="K79" s="3"/>
      <c r="L79" s="7">
        <f t="shared" si="14"/>
        <v>83.419999999999959</v>
      </c>
      <c r="M79" s="3"/>
      <c r="N79" s="8">
        <f t="shared" si="15"/>
        <v>0.13478970414774832</v>
      </c>
      <c r="O79" s="12"/>
      <c r="P79" s="7">
        <v>36400.160000000003</v>
      </c>
      <c r="Q79" s="3"/>
      <c r="R79" s="8">
        <f t="shared" si="16"/>
        <v>3.1337459322176488E-3</v>
      </c>
      <c r="S79" s="3"/>
      <c r="T79" s="7">
        <v>7866.27</v>
      </c>
      <c r="U79" s="3"/>
      <c r="V79" s="8">
        <f t="shared" si="17"/>
        <v>7.9306302366222853E-3</v>
      </c>
      <c r="W79" s="3"/>
      <c r="X79" s="7">
        <f t="shared" si="18"/>
        <v>28533.890000000003</v>
      </c>
      <c r="Y79" s="3"/>
      <c r="Z79" s="8">
        <f t="shared" si="19"/>
        <v>3.6273723124174482</v>
      </c>
    </row>
    <row r="80" spans="1:26" s="69" customFormat="1" ht="15" hidden="1" customHeight="1" outlineLevel="2" x14ac:dyDescent="0.25">
      <c r="A80" s="25"/>
      <c r="B80" s="12" t="str">
        <f>CONCATENATE("          ","6241"," - ","OFFICE EXPENSE")</f>
        <v xml:space="preserve">          6241 - OFFICE EXPENSE</v>
      </c>
      <c r="C80" s="12"/>
      <c r="D80" s="7">
        <v>2066.2199999999998</v>
      </c>
      <c r="E80" s="3"/>
      <c r="F80" s="8">
        <f t="shared" si="12"/>
        <v>2.9967132485582931E-3</v>
      </c>
      <c r="G80" s="3"/>
      <c r="H80" s="7">
        <v>1504.3</v>
      </c>
      <c r="I80" s="3"/>
      <c r="J80" s="8">
        <f t="shared" si="13"/>
        <v>2.9771199338197891E-2</v>
      </c>
      <c r="K80" s="3"/>
      <c r="L80" s="7">
        <f t="shared" si="14"/>
        <v>561.91999999999985</v>
      </c>
      <c r="M80" s="3"/>
      <c r="N80" s="8">
        <f t="shared" si="15"/>
        <v>0.37354251146712747</v>
      </c>
      <c r="O80" s="12"/>
      <c r="P80" s="7">
        <v>19027.560000000001</v>
      </c>
      <c r="Q80" s="3"/>
      <c r="R80" s="8">
        <f t="shared" si="16"/>
        <v>1.6381119959370301E-3</v>
      </c>
      <c r="S80" s="3"/>
      <c r="T80" s="7">
        <v>9485.1</v>
      </c>
      <c r="U80" s="3"/>
      <c r="V80" s="8">
        <f t="shared" si="17"/>
        <v>9.562705177598281E-3</v>
      </c>
      <c r="W80" s="3"/>
      <c r="X80" s="7">
        <f t="shared" si="18"/>
        <v>9542.4600000000009</v>
      </c>
      <c r="Y80" s="3"/>
      <c r="Z80" s="8">
        <f t="shared" si="19"/>
        <v>1.0060473795742797</v>
      </c>
    </row>
    <row r="81" spans="1:26" s="69" customFormat="1" ht="15" hidden="1" customHeight="1" outlineLevel="2" x14ac:dyDescent="0.25">
      <c r="A81" s="25"/>
      <c r="B81" s="12" t="str">
        <f>CONCATENATE("          ","6243"," - ","PAPER SUPPLIES")</f>
        <v xml:space="preserve">          6243 - PAPER SUPPLIES</v>
      </c>
      <c r="C81" s="12"/>
      <c r="D81" s="7">
        <v>5170.59</v>
      </c>
      <c r="E81" s="3"/>
      <c r="F81" s="8">
        <f t="shared" si="12"/>
        <v>7.4990928148324122E-3</v>
      </c>
      <c r="G81" s="3"/>
      <c r="H81" s="7">
        <v>3342.95</v>
      </c>
      <c r="I81" s="3"/>
      <c r="J81" s="8">
        <f t="shared" si="13"/>
        <v>6.6159430185221454E-2</v>
      </c>
      <c r="K81" s="3"/>
      <c r="L81" s="7">
        <f t="shared" si="14"/>
        <v>1827.6400000000003</v>
      </c>
      <c r="M81" s="3"/>
      <c r="N81" s="8">
        <f t="shared" si="15"/>
        <v>0.54671472800969212</v>
      </c>
      <c r="O81" s="12"/>
      <c r="P81" s="7">
        <v>181054.1</v>
      </c>
      <c r="Q81" s="3"/>
      <c r="R81" s="8">
        <f t="shared" si="16"/>
        <v>1.5587226797528567E-2</v>
      </c>
      <c r="S81" s="3"/>
      <c r="T81" s="7">
        <v>38718.870000000003</v>
      </c>
      <c r="U81" s="3"/>
      <c r="V81" s="8">
        <f t="shared" si="17"/>
        <v>3.9035659995124435E-2</v>
      </c>
      <c r="W81" s="3"/>
      <c r="X81" s="7">
        <f t="shared" si="18"/>
        <v>142335.23000000001</v>
      </c>
      <c r="Y81" s="3"/>
      <c r="Z81" s="8">
        <f t="shared" si="19"/>
        <v>3.6761204549616249</v>
      </c>
    </row>
    <row r="82" spans="1:26" s="69" customFormat="1" ht="15" hidden="1" customHeight="1" outlineLevel="2" x14ac:dyDescent="0.25">
      <c r="A82" s="25"/>
      <c r="B82" s="12" t="str">
        <f>CONCATENATE("          ","6247"," - ","STORE SUPPLIES")</f>
        <v xml:space="preserve">          6247 - STORE SUPPLIES</v>
      </c>
      <c r="C82" s="12"/>
      <c r="D82" s="7"/>
      <c r="E82" s="3"/>
      <c r="F82" s="8">
        <f t="shared" si="12"/>
        <v>0</v>
      </c>
      <c r="G82" s="3"/>
      <c r="H82" s="7"/>
      <c r="I82" s="3"/>
      <c r="J82" s="8">
        <f t="shared" si="13"/>
        <v>0</v>
      </c>
      <c r="K82" s="3"/>
      <c r="L82" s="7">
        <f t="shared" si="14"/>
        <v>0</v>
      </c>
      <c r="M82" s="3"/>
      <c r="N82" s="8">
        <f t="shared" si="15"/>
        <v>0</v>
      </c>
      <c r="O82" s="12"/>
      <c r="P82" s="7">
        <v>1693.55</v>
      </c>
      <c r="Q82" s="3"/>
      <c r="R82" s="8">
        <f t="shared" si="16"/>
        <v>1.4580033229269319E-4</v>
      </c>
      <c r="S82" s="3"/>
      <c r="T82" s="7"/>
      <c r="U82" s="3"/>
      <c r="V82" s="8">
        <f t="shared" si="17"/>
        <v>0</v>
      </c>
      <c r="W82" s="3"/>
      <c r="X82" s="7">
        <f t="shared" si="18"/>
        <v>1693.55</v>
      </c>
      <c r="Y82" s="3"/>
      <c r="Z82" s="8">
        <f t="shared" si="19"/>
        <v>0</v>
      </c>
    </row>
    <row r="83" spans="1:26" s="69" customFormat="1" ht="15" hidden="1" customHeight="1" outlineLevel="2" x14ac:dyDescent="0.25">
      <c r="A83" s="25"/>
      <c r="B83" s="12" t="str">
        <f>CONCATENATE("          ","6248"," - ","UNIFORMS")</f>
        <v xml:space="preserve">          6248 - UNIFORMS</v>
      </c>
      <c r="C83" s="12"/>
      <c r="D83" s="7"/>
      <c r="E83" s="3"/>
      <c r="F83" s="8">
        <f t="shared" si="12"/>
        <v>0</v>
      </c>
      <c r="G83" s="3"/>
      <c r="H83" s="7"/>
      <c r="I83" s="3"/>
      <c r="J83" s="8">
        <f t="shared" si="13"/>
        <v>0</v>
      </c>
      <c r="K83" s="3"/>
      <c r="L83" s="7">
        <f t="shared" si="14"/>
        <v>0</v>
      </c>
      <c r="M83" s="3"/>
      <c r="N83" s="8">
        <f t="shared" si="15"/>
        <v>0</v>
      </c>
      <c r="O83" s="12"/>
      <c r="P83" s="7">
        <v>6543.39</v>
      </c>
      <c r="Q83" s="3"/>
      <c r="R83" s="8">
        <f t="shared" si="16"/>
        <v>5.6333054017931904E-4</v>
      </c>
      <c r="S83" s="3"/>
      <c r="T83" s="7">
        <v>4500.59</v>
      </c>
      <c r="U83" s="3"/>
      <c r="V83" s="8">
        <f t="shared" si="17"/>
        <v>4.5374129208176038E-3</v>
      </c>
      <c r="W83" s="3"/>
      <c r="X83" s="7">
        <f t="shared" si="18"/>
        <v>2042.8000000000002</v>
      </c>
      <c r="Y83" s="3"/>
      <c r="Z83" s="8">
        <f t="shared" si="19"/>
        <v>0.4538960447408007</v>
      </c>
    </row>
    <row r="84" spans="1:26" s="68" customFormat="1" ht="15" customHeight="1" outlineLevel="1" collapsed="1" x14ac:dyDescent="0.25">
      <c r="A84" s="26"/>
      <c r="B84" s="14" t="str">
        <f>CONCATENATE("     ","Telephone/Data Lines                              ")</f>
        <v xml:space="preserve">     Telephone/Data Lines                              </v>
      </c>
      <c r="C84" s="14"/>
      <c r="D84" s="2">
        <f>SUM(OSRRefD22_16x_0)</f>
        <v>734</v>
      </c>
      <c r="E84" s="2"/>
      <c r="F84" s="6">
        <f t="shared" si="12"/>
        <v>1.0645466235162701E-3</v>
      </c>
      <c r="G84" s="2"/>
      <c r="H84" s="2">
        <f>SUM(OSRRefH22_16x_0)</f>
        <v>623</v>
      </c>
      <c r="I84" s="2"/>
      <c r="J84" s="6">
        <f t="shared" si="13"/>
        <v>1.2329626529081492E-2</v>
      </c>
      <c r="K84" s="2"/>
      <c r="L84" s="2">
        <f t="shared" si="14"/>
        <v>111</v>
      </c>
      <c r="M84" s="2"/>
      <c r="N84" s="6">
        <f t="shared" si="15"/>
        <v>0.1781701444622793</v>
      </c>
      <c r="O84" s="14"/>
      <c r="P84" s="2">
        <f>SUM(OSRRefP22_16x_0)</f>
        <v>8405.85</v>
      </c>
      <c r="Q84" s="2"/>
      <c r="R84" s="6">
        <f t="shared" si="16"/>
        <v>7.2367259496473977E-4</v>
      </c>
      <c r="S84" s="2"/>
      <c r="T84" s="2">
        <f>SUM(OSRRefT22_16x_0)</f>
        <v>5398.32</v>
      </c>
      <c r="U84" s="2"/>
      <c r="V84" s="6">
        <f t="shared" si="17"/>
        <v>5.4424879668461433E-3</v>
      </c>
      <c r="W84" s="2"/>
      <c r="X84" s="2">
        <f t="shared" si="18"/>
        <v>3007.5300000000007</v>
      </c>
      <c r="Y84" s="2"/>
      <c r="Z84" s="6">
        <f t="shared" si="19"/>
        <v>0.55712332725736913</v>
      </c>
    </row>
    <row r="85" spans="1:26" s="69" customFormat="1" ht="15" hidden="1" customHeight="1" outlineLevel="2" x14ac:dyDescent="0.25">
      <c r="A85" s="25"/>
      <c r="B85" s="12" t="str">
        <f>CONCATENATE("          ","6309"," - ","TELEPHONE")</f>
        <v xml:space="preserve">          6309 - TELEPHONE</v>
      </c>
      <c r="C85" s="12"/>
      <c r="D85" s="7">
        <v>734</v>
      </c>
      <c r="E85" s="3"/>
      <c r="F85" s="8">
        <f t="shared" si="12"/>
        <v>1.0645466235162701E-3</v>
      </c>
      <c r="G85" s="3"/>
      <c r="H85" s="7">
        <v>623</v>
      </c>
      <c r="I85" s="3"/>
      <c r="J85" s="8">
        <f t="shared" si="13"/>
        <v>1.2329626529081492E-2</v>
      </c>
      <c r="K85" s="3"/>
      <c r="L85" s="7">
        <f t="shared" si="14"/>
        <v>111</v>
      </c>
      <c r="M85" s="3"/>
      <c r="N85" s="8">
        <f t="shared" si="15"/>
        <v>0.1781701444622793</v>
      </c>
      <c r="O85" s="12"/>
      <c r="P85" s="7">
        <v>8405.85</v>
      </c>
      <c r="Q85" s="3"/>
      <c r="R85" s="8">
        <f t="shared" si="16"/>
        <v>7.2367259496473977E-4</v>
      </c>
      <c r="S85" s="3"/>
      <c r="T85" s="7">
        <v>5398.32</v>
      </c>
      <c r="U85" s="3"/>
      <c r="V85" s="8">
        <f t="shared" si="17"/>
        <v>5.4424879668461433E-3</v>
      </c>
      <c r="W85" s="3"/>
      <c r="X85" s="7">
        <f t="shared" si="18"/>
        <v>3007.5300000000007</v>
      </c>
      <c r="Y85" s="3"/>
      <c r="Z85" s="8">
        <f t="shared" si="19"/>
        <v>0.55712332725736913</v>
      </c>
    </row>
    <row r="86" spans="1:26" s="68" customFormat="1" ht="15" customHeight="1" outlineLevel="1" collapsed="1" x14ac:dyDescent="0.25">
      <c r="A86" s="26"/>
      <c r="B86" s="14" t="str">
        <f>CONCATENATE("     ","Training                                          ")</f>
        <v xml:space="preserve">     Training                                          </v>
      </c>
      <c r="C86" s="14"/>
      <c r="D86" s="2">
        <f>SUM(OSRRefD22_17x_0)</f>
        <v>8040.38</v>
      </c>
      <c r="E86" s="2"/>
      <c r="F86" s="6">
        <f t="shared" si="12"/>
        <v>1.1661252562381126E-2</v>
      </c>
      <c r="G86" s="2"/>
      <c r="H86" s="2">
        <f>SUM(OSRRefH22_17x_0)</f>
        <v>0</v>
      </c>
      <c r="I86" s="2"/>
      <c r="J86" s="6">
        <f t="shared" si="13"/>
        <v>0</v>
      </c>
      <c r="K86" s="2"/>
      <c r="L86" s="2">
        <f t="shared" si="14"/>
        <v>8040.38</v>
      </c>
      <c r="M86" s="2"/>
      <c r="N86" s="6">
        <f t="shared" si="15"/>
        <v>0</v>
      </c>
      <c r="O86" s="14"/>
      <c r="P86" s="2">
        <f>SUM(OSRRefP22_17x_0)</f>
        <v>16835.349999999999</v>
      </c>
      <c r="Q86" s="2"/>
      <c r="R86" s="6">
        <f t="shared" si="16"/>
        <v>1.4493812549164725E-3</v>
      </c>
      <c r="S86" s="2"/>
      <c r="T86" s="2">
        <f>SUM(OSRRefT22_17x_0)</f>
        <v>786.23</v>
      </c>
      <c r="U86" s="2"/>
      <c r="V86" s="6">
        <f t="shared" si="17"/>
        <v>7.9266277548819695E-4</v>
      </c>
      <c r="W86" s="2"/>
      <c r="X86" s="2">
        <f t="shared" si="18"/>
        <v>16049.119999999999</v>
      </c>
      <c r="Y86" s="2"/>
      <c r="Z86" s="6">
        <f t="shared" si="19"/>
        <v>20.41275453747631</v>
      </c>
    </row>
    <row r="87" spans="1:26" s="69" customFormat="1" ht="15" hidden="1" customHeight="1" outlineLevel="2" x14ac:dyDescent="0.25">
      <c r="A87" s="25"/>
      <c r="B87" s="12" t="str">
        <f>CONCATENATE("          ","6376"," - ","TRAINING")</f>
        <v xml:space="preserve">          6376 - TRAINING</v>
      </c>
      <c r="C87" s="12"/>
      <c r="D87" s="7">
        <v>8040.38</v>
      </c>
      <c r="E87" s="3"/>
      <c r="F87" s="8">
        <f t="shared" si="12"/>
        <v>1.1661252562381126E-2</v>
      </c>
      <c r="G87" s="3"/>
      <c r="H87" s="7"/>
      <c r="I87" s="3"/>
      <c r="J87" s="8">
        <f t="shared" si="13"/>
        <v>0</v>
      </c>
      <c r="K87" s="3"/>
      <c r="L87" s="7">
        <f t="shared" si="14"/>
        <v>8040.38</v>
      </c>
      <c r="M87" s="3"/>
      <c r="N87" s="8">
        <f t="shared" si="15"/>
        <v>0</v>
      </c>
      <c r="O87" s="12"/>
      <c r="P87" s="7">
        <v>16835.349999999999</v>
      </c>
      <c r="Q87" s="3"/>
      <c r="R87" s="8">
        <f t="shared" si="16"/>
        <v>1.4493812549164725E-3</v>
      </c>
      <c r="S87" s="3"/>
      <c r="T87" s="7">
        <v>786.23</v>
      </c>
      <c r="U87" s="3"/>
      <c r="V87" s="8">
        <f t="shared" si="17"/>
        <v>7.9266277548819695E-4</v>
      </c>
      <c r="W87" s="3"/>
      <c r="X87" s="7">
        <f t="shared" si="18"/>
        <v>16049.119999999999</v>
      </c>
      <c r="Y87" s="3"/>
      <c r="Z87" s="8">
        <f t="shared" si="19"/>
        <v>20.41275453747631</v>
      </c>
    </row>
    <row r="88" spans="1:26" s="68" customFormat="1" ht="15" customHeight="1" outlineLevel="1" collapsed="1" x14ac:dyDescent="0.25">
      <c r="A88" s="26"/>
      <c r="B88" s="14" t="str">
        <f>CONCATENATE("     ","Travel                                            ")</f>
        <v xml:space="preserve">     Travel                                            </v>
      </c>
      <c r="C88" s="14"/>
      <c r="D88" s="2">
        <f>SUM(OSRRefD22_18x_0)</f>
        <v>136.37</v>
      </c>
      <c r="E88" s="2"/>
      <c r="F88" s="6">
        <f t="shared" si="12"/>
        <v>1.977823202301277E-4</v>
      </c>
      <c r="G88" s="2"/>
      <c r="H88" s="2">
        <f>SUM(OSRRefH22_18x_0)</f>
        <v>0</v>
      </c>
      <c r="I88" s="2"/>
      <c r="J88" s="6">
        <f t="shared" si="13"/>
        <v>0</v>
      </c>
      <c r="K88" s="2"/>
      <c r="L88" s="2">
        <f t="shared" si="14"/>
        <v>136.37</v>
      </c>
      <c r="M88" s="2"/>
      <c r="N88" s="6">
        <f t="shared" si="15"/>
        <v>0</v>
      </c>
      <c r="O88" s="14"/>
      <c r="P88" s="2">
        <f>SUM(OSRRefP22_18x_0)</f>
        <v>970.41000000000008</v>
      </c>
      <c r="Q88" s="2"/>
      <c r="R88" s="6">
        <f t="shared" si="16"/>
        <v>8.3544094039238526E-5</v>
      </c>
      <c r="S88" s="2"/>
      <c r="T88" s="2">
        <f>SUM(OSRRefT22_18x_0)</f>
        <v>160.30000000000001</v>
      </c>
      <c r="U88" s="2"/>
      <c r="V88" s="6">
        <f t="shared" si="17"/>
        <v>1.6161154231046637E-4</v>
      </c>
      <c r="W88" s="2"/>
      <c r="X88" s="2">
        <f t="shared" si="18"/>
        <v>810.11000000000013</v>
      </c>
      <c r="Y88" s="2"/>
      <c r="Z88" s="6">
        <f t="shared" si="19"/>
        <v>5.0537117903930131</v>
      </c>
    </row>
    <row r="89" spans="1:26" s="69" customFormat="1" ht="15" hidden="1" customHeight="1" outlineLevel="2" x14ac:dyDescent="0.25">
      <c r="A89" s="25"/>
      <c r="B89" s="12" t="str">
        <f>CONCATENATE("          ","6292"," - ","TRAVEL/CONFERENCE")</f>
        <v xml:space="preserve">          6292 - TRAVEL/CONFERENCE</v>
      </c>
      <c r="C89" s="12"/>
      <c r="D89" s="7">
        <v>15</v>
      </c>
      <c r="E89" s="3"/>
      <c r="F89" s="8">
        <f t="shared" si="12"/>
        <v>2.1755039990114509E-5</v>
      </c>
      <c r="G89" s="3"/>
      <c r="H89" s="7"/>
      <c r="I89" s="3"/>
      <c r="J89" s="8">
        <f t="shared" si="13"/>
        <v>0</v>
      </c>
      <c r="K89" s="3"/>
      <c r="L89" s="7">
        <f t="shared" si="14"/>
        <v>15</v>
      </c>
      <c r="M89" s="3"/>
      <c r="N89" s="8">
        <f t="shared" si="15"/>
        <v>0</v>
      </c>
      <c r="O89" s="12"/>
      <c r="P89" s="7">
        <v>610</v>
      </c>
      <c r="Q89" s="3"/>
      <c r="R89" s="8">
        <f t="shared" si="16"/>
        <v>5.2515841102148062E-5</v>
      </c>
      <c r="S89" s="3"/>
      <c r="T89" s="7"/>
      <c r="U89" s="3"/>
      <c r="V89" s="8">
        <f t="shared" si="17"/>
        <v>0</v>
      </c>
      <c r="W89" s="3"/>
      <c r="X89" s="7">
        <f t="shared" si="18"/>
        <v>610</v>
      </c>
      <c r="Y89" s="3"/>
      <c r="Z89" s="8">
        <f t="shared" si="19"/>
        <v>0</v>
      </c>
    </row>
    <row r="90" spans="1:26" s="69" customFormat="1" ht="15" hidden="1" customHeight="1" outlineLevel="2" x14ac:dyDescent="0.25">
      <c r="A90" s="25"/>
      <c r="B90" s="12" t="str">
        <f>CONCATENATE("          ","6294"," - ","TRAVEL OPERATIONAL")</f>
        <v xml:space="preserve">          6294 - TRAVEL OPERATIONAL</v>
      </c>
      <c r="C90" s="12"/>
      <c r="D90" s="7"/>
      <c r="E90" s="3"/>
      <c r="F90" s="8">
        <f t="shared" si="12"/>
        <v>0</v>
      </c>
      <c r="G90" s="3"/>
      <c r="H90" s="7"/>
      <c r="I90" s="3"/>
      <c r="J90" s="8">
        <f t="shared" si="13"/>
        <v>0</v>
      </c>
      <c r="K90" s="3"/>
      <c r="L90" s="7">
        <f t="shared" si="14"/>
        <v>0</v>
      </c>
      <c r="M90" s="3"/>
      <c r="N90" s="8">
        <f t="shared" si="15"/>
        <v>0</v>
      </c>
      <c r="O90" s="12"/>
      <c r="P90" s="7"/>
      <c r="Q90" s="3"/>
      <c r="R90" s="8">
        <f t="shared" si="16"/>
        <v>0</v>
      </c>
      <c r="S90" s="3"/>
      <c r="T90" s="7">
        <v>160.30000000000001</v>
      </c>
      <c r="U90" s="3"/>
      <c r="V90" s="8">
        <f t="shared" si="17"/>
        <v>1.6161154231046637E-4</v>
      </c>
      <c r="W90" s="3"/>
      <c r="X90" s="7">
        <f t="shared" si="18"/>
        <v>-160.30000000000001</v>
      </c>
      <c r="Y90" s="3"/>
      <c r="Z90" s="8">
        <f t="shared" si="19"/>
        <v>-1</v>
      </c>
    </row>
    <row r="91" spans="1:26" s="69" customFormat="1" ht="15" hidden="1" customHeight="1" outlineLevel="2" x14ac:dyDescent="0.25">
      <c r="A91" s="25"/>
      <c r="B91" s="12" t="str">
        <f>CONCATENATE("          ","6298"," - ","VEHICLE MILEAGE")</f>
        <v xml:space="preserve">          6298 - VEHICLE MILEAGE</v>
      </c>
      <c r="C91" s="12"/>
      <c r="D91" s="7">
        <v>121.37</v>
      </c>
      <c r="E91" s="3"/>
      <c r="F91" s="8">
        <f t="shared" si="12"/>
        <v>1.760272802400132E-4</v>
      </c>
      <c r="G91" s="3"/>
      <c r="H91" s="7"/>
      <c r="I91" s="3"/>
      <c r="J91" s="8">
        <f t="shared" si="13"/>
        <v>0</v>
      </c>
      <c r="K91" s="3"/>
      <c r="L91" s="7">
        <f t="shared" si="14"/>
        <v>121.37</v>
      </c>
      <c r="M91" s="3"/>
      <c r="N91" s="8">
        <f t="shared" si="15"/>
        <v>0</v>
      </c>
      <c r="O91" s="12"/>
      <c r="P91" s="7">
        <v>360.41</v>
      </c>
      <c r="Q91" s="3"/>
      <c r="R91" s="8">
        <f t="shared" si="16"/>
        <v>3.1028252937090464E-5</v>
      </c>
      <c r="S91" s="3"/>
      <c r="T91" s="7"/>
      <c r="U91" s="3"/>
      <c r="V91" s="8">
        <f t="shared" si="17"/>
        <v>0</v>
      </c>
      <c r="W91" s="3"/>
      <c r="X91" s="7">
        <f t="shared" si="18"/>
        <v>360.41</v>
      </c>
      <c r="Y91" s="3"/>
      <c r="Z91" s="8">
        <f t="shared" si="19"/>
        <v>0</v>
      </c>
    </row>
    <row r="92" spans="1:26" s="64" customFormat="1" ht="15" customHeight="1" x14ac:dyDescent="0.25">
      <c r="A92" s="36"/>
      <c r="B92" s="36"/>
      <c r="C92" s="36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3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62" customFormat="1" ht="15" customHeight="1" x14ac:dyDescent="0.25">
      <c r="A93" s="11"/>
      <c r="B93" s="28" t="s">
        <v>290</v>
      </c>
      <c r="C93" s="11"/>
      <c r="D93" s="5">
        <f>SUM(0)</f>
        <v>0</v>
      </c>
      <c r="E93" s="5"/>
      <c r="F93" s="13">
        <f>IF(D$12=0,0,D93/D$12)</f>
        <v>0</v>
      </c>
      <c r="G93" s="5"/>
      <c r="H93" s="5">
        <f>SUM(0)</f>
        <v>0</v>
      </c>
      <c r="I93" s="5"/>
      <c r="J93" s="13">
        <f>IF(H$12=0,0,H93/H$12)</f>
        <v>0</v>
      </c>
      <c r="K93" s="5"/>
      <c r="L93" s="5">
        <f>+D93-H93</f>
        <v>0</v>
      </c>
      <c r="M93" s="5"/>
      <c r="N93" s="13">
        <f>IF(H93=0,0,L93/H93)</f>
        <v>0</v>
      </c>
      <c r="O93" s="11"/>
      <c r="P93" s="5">
        <f>SUM(0)</f>
        <v>0</v>
      </c>
      <c r="Q93" s="5"/>
      <c r="R93" s="13">
        <f>IF(P$12=0,0,P93/P$12)</f>
        <v>0</v>
      </c>
      <c r="S93" s="5"/>
      <c r="T93" s="5">
        <f>SUM(0)</f>
        <v>0</v>
      </c>
      <c r="U93" s="5"/>
      <c r="V93" s="13">
        <f>IF(T$12=0,0,T93/T$12)</f>
        <v>0</v>
      </c>
      <c r="W93" s="5"/>
      <c r="X93" s="5">
        <f>+P93-T93</f>
        <v>0</v>
      </c>
      <c r="Y93" s="5"/>
      <c r="Z93" s="13">
        <f>IF(T93=0,0,X93/T93)</f>
        <v>0</v>
      </c>
    </row>
    <row r="94" spans="1:26" ht="15" customHeight="1" x14ac:dyDescent="0.25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2" customFormat="1" ht="15" customHeight="1" x14ac:dyDescent="0.25">
      <c r="A95" s="11"/>
      <c r="B95" s="27" t="s">
        <v>291</v>
      </c>
      <c r="C95" s="27"/>
      <c r="D95" s="22">
        <f>+D23-D25+D93</f>
        <v>137280.06999999989</v>
      </c>
      <c r="E95" s="15"/>
      <c r="F95" s="23">
        <f>IF(D$12=0,0,D95/D$12)</f>
        <v>0.19910222751304779</v>
      </c>
      <c r="G95" s="15"/>
      <c r="H95" s="22">
        <f>+H23-H25+H93</f>
        <v>-175105.95</v>
      </c>
      <c r="I95" s="15"/>
      <c r="J95" s="23">
        <f>IF(H$12=0,0,H95/H$12)</f>
        <v>-3.4654750666452925</v>
      </c>
      <c r="K95" s="16"/>
      <c r="L95" s="22">
        <f>+D95-H95</f>
        <v>312386.0199999999</v>
      </c>
      <c r="M95" s="16"/>
      <c r="N95" s="23">
        <f>IF(H95=0,0,L95/H95)</f>
        <v>-1.7839828972116589</v>
      </c>
      <c r="O95" s="28"/>
      <c r="P95" s="22">
        <f>+P23-P25+P93</f>
        <v>3716274.7100000028</v>
      </c>
      <c r="Q95" s="15"/>
      <c r="R95" s="23">
        <f>IF(P$12=0,0,P95/P$12)</f>
        <v>0.31993982321687131</v>
      </c>
      <c r="S95" s="15"/>
      <c r="T95" s="22">
        <f>+T23-T25+T93</f>
        <v>-1916987.1400000001</v>
      </c>
      <c r="U95" s="15"/>
      <c r="V95" s="23">
        <f>IF(T$12=0,0,T95/T$12)</f>
        <v>-1.9326715426371175</v>
      </c>
      <c r="W95" s="16"/>
      <c r="X95" s="22">
        <f>+P95-T95</f>
        <v>5633261.8500000034</v>
      </c>
      <c r="Y95" s="16"/>
      <c r="Z95" s="23">
        <f>IF(T95=0,0,X95/T95)</f>
        <v>-2.9386017946891405</v>
      </c>
    </row>
    <row r="96" spans="1:26" ht="15" customHeight="1" x14ac:dyDescent="0.25">
      <c r="A96" s="10"/>
      <c r="B96" s="11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25">
      <c r="A97" s="48"/>
      <c r="B97" s="11" t="s">
        <v>292</v>
      </c>
      <c r="C97" s="11"/>
      <c r="D97" s="5">
        <v>68136.479999999996</v>
      </c>
      <c r="E97" s="5"/>
      <c r="F97" s="13">
        <f>IF(D$12=0,0,D97/D$12)</f>
        <v>9.8820789812375825E-2</v>
      </c>
      <c r="G97" s="5"/>
      <c r="H97" s="5">
        <v>15020.87</v>
      </c>
      <c r="I97" s="5"/>
      <c r="J97" s="13">
        <f>IF(H$12=0,0,H97/H$12)</f>
        <v>0.29727402446530388</v>
      </c>
      <c r="K97" s="5"/>
      <c r="L97" s="5">
        <f>+D97-H97</f>
        <v>53115.609999999993</v>
      </c>
      <c r="M97" s="5"/>
      <c r="N97" s="13">
        <f>IF(H97=0,0,L97/H97)</f>
        <v>3.5361207440048408</v>
      </c>
      <c r="O97" s="11"/>
      <c r="P97" s="5">
        <v>1305881.52</v>
      </c>
      <c r="Q97" s="5"/>
      <c r="R97" s="13">
        <f>IF(P$12=0,0,P97/P$12)</f>
        <v>0.11242535475828129</v>
      </c>
      <c r="S97" s="5"/>
      <c r="T97" s="5">
        <v>211956.34</v>
      </c>
      <c r="U97" s="5"/>
      <c r="V97" s="13">
        <f>IF(T$12=0,0,T97/T$12)</f>
        <v>0.21369052407911163</v>
      </c>
      <c r="W97" s="5"/>
      <c r="X97" s="5">
        <f>+P97-T97</f>
        <v>1093925.18</v>
      </c>
      <c r="Y97" s="5"/>
      <c r="Z97" s="13">
        <f>IF(T97=0,0,X97/T97)</f>
        <v>5.1610873258143632</v>
      </c>
    </row>
    <row r="98" spans="1:26" ht="15" customHeight="1" x14ac:dyDescent="0.25">
      <c r="A98" s="10"/>
      <c r="B98" s="11"/>
      <c r="C98" s="11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O98" s="11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2" customFormat="1" ht="15" customHeight="1" x14ac:dyDescent="0.25">
      <c r="A99" s="11"/>
      <c r="B99" s="27" t="s">
        <v>293</v>
      </c>
      <c r="C99" s="27"/>
      <c r="D99" s="35">
        <f>+D95-D97</f>
        <v>69143.589999999895</v>
      </c>
      <c r="E99" s="15"/>
      <c r="F99" s="30">
        <f>IF(D$12=0,0,D99/D$12)</f>
        <v>0.10028143770067195</v>
      </c>
      <c r="G99" s="15"/>
      <c r="H99" s="35">
        <f>+H95-H97</f>
        <v>-190126.82</v>
      </c>
      <c r="I99" s="15"/>
      <c r="J99" s="30">
        <f>IF(H$12=0,0,H99/H$12)</f>
        <v>-3.7627490911105963</v>
      </c>
      <c r="K99" s="16"/>
      <c r="L99" s="35">
        <f>D99-H99</f>
        <v>259270.40999999992</v>
      </c>
      <c r="M99" s="16"/>
      <c r="N99" s="30">
        <f>IF(H99=0,0,L99/H99)</f>
        <v>-1.3636708908296047</v>
      </c>
      <c r="O99" s="28"/>
      <c r="P99" s="35">
        <f>+P95-P97</f>
        <v>2410393.1900000027</v>
      </c>
      <c r="Q99" s="15"/>
      <c r="R99" s="30">
        <f>IF(P$12=0,0,P99/P$12)</f>
        <v>0.20751446845859003</v>
      </c>
      <c r="S99" s="15"/>
      <c r="T99" s="35">
        <f>+T95-T97</f>
        <v>-2128943.48</v>
      </c>
      <c r="U99" s="15"/>
      <c r="V99" s="30">
        <f>IF(T$12=0,0,T99/T$12)</f>
        <v>-2.1463620667162289</v>
      </c>
      <c r="W99" s="16"/>
      <c r="X99" s="35">
        <f>P99-T99</f>
        <v>4539336.6700000027</v>
      </c>
      <c r="Y99" s="16"/>
      <c r="Z99" s="30">
        <f>IF(T99=0,0,X99/T99)</f>
        <v>-2.1322015885550907</v>
      </c>
    </row>
    <row r="100" spans="1:26" ht="15" customHeight="1" x14ac:dyDescent="0.25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ht="15" customHeight="1" x14ac:dyDescent="0.25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2" customFormat="1" ht="15" customHeight="1" x14ac:dyDescent="0.25">
      <c r="A102" s="11"/>
      <c r="B102" s="27" t="s">
        <v>296</v>
      </c>
      <c r="C102" s="27"/>
      <c r="D102" s="32">
        <f>SUM(D99:D101)</f>
        <v>69143.589999999895</v>
      </c>
      <c r="E102" s="15"/>
      <c r="F102" s="34">
        <f>IF(D$12=0,0,D102/D$12)</f>
        <v>0.10028143770067195</v>
      </c>
      <c r="G102" s="15"/>
      <c r="H102" s="32">
        <f>SUM(H99:H101)</f>
        <v>-190126.82</v>
      </c>
      <c r="I102" s="15"/>
      <c r="J102" s="34">
        <f>IF(H$12=0,0,H102/H$12)</f>
        <v>-3.7627490911105963</v>
      </c>
      <c r="K102" s="16"/>
      <c r="L102" s="32">
        <f>+D102-H102</f>
        <v>259270.40999999992</v>
      </c>
      <c r="M102" s="16"/>
      <c r="N102" s="34">
        <f>IF(H102=0,0,L102/H102)</f>
        <v>-1.3636708908296047</v>
      </c>
      <c r="O102" s="28"/>
      <c r="P102" s="32">
        <f>SUM(P99:P101)</f>
        <v>2410393.1900000027</v>
      </c>
      <c r="Q102" s="15"/>
      <c r="R102" s="34">
        <f>IF(P$12=0,0,P102/P$12)</f>
        <v>0.20751446845859003</v>
      </c>
      <c r="S102" s="15"/>
      <c r="T102" s="32">
        <f>SUM(T99:T101)</f>
        <v>-2128943.48</v>
      </c>
      <c r="U102" s="15"/>
      <c r="V102" s="34">
        <f>IF(T$12=0,0,T102/T$12)</f>
        <v>-2.1463620667162289</v>
      </c>
      <c r="W102" s="16"/>
      <c r="X102" s="32">
        <f>+P102-T102</f>
        <v>4539336.6700000027</v>
      </c>
      <c r="Y102" s="16"/>
      <c r="Z102" s="34">
        <f>IF(T102=0,0,X102/T102)</f>
        <v>-2.1322015885550907</v>
      </c>
    </row>
    <row r="103" spans="1:26" ht="15" customHeight="1" x14ac:dyDescent="0.25">
      <c r="A103" s="10"/>
      <c r="C103" s="10"/>
      <c r="D103" s="18"/>
      <c r="E103" s="18"/>
      <c r="G103" s="18"/>
      <c r="H103" s="18"/>
      <c r="I103" s="18"/>
      <c r="J103" s="41"/>
      <c r="K103" s="18"/>
      <c r="L103" s="18"/>
      <c r="M103" s="18"/>
      <c r="P103" s="18"/>
      <c r="Q103" s="18"/>
      <c r="R103" s="41"/>
      <c r="S103" s="18"/>
      <c r="T103" s="18"/>
      <c r="U103" s="18"/>
      <c r="V103" s="41"/>
      <c r="W103" s="18"/>
      <c r="X103" s="18"/>
    </row>
    <row r="104" spans="1:26" ht="15" customHeight="1" x14ac:dyDescent="0.25">
      <c r="A104" s="10"/>
      <c r="B104" s="50">
        <v>44727.879625694448</v>
      </c>
      <c r="D104" s="18"/>
      <c r="E104" s="18"/>
      <c r="G104" s="18"/>
      <c r="H104" s="18"/>
      <c r="I104" s="18"/>
      <c r="J104" s="41"/>
      <c r="K104" s="18"/>
      <c r="L104" s="18"/>
      <c r="M104" s="18"/>
      <c r="P104" s="18"/>
      <c r="Q104" s="18"/>
      <c r="R104" s="41"/>
      <c r="S104" s="18"/>
      <c r="T104" s="18"/>
      <c r="U104" s="18"/>
      <c r="V104" s="41"/>
      <c r="W104" s="18"/>
      <c r="X104" s="18"/>
    </row>
    <row r="105" spans="1:26" ht="15" customHeight="1" x14ac:dyDescent="0.25">
      <c r="A105" s="10"/>
      <c r="B105" s="53" t="s">
        <v>297</v>
      </c>
      <c r="D105" s="18"/>
      <c r="E105" s="18"/>
      <c r="G105" s="18"/>
      <c r="H105" s="18"/>
      <c r="I105" s="18"/>
      <c r="J105" s="41"/>
      <c r="K105" s="18"/>
      <c r="L105" s="18"/>
      <c r="M105" s="18"/>
      <c r="P105" s="18"/>
      <c r="Q105" s="18"/>
      <c r="R105" s="41"/>
      <c r="S105" s="18"/>
      <c r="T105" s="18"/>
      <c r="U105" s="18"/>
      <c r="V105" s="41"/>
      <c r="W105" s="18"/>
      <c r="X105" s="18"/>
    </row>
    <row r="106" spans="1:26" ht="15" customHeight="1" x14ac:dyDescent="0.25">
      <c r="A106" s="10"/>
      <c r="B106" s="55"/>
      <c r="D106" s="18"/>
      <c r="E106" s="18"/>
      <c r="G106" s="18"/>
      <c r="H106" s="18"/>
      <c r="I106" s="18"/>
      <c r="J106" s="41"/>
      <c r="K106" s="18"/>
      <c r="L106" s="18"/>
      <c r="M106" s="18"/>
      <c r="P106" s="18"/>
      <c r="Q106" s="18"/>
      <c r="R106" s="41"/>
      <c r="S106" s="18"/>
      <c r="T106" s="18"/>
      <c r="U106" s="18"/>
      <c r="V106" s="41"/>
      <c r="W106" s="18"/>
      <c r="X106" s="18"/>
    </row>
    <row r="107" spans="1:26" ht="15" customHeight="1" x14ac:dyDescent="0.25">
      <c r="D107" s="18"/>
      <c r="E107" s="18"/>
      <c r="G107" s="18"/>
      <c r="H107" s="18"/>
      <c r="I107" s="18"/>
      <c r="J107" s="41"/>
      <c r="K107" s="18"/>
      <c r="L107" s="18"/>
      <c r="M107" s="18"/>
      <c r="P107" s="18"/>
      <c r="Q107" s="18"/>
      <c r="R107" s="41"/>
      <c r="S107" s="18"/>
      <c r="T107" s="18"/>
      <c r="U107" s="18"/>
      <c r="V107" s="41"/>
      <c r="W107" s="18"/>
      <c r="X10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5A46-F172-B1F1-BCAC-FFDB2629A18B}">
  <sheetPr>
    <tabColor rgb="FF92D050"/>
    <outlinePr summaryBelow="0" summaryRight="0"/>
  </sheetPr>
  <dimension ref="A2:Z6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","430"," - ","Res Hall Management")</f>
        <v>Department 430 - Res Hall Management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25">
      <c r="A12" s="11"/>
      <c r="B12" s="28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25">
      <c r="A14" s="11"/>
      <c r="B14" s="28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25">
      <c r="A16" s="11"/>
      <c r="B16" s="27" t="s">
        <v>288</v>
      </c>
      <c r="C16" s="27"/>
      <c r="D16" s="22">
        <f>D12-D14</f>
        <v>0</v>
      </c>
      <c r="E16" s="15"/>
      <c r="F16" s="23">
        <f>IF(D$12=0,0,D16/D$12)</f>
        <v>0</v>
      </c>
      <c r="G16" s="15"/>
      <c r="H16" s="22">
        <f>H12-H14</f>
        <v>0</v>
      </c>
      <c r="I16" s="15"/>
      <c r="J16" s="23">
        <f>IF(H$12=0,0,H16/H$12)</f>
        <v>0</v>
      </c>
      <c r="K16" s="16"/>
      <c r="L16" s="22">
        <f>+D16-H16</f>
        <v>0</v>
      </c>
      <c r="M16" s="16"/>
      <c r="N16" s="23">
        <f>IF(H16=0,0,L16/H16)</f>
        <v>0</v>
      </c>
      <c r="O16" s="28"/>
      <c r="P16" s="22">
        <f>P12-P14</f>
        <v>0</v>
      </c>
      <c r="Q16" s="15"/>
      <c r="R16" s="23">
        <f>IF(P$12=0,0,P16/P$12)</f>
        <v>0</v>
      </c>
      <c r="S16" s="15"/>
      <c r="T16" s="22">
        <f>T12-T14</f>
        <v>0</v>
      </c>
      <c r="U16" s="15"/>
      <c r="V16" s="23">
        <f>IF(T$12=0,0,T16/T$12)</f>
        <v>0</v>
      </c>
      <c r="W16" s="16"/>
      <c r="X16" s="22">
        <f>+P16-T16</f>
        <v>0</v>
      </c>
      <c r="Y16" s="16"/>
      <c r="Z16" s="23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25">
      <c r="A18" s="11"/>
      <c r="B18" s="28" t="s">
        <v>289</v>
      </c>
      <c r="C18" s="11"/>
      <c r="D18" s="21" cm="1">
        <f t="array" ref="D18">SUM(OSRRefD22x_0)</f>
        <v>28291.51</v>
      </c>
      <c r="E18" s="21"/>
      <c r="F18" s="31">
        <f t="shared" ref="F18:F45" si="0">IF(D$12=0,0,D18/D$12)</f>
        <v>0</v>
      </c>
      <c r="G18" s="21"/>
      <c r="H18" s="21" cm="1">
        <f t="array" ref="H18">SUM(OSRRefH22x_0)</f>
        <v>18469.2</v>
      </c>
      <c r="I18" s="21"/>
      <c r="J18" s="31">
        <f t="shared" ref="J18:J45" si="1">IF(H$12=0,0,H18/H$12)</f>
        <v>0</v>
      </c>
      <c r="K18" s="5"/>
      <c r="L18" s="21">
        <f t="shared" ref="L18:L45" si="2">+D18-H18</f>
        <v>9822.3099999999977</v>
      </c>
      <c r="M18" s="5"/>
      <c r="N18" s="31">
        <f t="shared" ref="N18:N45" si="3">IF(H18=0,0,L18/H18)</f>
        <v>0.5318210859160114</v>
      </c>
      <c r="O18" s="11"/>
      <c r="P18" s="21" cm="1">
        <f t="array" ref="P18">SUM(OSRRefP22x_0)</f>
        <v>230580.63</v>
      </c>
      <c r="Q18" s="21"/>
      <c r="R18" s="31">
        <f t="shared" ref="R18:R45" si="4">IF(P$12=0,0,P18/P$12)</f>
        <v>0</v>
      </c>
      <c r="S18" s="21"/>
      <c r="T18" s="21" cm="1">
        <f t="array" ref="T18">SUM(OSRRefT22x_0)</f>
        <v>190488.40000000002</v>
      </c>
      <c r="U18" s="21"/>
      <c r="V18" s="31">
        <f t="shared" ref="V18:V45" si="5">IF(T$12=0,0,T18/T$12)</f>
        <v>0</v>
      </c>
      <c r="W18" s="5"/>
      <c r="X18" s="21">
        <f t="shared" ref="X18:X45" si="6">+P18-T18</f>
        <v>40092.229999999981</v>
      </c>
      <c r="Y18" s="5"/>
      <c r="Z18" s="31">
        <f t="shared" ref="Z18:Z45" si="7">IF(T18=0,0,X18/T18)</f>
        <v>0.21047071632708331</v>
      </c>
    </row>
    <row r="19" spans="1:26" s="68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5852.9999999999991</v>
      </c>
      <c r="E19" s="2"/>
      <c r="F19" s="6">
        <f t="shared" si="0"/>
        <v>0</v>
      </c>
      <c r="G19" s="2"/>
      <c r="H19" s="2">
        <f>SUM(OSRRefH22_0x_0)</f>
        <v>5934.6600000000008</v>
      </c>
      <c r="I19" s="2"/>
      <c r="J19" s="6">
        <f t="shared" si="1"/>
        <v>0</v>
      </c>
      <c r="K19" s="2"/>
      <c r="L19" s="2">
        <f t="shared" si="2"/>
        <v>-81.660000000001673</v>
      </c>
      <c r="M19" s="2"/>
      <c r="N19" s="6">
        <f t="shared" si="3"/>
        <v>-1.3759844708879981E-2</v>
      </c>
      <c r="O19" s="14"/>
      <c r="P19" s="2">
        <f>SUM(OSRRefP22_0x_0)</f>
        <v>66541.070000000007</v>
      </c>
      <c r="Q19" s="2"/>
      <c r="R19" s="6">
        <f t="shared" si="4"/>
        <v>0</v>
      </c>
      <c r="S19" s="2"/>
      <c r="T19" s="2">
        <f>SUM(OSRRefT22_0x_0)</f>
        <v>63897.46</v>
      </c>
      <c r="U19" s="2"/>
      <c r="V19" s="6">
        <f t="shared" si="5"/>
        <v>0</v>
      </c>
      <c r="W19" s="2"/>
      <c r="X19" s="2">
        <f t="shared" si="6"/>
        <v>2643.6100000000079</v>
      </c>
      <c r="Y19" s="2"/>
      <c r="Z19" s="6">
        <f t="shared" si="7"/>
        <v>4.1372693061664863E-2</v>
      </c>
    </row>
    <row r="20" spans="1:26" s="69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7">
        <v>718.56</v>
      </c>
      <c r="E20" s="3"/>
      <c r="F20" s="8">
        <f t="shared" si="0"/>
        <v>0</v>
      </c>
      <c r="G20" s="3"/>
      <c r="H20" s="7">
        <v>691.15</v>
      </c>
      <c r="I20" s="3"/>
      <c r="J20" s="8">
        <f t="shared" si="1"/>
        <v>0</v>
      </c>
      <c r="K20" s="3"/>
      <c r="L20" s="7">
        <f t="shared" si="2"/>
        <v>27.409999999999968</v>
      </c>
      <c r="M20" s="3"/>
      <c r="N20" s="8">
        <f t="shared" si="3"/>
        <v>3.9658540114302206E-2</v>
      </c>
      <c r="O20" s="12"/>
      <c r="P20" s="7">
        <v>8511.27</v>
      </c>
      <c r="Q20" s="3"/>
      <c r="R20" s="8">
        <f t="shared" si="4"/>
        <v>0</v>
      </c>
      <c r="S20" s="3"/>
      <c r="T20" s="7">
        <v>8476.69</v>
      </c>
      <c r="U20" s="3"/>
      <c r="V20" s="8">
        <f t="shared" si="5"/>
        <v>0</v>
      </c>
      <c r="W20" s="3"/>
      <c r="X20" s="7">
        <f t="shared" si="6"/>
        <v>34.579999999999927</v>
      </c>
      <c r="Y20" s="3"/>
      <c r="Z20" s="8">
        <f t="shared" si="7"/>
        <v>4.0794225104374381E-3</v>
      </c>
    </row>
    <row r="21" spans="1:26" s="69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7">
        <v>508.57</v>
      </c>
      <c r="E21" s="3"/>
      <c r="F21" s="8">
        <f t="shared" si="0"/>
        <v>0</v>
      </c>
      <c r="G21" s="3"/>
      <c r="H21" s="7">
        <v>582.98</v>
      </c>
      <c r="I21" s="3"/>
      <c r="J21" s="8">
        <f t="shared" si="1"/>
        <v>0</v>
      </c>
      <c r="K21" s="3"/>
      <c r="L21" s="7">
        <f t="shared" si="2"/>
        <v>-74.410000000000025</v>
      </c>
      <c r="M21" s="3"/>
      <c r="N21" s="8">
        <f t="shared" si="3"/>
        <v>-0.12763731174311302</v>
      </c>
      <c r="O21" s="12"/>
      <c r="P21" s="7">
        <v>3997.01</v>
      </c>
      <c r="Q21" s="3"/>
      <c r="R21" s="8">
        <f t="shared" si="4"/>
        <v>0</v>
      </c>
      <c r="S21" s="3"/>
      <c r="T21" s="7">
        <v>4744.07</v>
      </c>
      <c r="U21" s="3"/>
      <c r="V21" s="8">
        <f t="shared" si="5"/>
        <v>0</v>
      </c>
      <c r="W21" s="3"/>
      <c r="X21" s="7">
        <f t="shared" si="6"/>
        <v>-747.05999999999949</v>
      </c>
      <c r="Y21" s="3"/>
      <c r="Z21" s="8">
        <f t="shared" si="7"/>
        <v>-0.15747238130971919</v>
      </c>
    </row>
    <row r="22" spans="1:26" s="69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7">
        <v>2467.5700000000002</v>
      </c>
      <c r="E22" s="3"/>
      <c r="F22" s="8">
        <f t="shared" si="0"/>
        <v>0</v>
      </c>
      <c r="G22" s="3"/>
      <c r="H22" s="7">
        <v>2691.73</v>
      </c>
      <c r="I22" s="3"/>
      <c r="J22" s="8">
        <f t="shared" si="1"/>
        <v>0</v>
      </c>
      <c r="K22" s="3"/>
      <c r="L22" s="7">
        <f t="shared" si="2"/>
        <v>-224.15999999999985</v>
      </c>
      <c r="M22" s="3"/>
      <c r="N22" s="8">
        <f t="shared" si="3"/>
        <v>-8.3277297500120681E-2</v>
      </c>
      <c r="O22" s="12"/>
      <c r="P22" s="7">
        <v>28476.98</v>
      </c>
      <c r="Q22" s="3"/>
      <c r="R22" s="8">
        <f t="shared" si="4"/>
        <v>0</v>
      </c>
      <c r="S22" s="3"/>
      <c r="T22" s="7">
        <v>29886.05</v>
      </c>
      <c r="U22" s="3"/>
      <c r="V22" s="8">
        <f t="shared" si="5"/>
        <v>0</v>
      </c>
      <c r="W22" s="3"/>
      <c r="X22" s="7">
        <f t="shared" si="6"/>
        <v>-1409.0699999999997</v>
      </c>
      <c r="Y22" s="3"/>
      <c r="Z22" s="8">
        <f t="shared" si="7"/>
        <v>-4.71480841395902E-2</v>
      </c>
    </row>
    <row r="23" spans="1:26" s="69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7">
        <v>36.729999999999997</v>
      </c>
      <c r="E23" s="3"/>
      <c r="F23" s="8">
        <f t="shared" si="0"/>
        <v>0</v>
      </c>
      <c r="G23" s="3"/>
      <c r="H23" s="7">
        <v>35.33</v>
      </c>
      <c r="I23" s="3"/>
      <c r="J23" s="8">
        <f t="shared" si="1"/>
        <v>0</v>
      </c>
      <c r="K23" s="3"/>
      <c r="L23" s="7">
        <f t="shared" si="2"/>
        <v>1.3999999999999986</v>
      </c>
      <c r="M23" s="3"/>
      <c r="N23" s="8">
        <f t="shared" si="3"/>
        <v>3.9626379847155356E-2</v>
      </c>
      <c r="O23" s="12"/>
      <c r="P23" s="7">
        <v>288.66000000000003</v>
      </c>
      <c r="Q23" s="3"/>
      <c r="R23" s="8">
        <f t="shared" si="4"/>
        <v>0</v>
      </c>
      <c r="S23" s="3"/>
      <c r="T23" s="7">
        <v>287.5</v>
      </c>
      <c r="U23" s="3"/>
      <c r="V23" s="8">
        <f t="shared" si="5"/>
        <v>0</v>
      </c>
      <c r="W23" s="3"/>
      <c r="X23" s="7">
        <f t="shared" si="6"/>
        <v>1.160000000000025</v>
      </c>
      <c r="Y23" s="3"/>
      <c r="Z23" s="8">
        <f t="shared" si="7"/>
        <v>4.0347826086957394E-3</v>
      </c>
    </row>
    <row r="24" spans="1:26" s="69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7">
        <v>707.23</v>
      </c>
      <c r="E24" s="3"/>
      <c r="F24" s="8">
        <f t="shared" si="0"/>
        <v>0</v>
      </c>
      <c r="G24" s="3"/>
      <c r="H24" s="7">
        <v>692.57</v>
      </c>
      <c r="I24" s="3"/>
      <c r="J24" s="8">
        <f t="shared" si="1"/>
        <v>0</v>
      </c>
      <c r="K24" s="3"/>
      <c r="L24" s="7">
        <f t="shared" si="2"/>
        <v>14.659999999999968</v>
      </c>
      <c r="M24" s="3"/>
      <c r="N24" s="8">
        <f t="shared" si="3"/>
        <v>2.1167535411582897E-2</v>
      </c>
      <c r="O24" s="12"/>
      <c r="P24" s="7">
        <v>8222.9</v>
      </c>
      <c r="Q24" s="3"/>
      <c r="R24" s="8">
        <f t="shared" si="4"/>
        <v>0</v>
      </c>
      <c r="S24" s="3"/>
      <c r="T24" s="7">
        <v>8310.85</v>
      </c>
      <c r="U24" s="3"/>
      <c r="V24" s="8">
        <f t="shared" si="5"/>
        <v>0</v>
      </c>
      <c r="W24" s="3"/>
      <c r="X24" s="7">
        <f t="shared" si="6"/>
        <v>-87.950000000000728</v>
      </c>
      <c r="Y24" s="3"/>
      <c r="Z24" s="8">
        <f t="shared" si="7"/>
        <v>-1.0582551724552931E-2</v>
      </c>
    </row>
    <row r="25" spans="1:26" s="69" customFormat="1" ht="15" hidden="1" customHeight="1" outlineLevel="2" x14ac:dyDescent="0.25">
      <c r="A25" s="25"/>
      <c r="B25" s="12" t="str">
        <f>CONCATENATE("          ","6118"," - ","VACATION")</f>
        <v xml:space="preserve">          6118 - VACATION</v>
      </c>
      <c r="C25" s="12"/>
      <c r="D25" s="7">
        <v>860.74</v>
      </c>
      <c r="E25" s="3"/>
      <c r="F25" s="8">
        <f t="shared" si="0"/>
        <v>0</v>
      </c>
      <c r="G25" s="3"/>
      <c r="H25" s="7">
        <v>827.64</v>
      </c>
      <c r="I25" s="3"/>
      <c r="J25" s="8">
        <f t="shared" si="1"/>
        <v>0</v>
      </c>
      <c r="K25" s="3"/>
      <c r="L25" s="7">
        <f t="shared" si="2"/>
        <v>33.100000000000023</v>
      </c>
      <c r="M25" s="3"/>
      <c r="N25" s="8">
        <f t="shared" si="3"/>
        <v>3.9993233773138105E-2</v>
      </c>
      <c r="O25" s="12"/>
      <c r="P25" s="7">
        <v>10097.530000000001</v>
      </c>
      <c r="Q25" s="3"/>
      <c r="R25" s="8">
        <f t="shared" si="4"/>
        <v>0</v>
      </c>
      <c r="S25" s="3"/>
      <c r="T25" s="7">
        <v>7065.18</v>
      </c>
      <c r="U25" s="3"/>
      <c r="V25" s="8">
        <f t="shared" si="5"/>
        <v>0</v>
      </c>
      <c r="W25" s="3"/>
      <c r="X25" s="7">
        <f t="shared" si="6"/>
        <v>3032.3500000000004</v>
      </c>
      <c r="Y25" s="3"/>
      <c r="Z25" s="8">
        <f t="shared" si="7"/>
        <v>0.4291964252856969</v>
      </c>
    </row>
    <row r="26" spans="1:26" s="69" customFormat="1" ht="15" hidden="1" customHeight="1" outlineLevel="2" x14ac:dyDescent="0.25">
      <c r="A26" s="25"/>
      <c r="B26" s="12" t="str">
        <f>CONCATENATE("          ","6119"," - ","SICK LEAVE")</f>
        <v xml:space="preserve">          6119 - SICK LEAVE</v>
      </c>
      <c r="C26" s="12"/>
      <c r="D26" s="7">
        <v>429.78</v>
      </c>
      <c r="E26" s="3"/>
      <c r="F26" s="8">
        <f t="shared" si="0"/>
        <v>0</v>
      </c>
      <c r="G26" s="3"/>
      <c r="H26" s="7">
        <v>413.26</v>
      </c>
      <c r="I26" s="3"/>
      <c r="J26" s="8">
        <f t="shared" si="1"/>
        <v>0</v>
      </c>
      <c r="K26" s="3"/>
      <c r="L26" s="7">
        <f t="shared" si="2"/>
        <v>16.519999999999982</v>
      </c>
      <c r="M26" s="3"/>
      <c r="N26" s="8">
        <f t="shared" si="3"/>
        <v>3.9974834244785325E-2</v>
      </c>
      <c r="O26" s="12"/>
      <c r="P26" s="7">
        <v>5827.87</v>
      </c>
      <c r="Q26" s="3"/>
      <c r="R26" s="8">
        <f t="shared" si="4"/>
        <v>0</v>
      </c>
      <c r="S26" s="3"/>
      <c r="T26" s="7">
        <v>4959.12</v>
      </c>
      <c r="U26" s="3"/>
      <c r="V26" s="8">
        <f t="shared" si="5"/>
        <v>0</v>
      </c>
      <c r="W26" s="3"/>
      <c r="X26" s="7">
        <f t="shared" si="6"/>
        <v>868.75</v>
      </c>
      <c r="Y26" s="3"/>
      <c r="Z26" s="8">
        <f t="shared" si="7"/>
        <v>0.17518229040636243</v>
      </c>
    </row>
    <row r="27" spans="1:26" s="69" customFormat="1" ht="15" hidden="1" customHeight="1" outlineLevel="2" x14ac:dyDescent="0.25">
      <c r="A27" s="25"/>
      <c r="B27" s="12" t="str">
        <f>CONCATENATE("          ","6156"," - ","EMPLOYEE MEALS")</f>
        <v xml:space="preserve">          6156 - EMPLOYEE MEALS</v>
      </c>
      <c r="C27" s="12"/>
      <c r="D27" s="7">
        <v>123.82</v>
      </c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123.82</v>
      </c>
      <c r="M27" s="3"/>
      <c r="N27" s="8">
        <f t="shared" si="3"/>
        <v>0</v>
      </c>
      <c r="O27" s="12"/>
      <c r="P27" s="7">
        <v>1118.8499999999999</v>
      </c>
      <c r="Q27" s="3"/>
      <c r="R27" s="8">
        <f t="shared" si="4"/>
        <v>0</v>
      </c>
      <c r="S27" s="3"/>
      <c r="T27" s="7">
        <v>168</v>
      </c>
      <c r="U27" s="3"/>
      <c r="V27" s="8">
        <f t="shared" si="5"/>
        <v>0</v>
      </c>
      <c r="W27" s="3"/>
      <c r="X27" s="7">
        <f t="shared" si="6"/>
        <v>950.84999999999991</v>
      </c>
      <c r="Y27" s="3"/>
      <c r="Z27" s="8">
        <f t="shared" si="7"/>
        <v>5.6598214285714281</v>
      </c>
    </row>
    <row r="28" spans="1:26" s="68" customFormat="1" ht="15" customHeight="1" outlineLevel="1" collapsed="1" x14ac:dyDescent="0.25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9317.92</v>
      </c>
      <c r="E28" s="2"/>
      <c r="F28" s="6">
        <f t="shared" si="0"/>
        <v>0</v>
      </c>
      <c r="G28" s="2"/>
      <c r="H28" s="2">
        <f>SUM(OSRRefH22_1x_0)</f>
        <v>8959.5400000000009</v>
      </c>
      <c r="I28" s="2"/>
      <c r="J28" s="6">
        <f t="shared" si="1"/>
        <v>0</v>
      </c>
      <c r="K28" s="2"/>
      <c r="L28" s="2">
        <f t="shared" si="2"/>
        <v>358.3799999999992</v>
      </c>
      <c r="M28" s="2"/>
      <c r="N28" s="6">
        <f t="shared" si="3"/>
        <v>3.9999821419403135E-2</v>
      </c>
      <c r="O28" s="14"/>
      <c r="P28" s="2">
        <f>SUM(OSRRefP22_1x_0)</f>
        <v>103733.48</v>
      </c>
      <c r="Q28" s="2"/>
      <c r="R28" s="6">
        <f t="shared" si="4"/>
        <v>0</v>
      </c>
      <c r="S28" s="2"/>
      <c r="T28" s="2">
        <f>SUM(OSRRefT22_1x_0)</f>
        <v>100123.86</v>
      </c>
      <c r="U28" s="2"/>
      <c r="V28" s="6">
        <f t="shared" si="5"/>
        <v>0</v>
      </c>
      <c r="W28" s="2"/>
      <c r="X28" s="2">
        <f t="shared" si="6"/>
        <v>3609.6199999999953</v>
      </c>
      <c r="Y28" s="2"/>
      <c r="Z28" s="6">
        <f t="shared" si="7"/>
        <v>3.6051546554437625E-2</v>
      </c>
    </row>
    <row r="29" spans="1:26" s="69" customFormat="1" ht="15" hidden="1" customHeight="1" outlineLevel="2" x14ac:dyDescent="0.25">
      <c r="A29" s="25"/>
      <c r="B29" s="12" t="str">
        <f>CONCATENATE("          ","6001"," - ","ADMINISTRATIVE SALARIES")</f>
        <v xml:space="preserve">          6001 - ADMINISTRATIVE SALARIES</v>
      </c>
      <c r="C29" s="12"/>
      <c r="D29" s="7">
        <v>9317.92</v>
      </c>
      <c r="E29" s="3"/>
      <c r="F29" s="8">
        <f t="shared" si="0"/>
        <v>0</v>
      </c>
      <c r="G29" s="3"/>
      <c r="H29" s="7">
        <v>8959.5400000000009</v>
      </c>
      <c r="I29" s="3"/>
      <c r="J29" s="8">
        <f t="shared" si="1"/>
        <v>0</v>
      </c>
      <c r="K29" s="3"/>
      <c r="L29" s="7">
        <f t="shared" si="2"/>
        <v>358.3799999999992</v>
      </c>
      <c r="M29" s="3"/>
      <c r="N29" s="8">
        <f t="shared" si="3"/>
        <v>3.9999821419403135E-2</v>
      </c>
      <c r="O29" s="12"/>
      <c r="P29" s="7">
        <v>103733.48</v>
      </c>
      <c r="Q29" s="3"/>
      <c r="R29" s="8">
        <f t="shared" si="4"/>
        <v>0</v>
      </c>
      <c r="S29" s="3"/>
      <c r="T29" s="7">
        <v>100123.86</v>
      </c>
      <c r="U29" s="3"/>
      <c r="V29" s="8">
        <f t="shared" si="5"/>
        <v>0</v>
      </c>
      <c r="W29" s="3"/>
      <c r="X29" s="7">
        <f t="shared" si="6"/>
        <v>3609.6199999999953</v>
      </c>
      <c r="Y29" s="3"/>
      <c r="Z29" s="8">
        <f t="shared" si="7"/>
        <v>3.6051546554437625E-2</v>
      </c>
    </row>
    <row r="30" spans="1:26" s="68" customFormat="1" ht="15" customHeight="1" outlineLevel="1" collapsed="1" x14ac:dyDescent="0.25">
      <c r="A30" s="26"/>
      <c r="B30" s="14" t="str">
        <f>CONCATENATE("     ","Advertising/Promo                                 ")</f>
        <v xml:space="preserve">     Advertising/Promo                                 </v>
      </c>
      <c r="C30" s="14"/>
      <c r="D30" s="2">
        <f>SUM(OSRRefD22_2x_0)</f>
        <v>0</v>
      </c>
      <c r="E30" s="2"/>
      <c r="F30" s="6">
        <f t="shared" si="0"/>
        <v>0</v>
      </c>
      <c r="G30" s="2"/>
      <c r="H30" s="2">
        <f>SUM(OSRRefH22_2x_0)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SUM(OSRRefP22_2x_0)</f>
        <v>45</v>
      </c>
      <c r="Q30" s="2"/>
      <c r="R30" s="6">
        <f t="shared" si="4"/>
        <v>0</v>
      </c>
      <c r="S30" s="2"/>
      <c r="T30" s="2">
        <f>SUM(OSRRefT22_2x_0)</f>
        <v>0</v>
      </c>
      <c r="U30" s="2"/>
      <c r="V30" s="6">
        <f t="shared" si="5"/>
        <v>0</v>
      </c>
      <c r="W30" s="2"/>
      <c r="X30" s="2">
        <f t="shared" si="6"/>
        <v>45</v>
      </c>
      <c r="Y30" s="2"/>
      <c r="Z30" s="6">
        <f t="shared" si="7"/>
        <v>0</v>
      </c>
    </row>
    <row r="31" spans="1:26" s="69" customFormat="1" ht="15" hidden="1" customHeight="1" outlineLevel="2" x14ac:dyDescent="0.25">
      <c r="A31" s="25"/>
      <c r="B31" s="12" t="str">
        <f>CONCATENATE("          ","6362"," - ","ADVERTISING EXPENSE")</f>
        <v xml:space="preserve">          6362 - ADVERTISING EXPENSE</v>
      </c>
      <c r="C31" s="12"/>
      <c r="D31" s="7"/>
      <c r="E31" s="3"/>
      <c r="F31" s="8">
        <f t="shared" si="0"/>
        <v>0</v>
      </c>
      <c r="G31" s="3"/>
      <c r="H31" s="7"/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>
        <v>45</v>
      </c>
      <c r="Q31" s="3"/>
      <c r="R31" s="8">
        <f t="shared" si="4"/>
        <v>0</v>
      </c>
      <c r="S31" s="3"/>
      <c r="T31" s="7"/>
      <c r="U31" s="3"/>
      <c r="V31" s="8">
        <f t="shared" si="5"/>
        <v>0</v>
      </c>
      <c r="W31" s="3"/>
      <c r="X31" s="7">
        <f t="shared" si="6"/>
        <v>45</v>
      </c>
      <c r="Y31" s="3"/>
      <c r="Z31" s="8">
        <f t="shared" si="7"/>
        <v>0</v>
      </c>
    </row>
    <row r="32" spans="1:26" s="68" customFormat="1" ht="15" customHeight="1" outlineLevel="1" collapsed="1" x14ac:dyDescent="0.25">
      <c r="A32" s="26"/>
      <c r="B32" s="14" t="str">
        <f>CONCATENATE("     ","General                                           ")</f>
        <v xml:space="preserve">     General                                           </v>
      </c>
      <c r="C32" s="14"/>
      <c r="D32" s="2">
        <f>SUM(OSRRefD22_3x_0)</f>
        <v>43.2</v>
      </c>
      <c r="E32" s="2"/>
      <c r="F32" s="6">
        <f t="shared" si="0"/>
        <v>0</v>
      </c>
      <c r="G32" s="2"/>
      <c r="H32" s="2">
        <f>SUM(OSRRefH22_3x_0)</f>
        <v>0</v>
      </c>
      <c r="I32" s="2"/>
      <c r="J32" s="6">
        <f t="shared" si="1"/>
        <v>0</v>
      </c>
      <c r="K32" s="2"/>
      <c r="L32" s="2">
        <f t="shared" si="2"/>
        <v>43.2</v>
      </c>
      <c r="M32" s="2"/>
      <c r="N32" s="6">
        <f t="shared" si="3"/>
        <v>0</v>
      </c>
      <c r="O32" s="14"/>
      <c r="P32" s="2">
        <f>SUM(OSRRefP22_3x_0)</f>
        <v>795.2</v>
      </c>
      <c r="Q32" s="2"/>
      <c r="R32" s="6">
        <f t="shared" si="4"/>
        <v>0</v>
      </c>
      <c r="S32" s="2"/>
      <c r="T32" s="2">
        <f>SUM(OSRRefT22_3x_0)</f>
        <v>1.65</v>
      </c>
      <c r="U32" s="2"/>
      <c r="V32" s="6">
        <f t="shared" si="5"/>
        <v>0</v>
      </c>
      <c r="W32" s="2"/>
      <c r="X32" s="2">
        <f t="shared" si="6"/>
        <v>793.55000000000007</v>
      </c>
      <c r="Y32" s="2"/>
      <c r="Z32" s="6">
        <f t="shared" si="7"/>
        <v>480.93939393939399</v>
      </c>
    </row>
    <row r="33" spans="1:26" s="69" customFormat="1" ht="15" hidden="1" customHeight="1" outlineLevel="2" x14ac:dyDescent="0.25">
      <c r="A33" s="25"/>
      <c r="B33" s="12" t="str">
        <f>CONCATENATE("          ","6279"," - ","GENERAL EXPENSE")</f>
        <v xml:space="preserve">          6279 - GENERAL EXPENSE</v>
      </c>
      <c r="C33" s="12"/>
      <c r="D33" s="7">
        <v>43.2</v>
      </c>
      <c r="E33" s="3"/>
      <c r="F33" s="8">
        <f t="shared" si="0"/>
        <v>0</v>
      </c>
      <c r="G33" s="3"/>
      <c r="H33" s="7"/>
      <c r="I33" s="3"/>
      <c r="J33" s="8">
        <f t="shared" si="1"/>
        <v>0</v>
      </c>
      <c r="K33" s="3"/>
      <c r="L33" s="7">
        <f t="shared" si="2"/>
        <v>43.2</v>
      </c>
      <c r="M33" s="3"/>
      <c r="N33" s="8">
        <f t="shared" si="3"/>
        <v>0</v>
      </c>
      <c r="O33" s="12"/>
      <c r="P33" s="7">
        <v>795.2</v>
      </c>
      <c r="Q33" s="3"/>
      <c r="R33" s="8">
        <f t="shared" si="4"/>
        <v>0</v>
      </c>
      <c r="S33" s="3"/>
      <c r="T33" s="7">
        <v>1.65</v>
      </c>
      <c r="U33" s="3"/>
      <c r="V33" s="8">
        <f t="shared" si="5"/>
        <v>0</v>
      </c>
      <c r="W33" s="3"/>
      <c r="X33" s="7">
        <f t="shared" si="6"/>
        <v>793.55000000000007</v>
      </c>
      <c r="Y33" s="3"/>
      <c r="Z33" s="8">
        <f t="shared" si="7"/>
        <v>480.93939393939399</v>
      </c>
    </row>
    <row r="34" spans="1:26" s="68" customFormat="1" ht="15" customHeight="1" outlineLevel="1" collapsed="1" x14ac:dyDescent="0.25">
      <c r="A34" s="26"/>
      <c r="B34" s="14" t="str">
        <f>CONCATENATE("     ","Repair and Maintenance                            ")</f>
        <v xml:space="preserve">     Repair and Maintenance                            </v>
      </c>
      <c r="C34" s="14"/>
      <c r="D34" s="2">
        <f>SUM(OSRRefD22_4x_0)</f>
        <v>3500</v>
      </c>
      <c r="E34" s="2"/>
      <c r="F34" s="6">
        <f t="shared" si="0"/>
        <v>0</v>
      </c>
      <c r="G34" s="2"/>
      <c r="H34" s="2">
        <f>SUM(OSRRefH22_4x_0)</f>
        <v>3500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SUM(OSRRefP22_4x_0)</f>
        <v>38500</v>
      </c>
      <c r="Q34" s="2"/>
      <c r="R34" s="6">
        <f t="shared" si="4"/>
        <v>0</v>
      </c>
      <c r="S34" s="2"/>
      <c r="T34" s="2">
        <f>SUM(OSRRefT22_4x_0)</f>
        <v>21000</v>
      </c>
      <c r="U34" s="2"/>
      <c r="V34" s="6">
        <f t="shared" si="5"/>
        <v>0</v>
      </c>
      <c r="W34" s="2"/>
      <c r="X34" s="2">
        <f t="shared" si="6"/>
        <v>17500</v>
      </c>
      <c r="Y34" s="2"/>
      <c r="Z34" s="6">
        <f t="shared" si="7"/>
        <v>0.83333333333333337</v>
      </c>
    </row>
    <row r="35" spans="1:26" s="69" customFormat="1" ht="15" hidden="1" customHeight="1" outlineLevel="2" x14ac:dyDescent="0.25">
      <c r="A35" s="25"/>
      <c r="B35" s="12" t="str">
        <f>CONCATENATE("          ","6371"," - ","COMPUTER SOFTWARE MAINTENANCE")</f>
        <v xml:space="preserve">          6371 - COMPUTER SOFTWARE MAINTENANCE</v>
      </c>
      <c r="C35" s="12"/>
      <c r="D35" s="7">
        <v>3500</v>
      </c>
      <c r="E35" s="3"/>
      <c r="F35" s="8">
        <f t="shared" si="0"/>
        <v>0</v>
      </c>
      <c r="G35" s="3"/>
      <c r="H35" s="7">
        <v>3500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>
        <v>38500</v>
      </c>
      <c r="Q35" s="3"/>
      <c r="R35" s="8">
        <f t="shared" si="4"/>
        <v>0</v>
      </c>
      <c r="S35" s="3"/>
      <c r="T35" s="7">
        <v>21000</v>
      </c>
      <c r="U35" s="3"/>
      <c r="V35" s="8">
        <f t="shared" si="5"/>
        <v>0</v>
      </c>
      <c r="W35" s="3"/>
      <c r="X35" s="7">
        <f t="shared" si="6"/>
        <v>17500</v>
      </c>
      <c r="Y35" s="3"/>
      <c r="Z35" s="8">
        <f t="shared" si="7"/>
        <v>0.83333333333333337</v>
      </c>
    </row>
    <row r="36" spans="1:26" s="68" customFormat="1" ht="15" customHeight="1" outlineLevel="1" collapsed="1" x14ac:dyDescent="0.25">
      <c r="A36" s="26"/>
      <c r="B36" s="14" t="str">
        <f>CONCATENATE("     ","Supplies                                          ")</f>
        <v xml:space="preserve">     Supplies                                          </v>
      </c>
      <c r="C36" s="14"/>
      <c r="D36" s="2">
        <f>SUM(OSRRefD22_5x_0)</f>
        <v>2059.7999999999997</v>
      </c>
      <c r="E36" s="2"/>
      <c r="F36" s="6">
        <f t="shared" si="0"/>
        <v>0</v>
      </c>
      <c r="G36" s="2"/>
      <c r="H36" s="2">
        <f>SUM(OSRRefH22_5x_0)</f>
        <v>0</v>
      </c>
      <c r="I36" s="2"/>
      <c r="J36" s="6">
        <f t="shared" si="1"/>
        <v>0</v>
      </c>
      <c r="K36" s="2"/>
      <c r="L36" s="2">
        <f t="shared" si="2"/>
        <v>2059.7999999999997</v>
      </c>
      <c r="M36" s="2"/>
      <c r="N36" s="6">
        <f t="shared" si="3"/>
        <v>0</v>
      </c>
      <c r="O36" s="14"/>
      <c r="P36" s="2">
        <f>SUM(OSRRefP22_5x_0)</f>
        <v>4431.32</v>
      </c>
      <c r="Q36" s="2"/>
      <c r="R36" s="6">
        <f t="shared" si="4"/>
        <v>0</v>
      </c>
      <c r="S36" s="2"/>
      <c r="T36" s="2">
        <f>SUM(OSRRefT22_5x_0)</f>
        <v>4939.2</v>
      </c>
      <c r="U36" s="2"/>
      <c r="V36" s="6">
        <f t="shared" si="5"/>
        <v>0</v>
      </c>
      <c r="W36" s="2"/>
      <c r="X36" s="2">
        <f t="shared" si="6"/>
        <v>-507.88000000000011</v>
      </c>
      <c r="Y36" s="2"/>
      <c r="Z36" s="6">
        <f t="shared" si="7"/>
        <v>-0.1028263686426952</v>
      </c>
    </row>
    <row r="37" spans="1:26" s="69" customFormat="1" ht="15" hidden="1" customHeight="1" outlineLevel="2" x14ac:dyDescent="0.25">
      <c r="A37" s="25"/>
      <c r="B37" s="12" t="str">
        <f>CONCATENATE("          ","6235"," - ","COVID-19 EXPENSES")</f>
        <v xml:space="preserve">          6235 - COVID-19 EXPENSES</v>
      </c>
      <c r="C37" s="12"/>
      <c r="D37" s="7"/>
      <c r="E37" s="3"/>
      <c r="F37" s="8">
        <f t="shared" si="0"/>
        <v>0</v>
      </c>
      <c r="G37" s="3"/>
      <c r="H37" s="7"/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4939.2</v>
      </c>
      <c r="U37" s="3"/>
      <c r="V37" s="8">
        <f t="shared" si="5"/>
        <v>0</v>
      </c>
      <c r="W37" s="3"/>
      <c r="X37" s="7">
        <f t="shared" si="6"/>
        <v>-4939.2</v>
      </c>
      <c r="Y37" s="3"/>
      <c r="Z37" s="8">
        <f t="shared" si="7"/>
        <v>-1</v>
      </c>
    </row>
    <row r="38" spans="1:26" s="69" customFormat="1" ht="15" hidden="1" customHeight="1" outlineLevel="2" x14ac:dyDescent="0.25">
      <c r="A38" s="25"/>
      <c r="B38" s="12" t="str">
        <f>CONCATENATE("          ","6239"," - ","KITCHEN SUPPLIES")</f>
        <v xml:space="preserve">          6239 - KITCHEN SUPPLIES</v>
      </c>
      <c r="C38" s="12"/>
      <c r="D38" s="7">
        <v>225.98</v>
      </c>
      <c r="E38" s="3"/>
      <c r="F38" s="8">
        <f t="shared" si="0"/>
        <v>0</v>
      </c>
      <c r="G38" s="3"/>
      <c r="H38" s="7"/>
      <c r="I38" s="3"/>
      <c r="J38" s="8">
        <f t="shared" si="1"/>
        <v>0</v>
      </c>
      <c r="K38" s="3"/>
      <c r="L38" s="7">
        <f t="shared" si="2"/>
        <v>225.98</v>
      </c>
      <c r="M38" s="3"/>
      <c r="N38" s="8">
        <f t="shared" si="3"/>
        <v>0</v>
      </c>
      <c r="O38" s="12"/>
      <c r="P38" s="7">
        <v>225.98</v>
      </c>
      <c r="Q38" s="3"/>
      <c r="R38" s="8">
        <f t="shared" si="4"/>
        <v>0</v>
      </c>
      <c r="S38" s="3"/>
      <c r="T38" s="7"/>
      <c r="U38" s="3"/>
      <c r="V38" s="8">
        <f t="shared" si="5"/>
        <v>0</v>
      </c>
      <c r="W38" s="3"/>
      <c r="X38" s="7">
        <f t="shared" si="6"/>
        <v>225.98</v>
      </c>
      <c r="Y38" s="3"/>
      <c r="Z38" s="8">
        <f t="shared" si="7"/>
        <v>0</v>
      </c>
    </row>
    <row r="39" spans="1:26" s="69" customFormat="1" ht="15" hidden="1" customHeight="1" outlineLevel="2" x14ac:dyDescent="0.25">
      <c r="A39" s="25"/>
      <c r="B39" s="12" t="str">
        <f>CONCATENATE("          ","6241"," - ","OFFICE EXPENSE")</f>
        <v xml:space="preserve">          6241 - OFFICE EXPENSE</v>
      </c>
      <c r="C39" s="12"/>
      <c r="D39" s="7">
        <v>1833.82</v>
      </c>
      <c r="E39" s="3"/>
      <c r="F39" s="8">
        <f t="shared" si="0"/>
        <v>0</v>
      </c>
      <c r="G39" s="3"/>
      <c r="H39" s="7"/>
      <c r="I39" s="3"/>
      <c r="J39" s="8">
        <f t="shared" si="1"/>
        <v>0</v>
      </c>
      <c r="K39" s="3"/>
      <c r="L39" s="7">
        <f t="shared" si="2"/>
        <v>1833.82</v>
      </c>
      <c r="M39" s="3"/>
      <c r="N39" s="8">
        <f t="shared" si="3"/>
        <v>0</v>
      </c>
      <c r="O39" s="12"/>
      <c r="P39" s="7">
        <v>4205.34</v>
      </c>
      <c r="Q39" s="3"/>
      <c r="R39" s="8">
        <f t="shared" si="4"/>
        <v>0</v>
      </c>
      <c r="S39" s="3"/>
      <c r="T39" s="7"/>
      <c r="U39" s="3"/>
      <c r="V39" s="8">
        <f t="shared" si="5"/>
        <v>0</v>
      </c>
      <c r="W39" s="3"/>
      <c r="X39" s="7">
        <f t="shared" si="6"/>
        <v>4205.34</v>
      </c>
      <c r="Y39" s="3"/>
      <c r="Z39" s="8">
        <f t="shared" si="7"/>
        <v>0</v>
      </c>
    </row>
    <row r="40" spans="1:26" s="68" customFormat="1" ht="15" customHeight="1" outlineLevel="1" collapsed="1" x14ac:dyDescent="0.25">
      <c r="A40" s="26"/>
      <c r="B40" s="14" t="str">
        <f>CONCATENATE("     ","Telephone/Data Lines                              ")</f>
        <v xml:space="preserve">     Telephone/Data Lines                              </v>
      </c>
      <c r="C40" s="14"/>
      <c r="D40" s="2">
        <f>SUM(OSRRefD22_6x_0)</f>
        <v>75</v>
      </c>
      <c r="E40" s="2"/>
      <c r="F40" s="6">
        <f t="shared" si="0"/>
        <v>0</v>
      </c>
      <c r="G40" s="2"/>
      <c r="H40" s="2">
        <f>SUM(OSRRefH22_6x_0)</f>
        <v>75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SUM(OSRRefP22_6x_0)</f>
        <v>883</v>
      </c>
      <c r="Q40" s="2"/>
      <c r="R40" s="6">
        <f t="shared" si="4"/>
        <v>0</v>
      </c>
      <c r="S40" s="2"/>
      <c r="T40" s="2">
        <f>SUM(OSRRefT22_6x_0)</f>
        <v>475</v>
      </c>
      <c r="U40" s="2"/>
      <c r="V40" s="6">
        <f t="shared" si="5"/>
        <v>0</v>
      </c>
      <c r="W40" s="2"/>
      <c r="X40" s="2">
        <f t="shared" si="6"/>
        <v>408</v>
      </c>
      <c r="Y40" s="2"/>
      <c r="Z40" s="6">
        <f t="shared" si="7"/>
        <v>0.85894736842105268</v>
      </c>
    </row>
    <row r="41" spans="1:26" s="69" customFormat="1" ht="15" hidden="1" customHeight="1" outlineLevel="2" x14ac:dyDescent="0.25">
      <c r="A41" s="25"/>
      <c r="B41" s="12" t="str">
        <f>CONCATENATE("          ","6309"," - ","TELEPHONE")</f>
        <v xml:space="preserve">          6309 - TELEPHONE</v>
      </c>
      <c r="C41" s="12"/>
      <c r="D41" s="7">
        <v>75</v>
      </c>
      <c r="E41" s="3"/>
      <c r="F41" s="8">
        <f t="shared" si="0"/>
        <v>0</v>
      </c>
      <c r="G41" s="3"/>
      <c r="H41" s="7">
        <v>75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>
        <v>883</v>
      </c>
      <c r="Q41" s="3"/>
      <c r="R41" s="8">
        <f t="shared" si="4"/>
        <v>0</v>
      </c>
      <c r="S41" s="3"/>
      <c r="T41" s="7">
        <v>475</v>
      </c>
      <c r="U41" s="3"/>
      <c r="V41" s="8">
        <f t="shared" si="5"/>
        <v>0</v>
      </c>
      <c r="W41" s="3"/>
      <c r="X41" s="7">
        <f t="shared" si="6"/>
        <v>408</v>
      </c>
      <c r="Y41" s="3"/>
      <c r="Z41" s="8">
        <f t="shared" si="7"/>
        <v>0.85894736842105268</v>
      </c>
    </row>
    <row r="42" spans="1:26" s="68" customFormat="1" ht="15" customHeight="1" outlineLevel="1" collapsed="1" x14ac:dyDescent="0.25">
      <c r="A42" s="26"/>
      <c r="B42" s="14" t="str">
        <f>CONCATENATE("     ","Training                                          ")</f>
        <v xml:space="preserve">     Training                                          </v>
      </c>
      <c r="C42" s="14"/>
      <c r="D42" s="2">
        <f>SUM(OSRRefD22_7x_0)</f>
        <v>7427.59</v>
      </c>
      <c r="E42" s="2"/>
      <c r="F42" s="6">
        <f t="shared" si="0"/>
        <v>0</v>
      </c>
      <c r="G42" s="2"/>
      <c r="H42" s="2">
        <f>SUM(OSRRefH22_7x_0)</f>
        <v>0</v>
      </c>
      <c r="I42" s="2"/>
      <c r="J42" s="6">
        <f t="shared" si="1"/>
        <v>0</v>
      </c>
      <c r="K42" s="2"/>
      <c r="L42" s="2">
        <f t="shared" si="2"/>
        <v>7427.59</v>
      </c>
      <c r="M42" s="2"/>
      <c r="N42" s="6">
        <f t="shared" si="3"/>
        <v>0</v>
      </c>
      <c r="O42" s="14"/>
      <c r="P42" s="2">
        <f>SUM(OSRRefP22_7x_0)</f>
        <v>15041.56</v>
      </c>
      <c r="Q42" s="2"/>
      <c r="R42" s="6">
        <f t="shared" si="4"/>
        <v>0</v>
      </c>
      <c r="S42" s="2"/>
      <c r="T42" s="2">
        <f>SUM(OSRRefT22_7x_0)</f>
        <v>51.23</v>
      </c>
      <c r="U42" s="2"/>
      <c r="V42" s="6">
        <f t="shared" si="5"/>
        <v>0</v>
      </c>
      <c r="W42" s="2"/>
      <c r="X42" s="2">
        <f t="shared" si="6"/>
        <v>14990.33</v>
      </c>
      <c r="Y42" s="2"/>
      <c r="Z42" s="6">
        <f t="shared" si="7"/>
        <v>292.60843255904746</v>
      </c>
    </row>
    <row r="43" spans="1:26" s="69" customFormat="1" ht="15" hidden="1" customHeight="1" outlineLevel="2" x14ac:dyDescent="0.25">
      <c r="A43" s="25"/>
      <c r="B43" s="12" t="str">
        <f>CONCATENATE("          ","6376"," - ","TRAINING")</f>
        <v xml:space="preserve">          6376 - TRAINING</v>
      </c>
      <c r="C43" s="12"/>
      <c r="D43" s="7">
        <v>7427.59</v>
      </c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7427.59</v>
      </c>
      <c r="M43" s="3"/>
      <c r="N43" s="8">
        <f t="shared" si="3"/>
        <v>0</v>
      </c>
      <c r="O43" s="12"/>
      <c r="P43" s="7">
        <v>15041.56</v>
      </c>
      <c r="Q43" s="3"/>
      <c r="R43" s="8">
        <f t="shared" si="4"/>
        <v>0</v>
      </c>
      <c r="S43" s="3"/>
      <c r="T43" s="7">
        <v>51.23</v>
      </c>
      <c r="U43" s="3"/>
      <c r="V43" s="8">
        <f t="shared" si="5"/>
        <v>0</v>
      </c>
      <c r="W43" s="3"/>
      <c r="X43" s="7">
        <f t="shared" si="6"/>
        <v>14990.33</v>
      </c>
      <c r="Y43" s="3"/>
      <c r="Z43" s="8">
        <f t="shared" si="7"/>
        <v>292.60843255904746</v>
      </c>
    </row>
    <row r="44" spans="1:26" s="68" customFormat="1" ht="15" customHeight="1" outlineLevel="1" collapsed="1" x14ac:dyDescent="0.25">
      <c r="A44" s="26"/>
      <c r="B44" s="14" t="str">
        <f>CONCATENATE("     ","Travel                                            ")</f>
        <v xml:space="preserve">     Travel                                            </v>
      </c>
      <c r="C44" s="14"/>
      <c r="D44" s="2">
        <f>SUM(OSRRefD22_8x_0)</f>
        <v>15</v>
      </c>
      <c r="E44" s="2"/>
      <c r="F44" s="6">
        <f t="shared" si="0"/>
        <v>0</v>
      </c>
      <c r="G44" s="2"/>
      <c r="H44" s="2">
        <f>SUM(OSRRefH22_8x_0)</f>
        <v>0</v>
      </c>
      <c r="I44" s="2"/>
      <c r="J44" s="6">
        <f t="shared" si="1"/>
        <v>0</v>
      </c>
      <c r="K44" s="2"/>
      <c r="L44" s="2">
        <f t="shared" si="2"/>
        <v>15</v>
      </c>
      <c r="M44" s="2"/>
      <c r="N44" s="6">
        <f t="shared" si="3"/>
        <v>0</v>
      </c>
      <c r="O44" s="14"/>
      <c r="P44" s="2">
        <f>SUM(OSRRefP22_8x_0)</f>
        <v>610</v>
      </c>
      <c r="Q44" s="2"/>
      <c r="R44" s="6">
        <f t="shared" si="4"/>
        <v>0</v>
      </c>
      <c r="S44" s="2"/>
      <c r="T44" s="2">
        <f>SUM(OSRRefT22_8x_0)</f>
        <v>0</v>
      </c>
      <c r="U44" s="2"/>
      <c r="V44" s="6">
        <f t="shared" si="5"/>
        <v>0</v>
      </c>
      <c r="W44" s="2"/>
      <c r="X44" s="2">
        <f t="shared" si="6"/>
        <v>610</v>
      </c>
      <c r="Y44" s="2"/>
      <c r="Z44" s="6">
        <f t="shared" si="7"/>
        <v>0</v>
      </c>
    </row>
    <row r="45" spans="1:26" s="69" customFormat="1" ht="15" hidden="1" customHeight="1" outlineLevel="2" x14ac:dyDescent="0.25">
      <c r="A45" s="25"/>
      <c r="B45" s="12" t="str">
        <f>CONCATENATE("          ","6292"," - ","TRAVEL/CONFERENCE")</f>
        <v xml:space="preserve">          6292 - TRAVEL/CONFERENCE</v>
      </c>
      <c r="C45" s="12"/>
      <c r="D45" s="7">
        <v>15</v>
      </c>
      <c r="E45" s="3"/>
      <c r="F45" s="8">
        <f t="shared" si="0"/>
        <v>0</v>
      </c>
      <c r="G45" s="3"/>
      <c r="H45" s="7"/>
      <c r="I45" s="3"/>
      <c r="J45" s="8">
        <f t="shared" si="1"/>
        <v>0</v>
      </c>
      <c r="K45" s="3"/>
      <c r="L45" s="7">
        <f t="shared" si="2"/>
        <v>15</v>
      </c>
      <c r="M45" s="3"/>
      <c r="N45" s="8">
        <f t="shared" si="3"/>
        <v>0</v>
      </c>
      <c r="O45" s="12"/>
      <c r="P45" s="7">
        <v>610</v>
      </c>
      <c r="Q45" s="3"/>
      <c r="R45" s="8">
        <f t="shared" si="4"/>
        <v>0</v>
      </c>
      <c r="S45" s="3"/>
      <c r="T45" s="7"/>
      <c r="U45" s="3"/>
      <c r="V45" s="8">
        <f t="shared" si="5"/>
        <v>0</v>
      </c>
      <c r="W45" s="3"/>
      <c r="X45" s="7">
        <f t="shared" si="6"/>
        <v>610</v>
      </c>
      <c r="Y45" s="3"/>
      <c r="Z45" s="8">
        <f t="shared" si="7"/>
        <v>0</v>
      </c>
    </row>
    <row r="46" spans="1:26" s="64" customFormat="1" ht="15" customHeight="1" x14ac:dyDescent="0.25">
      <c r="A46" s="36"/>
      <c r="B46" s="36"/>
      <c r="C46" s="36"/>
      <c r="D46" s="2"/>
      <c r="E46" s="2"/>
      <c r="F46" s="6"/>
      <c r="G46" s="2"/>
      <c r="H46" s="2"/>
      <c r="I46" s="2"/>
      <c r="J46" s="6"/>
      <c r="K46" s="2"/>
      <c r="L46" s="2"/>
      <c r="M46" s="2"/>
      <c r="N46" s="6"/>
      <c r="O46" s="36"/>
      <c r="P46" s="2"/>
      <c r="Q46" s="2"/>
      <c r="R46" s="6"/>
      <c r="S46" s="2"/>
      <c r="T46" s="2"/>
      <c r="U46" s="2"/>
      <c r="V46" s="6"/>
      <c r="W46" s="2"/>
      <c r="X46" s="2"/>
      <c r="Y46" s="2"/>
      <c r="Z46" s="6"/>
    </row>
    <row r="47" spans="1:26" s="62" customFormat="1" ht="15" customHeight="1" x14ac:dyDescent="0.25">
      <c r="A47" s="11"/>
      <c r="B47" s="28" t="s">
        <v>290</v>
      </c>
      <c r="C47" s="11"/>
      <c r="D47" s="5">
        <f>SUM(0)</f>
        <v>0</v>
      </c>
      <c r="E47" s="5"/>
      <c r="F47" s="13">
        <f>IF(D$12=0,0,D47/D$12)</f>
        <v>0</v>
      </c>
      <c r="G47" s="5"/>
      <c r="H47" s="5">
        <f>SUM(0)</f>
        <v>0</v>
      </c>
      <c r="I47" s="5"/>
      <c r="J47" s="13">
        <f>IF(H$12=0,0,H47/H$12)</f>
        <v>0</v>
      </c>
      <c r="K47" s="5"/>
      <c r="L47" s="5">
        <f>+D47-H47</f>
        <v>0</v>
      </c>
      <c r="M47" s="5"/>
      <c r="N47" s="13">
        <f>IF(H47=0,0,L47/H47)</f>
        <v>0</v>
      </c>
      <c r="O47" s="11"/>
      <c r="P47" s="5">
        <f>SUM(0)</f>
        <v>0</v>
      </c>
      <c r="Q47" s="5"/>
      <c r="R47" s="13">
        <f>IF(P$12=0,0,P47/P$12)</f>
        <v>0</v>
      </c>
      <c r="S47" s="5"/>
      <c r="T47" s="5">
        <f>SUM(0)</f>
        <v>0</v>
      </c>
      <c r="U47" s="5"/>
      <c r="V47" s="13">
        <f>IF(T$12=0,0,T47/T$12)</f>
        <v>0</v>
      </c>
      <c r="W47" s="5"/>
      <c r="X47" s="5">
        <f>+P47-T47</f>
        <v>0</v>
      </c>
      <c r="Y47" s="5"/>
      <c r="Z47" s="13">
        <f>IF(T47=0,0,X47/T47)</f>
        <v>0</v>
      </c>
    </row>
    <row r="48" spans="1:26" ht="15" customHeight="1" x14ac:dyDescent="0.25">
      <c r="A48" s="10"/>
      <c r="B48" s="11"/>
      <c r="C48" s="11"/>
      <c r="D48" s="4"/>
      <c r="E48" s="4"/>
      <c r="F48" s="9"/>
      <c r="G48" s="4"/>
      <c r="H48" s="4"/>
      <c r="I48" s="4"/>
      <c r="J48" s="9"/>
      <c r="K48" s="4"/>
      <c r="L48" s="4"/>
      <c r="M48" s="4"/>
      <c r="N48" s="9"/>
      <c r="O48" s="11"/>
      <c r="P48" s="4"/>
      <c r="Q48" s="4"/>
      <c r="R48" s="9"/>
      <c r="S48" s="4"/>
      <c r="T48" s="4"/>
      <c r="U48" s="4"/>
      <c r="V48" s="9"/>
      <c r="W48" s="4"/>
      <c r="X48" s="4"/>
      <c r="Y48" s="4"/>
      <c r="Z48" s="9"/>
    </row>
    <row r="49" spans="1:26" s="62" customFormat="1" ht="15" customHeight="1" x14ac:dyDescent="0.25">
      <c r="A49" s="11"/>
      <c r="B49" s="27" t="s">
        <v>291</v>
      </c>
      <c r="C49" s="27"/>
      <c r="D49" s="22">
        <f>+D16-D18+D47</f>
        <v>-28291.51</v>
      </c>
      <c r="E49" s="15"/>
      <c r="F49" s="23">
        <f>IF(D$12=0,0,D49/D$12)</f>
        <v>0</v>
      </c>
      <c r="G49" s="15"/>
      <c r="H49" s="22">
        <f>+H16-H18+H47</f>
        <v>-18469.2</v>
      </c>
      <c r="I49" s="15"/>
      <c r="J49" s="23">
        <f>IF(H$12=0,0,H49/H$12)</f>
        <v>0</v>
      </c>
      <c r="K49" s="16"/>
      <c r="L49" s="22">
        <f>+D49-H49</f>
        <v>-9822.3099999999977</v>
      </c>
      <c r="M49" s="16"/>
      <c r="N49" s="23">
        <f>IF(H49=0,0,L49/H49)</f>
        <v>0.5318210859160114</v>
      </c>
      <c r="O49" s="28"/>
      <c r="P49" s="22">
        <f>+P16-P18+P47</f>
        <v>-230580.63</v>
      </c>
      <c r="Q49" s="15"/>
      <c r="R49" s="23">
        <f>IF(P$12=0,0,P49/P$12)</f>
        <v>0</v>
      </c>
      <c r="S49" s="15"/>
      <c r="T49" s="22">
        <f>+T16-T18+T47</f>
        <v>-190488.40000000002</v>
      </c>
      <c r="U49" s="15"/>
      <c r="V49" s="23">
        <f>IF(T$12=0,0,T49/T$12)</f>
        <v>0</v>
      </c>
      <c r="W49" s="16"/>
      <c r="X49" s="22">
        <f>+P49-T49</f>
        <v>-40092.229999999981</v>
      </c>
      <c r="Y49" s="16"/>
      <c r="Z49" s="23">
        <f>IF(T49=0,0,X49/T49)</f>
        <v>0.21047071632708331</v>
      </c>
    </row>
    <row r="50" spans="1:26" ht="15" customHeight="1" x14ac:dyDescent="0.25">
      <c r="A50" s="10"/>
      <c r="B50" s="11"/>
      <c r="C50" s="10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25">
      <c r="A51" s="48"/>
      <c r="B51" s="11" t="s">
        <v>292</v>
      </c>
      <c r="C51" s="11"/>
      <c r="D51" s="5"/>
      <c r="E51" s="5"/>
      <c r="F51" s="13">
        <f>IF(D$12=0,0,D51/D$12)</f>
        <v>0</v>
      </c>
      <c r="G51" s="5"/>
      <c r="H51" s="5"/>
      <c r="I51" s="5"/>
      <c r="J51" s="13">
        <f>IF(H$12=0,0,H51/H$12)</f>
        <v>0</v>
      </c>
      <c r="K51" s="5"/>
      <c r="L51" s="5">
        <f>+D51-H51</f>
        <v>0</v>
      </c>
      <c r="M51" s="5"/>
      <c r="N51" s="13">
        <f>IF(H51=0,0,L51/H51)</f>
        <v>0</v>
      </c>
      <c r="O51" s="11"/>
      <c r="P51" s="5"/>
      <c r="Q51" s="5"/>
      <c r="R51" s="13">
        <f>IF(P$12=0,0,P51/P$12)</f>
        <v>0</v>
      </c>
      <c r="S51" s="5"/>
      <c r="T51" s="5"/>
      <c r="U51" s="5"/>
      <c r="V51" s="13">
        <f>IF(T$12=0,0,T51/T$12)</f>
        <v>0</v>
      </c>
      <c r="W51" s="5"/>
      <c r="X51" s="5">
        <f>+P51-T51</f>
        <v>0</v>
      </c>
      <c r="Y51" s="5"/>
      <c r="Z51" s="13">
        <f>IF(T51=0,0,X51/T51)</f>
        <v>0</v>
      </c>
    </row>
    <row r="52" spans="1:26" ht="15" customHeight="1" x14ac:dyDescent="0.25">
      <c r="A52" s="10"/>
      <c r="B52" s="11"/>
      <c r="C52" s="11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O52" s="11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2" customFormat="1" ht="15" customHeight="1" x14ac:dyDescent="0.25">
      <c r="A53" s="11"/>
      <c r="B53" s="27" t="s">
        <v>293</v>
      </c>
      <c r="C53" s="27"/>
      <c r="D53" s="35">
        <f>+D49-D51</f>
        <v>-28291.51</v>
      </c>
      <c r="E53" s="15"/>
      <c r="F53" s="30">
        <f>IF(D$12=0,0,D53/D$12)</f>
        <v>0</v>
      </c>
      <c r="G53" s="15"/>
      <c r="H53" s="35">
        <f>+H49-H51</f>
        <v>-18469.2</v>
      </c>
      <c r="I53" s="15"/>
      <c r="J53" s="30">
        <f>IF(H$12=0,0,H53/H$12)</f>
        <v>0</v>
      </c>
      <c r="K53" s="16"/>
      <c r="L53" s="35">
        <f>D53-H53</f>
        <v>-9822.3099999999977</v>
      </c>
      <c r="M53" s="16"/>
      <c r="N53" s="30">
        <f>IF(H53=0,0,L53/H53)</f>
        <v>0.5318210859160114</v>
      </c>
      <c r="O53" s="28"/>
      <c r="P53" s="35">
        <f>+P49-P51</f>
        <v>-230580.63</v>
      </c>
      <c r="Q53" s="15"/>
      <c r="R53" s="30">
        <f>IF(P$12=0,0,P53/P$12)</f>
        <v>0</v>
      </c>
      <c r="S53" s="15"/>
      <c r="T53" s="35">
        <f>+T49-T51</f>
        <v>-190488.40000000002</v>
      </c>
      <c r="U53" s="15"/>
      <c r="V53" s="30">
        <f>IF(T$12=0,0,T53/T$12)</f>
        <v>0</v>
      </c>
      <c r="W53" s="16"/>
      <c r="X53" s="35">
        <f>P53-T53</f>
        <v>-40092.229999999981</v>
      </c>
      <c r="Y53" s="16"/>
      <c r="Z53" s="30">
        <f>IF(T53=0,0,X53/T53)</f>
        <v>0.21047071632708331</v>
      </c>
    </row>
    <row r="54" spans="1:26" ht="15" customHeight="1" x14ac:dyDescent="0.25">
      <c r="A54" s="10"/>
      <c r="B54" s="10"/>
      <c r="C54" s="10"/>
      <c r="D54" s="4"/>
      <c r="E54" s="4"/>
      <c r="F54" s="9"/>
      <c r="G54" s="4"/>
      <c r="H54" s="4"/>
      <c r="I54" s="4"/>
      <c r="J54" s="9"/>
      <c r="K54" s="4"/>
      <c r="L54" s="4"/>
      <c r="M54" s="4"/>
      <c r="N54" s="9"/>
      <c r="P54" s="4"/>
      <c r="Q54" s="4"/>
      <c r="R54" s="9"/>
      <c r="S54" s="4"/>
      <c r="T54" s="4"/>
      <c r="U54" s="4"/>
      <c r="V54" s="9"/>
      <c r="W54" s="4"/>
      <c r="X54" s="4"/>
      <c r="Y54" s="4"/>
      <c r="Z54" s="9"/>
    </row>
    <row r="55" spans="1:26" ht="15" customHeight="1" x14ac:dyDescent="0.25">
      <c r="A55" s="10"/>
      <c r="B55" s="10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x14ac:dyDescent="0.25">
      <c r="A56" s="11"/>
      <c r="B56" s="27" t="s">
        <v>296</v>
      </c>
      <c r="C56" s="27"/>
      <c r="D56" s="32">
        <f>SUM(D53:D55)</f>
        <v>-28291.51</v>
      </c>
      <c r="E56" s="15"/>
      <c r="F56" s="34">
        <f>IF(D$12=0,0,D56/D$12)</f>
        <v>0</v>
      </c>
      <c r="G56" s="15"/>
      <c r="H56" s="32">
        <f>SUM(H53:H55)</f>
        <v>-18469.2</v>
      </c>
      <c r="I56" s="15"/>
      <c r="J56" s="34">
        <f>IF(H$12=0,0,H56/H$12)</f>
        <v>0</v>
      </c>
      <c r="K56" s="16"/>
      <c r="L56" s="32">
        <f>+D56-H56</f>
        <v>-9822.3099999999977</v>
      </c>
      <c r="M56" s="16"/>
      <c r="N56" s="34">
        <f>IF(H56=0,0,L56/H56)</f>
        <v>0.5318210859160114</v>
      </c>
      <c r="O56" s="28"/>
      <c r="P56" s="32">
        <f>SUM(P53:P55)</f>
        <v>-230580.63</v>
      </c>
      <c r="Q56" s="15"/>
      <c r="R56" s="34">
        <f>IF(P$12=0,0,P56/P$12)</f>
        <v>0</v>
      </c>
      <c r="S56" s="15"/>
      <c r="T56" s="32">
        <f>SUM(T53:T55)</f>
        <v>-190488.40000000002</v>
      </c>
      <c r="U56" s="15"/>
      <c r="V56" s="34">
        <f>IF(T$12=0,0,T56/T$12)</f>
        <v>0</v>
      </c>
      <c r="W56" s="16"/>
      <c r="X56" s="32">
        <f>+P56-T56</f>
        <v>-40092.229999999981</v>
      </c>
      <c r="Y56" s="16"/>
      <c r="Z56" s="34">
        <f>IF(T56=0,0,X56/T56)</f>
        <v>0.21047071632708331</v>
      </c>
    </row>
    <row r="57" spans="1:26" ht="15" customHeight="1" x14ac:dyDescent="0.25">
      <c r="A57" s="10"/>
      <c r="C57" s="10"/>
      <c r="D57" s="18"/>
      <c r="E57" s="18"/>
      <c r="G57" s="18"/>
      <c r="H57" s="18"/>
      <c r="I57" s="18"/>
      <c r="J57" s="41"/>
      <c r="K57" s="18"/>
      <c r="L57" s="18"/>
      <c r="M57" s="18"/>
      <c r="P57" s="18"/>
      <c r="Q57" s="18"/>
      <c r="R57" s="41"/>
      <c r="S57" s="18"/>
      <c r="T57" s="18"/>
      <c r="U57" s="18"/>
      <c r="V57" s="41"/>
      <c r="W57" s="18"/>
      <c r="X57" s="18"/>
    </row>
    <row r="58" spans="1:26" ht="15" customHeight="1" x14ac:dyDescent="0.25">
      <c r="A58" s="10"/>
      <c r="B58" s="50">
        <v>44727.879654085649</v>
      </c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  <row r="59" spans="1:26" ht="15" customHeight="1" x14ac:dyDescent="0.25">
      <c r="A59" s="10"/>
      <c r="B59" s="53" t="s">
        <v>297</v>
      </c>
      <c r="D59" s="18"/>
      <c r="E59" s="18"/>
      <c r="G59" s="18"/>
      <c r="H59" s="18"/>
      <c r="I59" s="18"/>
      <c r="J59" s="41"/>
      <c r="K59" s="18"/>
      <c r="L59" s="18"/>
      <c r="M59" s="18"/>
      <c r="P59" s="18"/>
      <c r="Q59" s="18"/>
      <c r="R59" s="41"/>
      <c r="S59" s="18"/>
      <c r="T59" s="18"/>
      <c r="U59" s="18"/>
      <c r="V59" s="41"/>
      <c r="W59" s="18"/>
      <c r="X59" s="18"/>
    </row>
    <row r="60" spans="1:26" ht="15" customHeight="1" x14ac:dyDescent="0.25">
      <c r="A60" s="10"/>
      <c r="B60" s="55"/>
      <c r="D60" s="18"/>
      <c r="E60" s="18"/>
      <c r="G60" s="18"/>
      <c r="H60" s="18"/>
      <c r="I60" s="18"/>
      <c r="J60" s="41"/>
      <c r="K60" s="18"/>
      <c r="L60" s="18"/>
      <c r="M60" s="18"/>
      <c r="P60" s="18"/>
      <c r="Q60" s="18"/>
      <c r="R60" s="41"/>
      <c r="S60" s="18"/>
      <c r="T60" s="18"/>
      <c r="U60" s="18"/>
      <c r="V60" s="41"/>
      <c r="W60" s="18"/>
      <c r="X60" s="18"/>
    </row>
    <row r="61" spans="1:26" ht="15" customHeight="1" x14ac:dyDescent="0.25">
      <c r="D61" s="18"/>
      <c r="E61" s="18"/>
      <c r="G61" s="18"/>
      <c r="H61" s="18"/>
      <c r="I61" s="18"/>
      <c r="J61" s="41"/>
      <c r="K61" s="18"/>
      <c r="L61" s="18"/>
      <c r="M61" s="18"/>
      <c r="P61" s="18"/>
      <c r="Q61" s="18"/>
      <c r="R61" s="41"/>
      <c r="S61" s="18"/>
      <c r="T61" s="18"/>
      <c r="U61" s="18"/>
      <c r="V61" s="41"/>
      <c r="W61" s="18"/>
      <c r="X6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5AE21-C96D-FCEB-E9B3-73991F619089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299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E99D3-DBAD-B019-D30A-69D656879871}">
  <sheetPr>
    <tabColor rgb="FF92D050"/>
    <outlinePr summaryBelow="0" summaryRight="0"/>
  </sheetPr>
  <dimension ref="A2:Z9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","433"," - ","Hillside Dining Hall")</f>
        <v>Department 433 - Hillside Dining Hall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221015.49</v>
      </c>
      <c r="E12" s="5"/>
      <c r="F12" s="13"/>
      <c r="G12" s="5"/>
      <c r="H12" s="5">
        <f>SUM(OSRRefH13x_0)</f>
        <v>-83.2</v>
      </c>
      <c r="I12" s="5"/>
      <c r="J12" s="13"/>
      <c r="K12" s="5"/>
      <c r="L12" s="5">
        <f>+D12-H12</f>
        <v>221098.69</v>
      </c>
      <c r="M12" s="5"/>
      <c r="N12" s="13">
        <f>IF(H12=0,0,L12/H12)</f>
        <v>-2657.4361778846155</v>
      </c>
      <c r="O12" s="11"/>
      <c r="P12" s="5">
        <f>SUM(OSRRefP13x_0)</f>
        <v>3925238.55</v>
      </c>
      <c r="Q12" s="5"/>
      <c r="R12" s="13"/>
      <c r="S12" s="5"/>
      <c r="T12" s="5">
        <f>SUM(OSRRefT13x_0)</f>
        <v>23558.720000000001</v>
      </c>
      <c r="U12" s="5"/>
      <c r="V12" s="13"/>
      <c r="W12" s="5"/>
      <c r="X12" s="5">
        <f>+P12-T12</f>
        <v>3901679.8299999996</v>
      </c>
      <c r="Y12" s="5"/>
      <c r="Z12" s="13">
        <f>IF(T12=0,0,X12/T12)</f>
        <v>165.61510260319744</v>
      </c>
    </row>
    <row r="13" spans="1:26" s="69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--135.02</f>
        <v>135.02000000000001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135.02000000000001</v>
      </c>
      <c r="M13" s="3"/>
      <c r="N13" s="20">
        <f>IF(H13=0,0,L13/H13)</f>
        <v>0</v>
      </c>
      <c r="O13" s="12"/>
      <c r="P13" s="3">
        <f>--2977.75</f>
        <v>2977.75</v>
      </c>
      <c r="Q13" s="3"/>
      <c r="R13" s="20"/>
      <c r="S13" s="3"/>
      <c r="T13" s="3">
        <f>--217.65</f>
        <v>217.65</v>
      </c>
      <c r="U13" s="3"/>
      <c r="V13" s="20"/>
      <c r="W13" s="3"/>
      <c r="X13" s="3">
        <f>+P13-T13</f>
        <v>2760.1</v>
      </c>
      <c r="Y13" s="3"/>
      <c r="Z13" s="20">
        <f>IF(T13=0,0,X13/T13)</f>
        <v>12.681369170686882</v>
      </c>
    </row>
    <row r="14" spans="1:26" s="69" customFormat="1" ht="15" hidden="1" customHeight="1" outlineLevel="1" x14ac:dyDescent="0.25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--217974.19</f>
        <v>217974.19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217974.19</v>
      </c>
      <c r="M14" s="3"/>
      <c r="N14" s="20">
        <f>IF(H14=0,0,L14/H14)</f>
        <v>0</v>
      </c>
      <c r="O14" s="12"/>
      <c r="P14" s="3">
        <f>--3842103.01</f>
        <v>3842103.01</v>
      </c>
      <c r="Q14" s="3"/>
      <c r="R14" s="20"/>
      <c r="S14" s="3"/>
      <c r="T14" s="3">
        <f>--16096</f>
        <v>16096</v>
      </c>
      <c r="U14" s="3"/>
      <c r="V14" s="20"/>
      <c r="W14" s="3"/>
      <c r="X14" s="3">
        <f>+P14-T14</f>
        <v>3826007.01</v>
      </c>
      <c r="Y14" s="3"/>
      <c r="Z14" s="20">
        <f>IF(T14=0,0,X14/T14)</f>
        <v>237.69924266898607</v>
      </c>
    </row>
    <row r="15" spans="1:26" s="69" customFormat="1" ht="15" hidden="1" customHeight="1" outlineLevel="1" x14ac:dyDescent="0.25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--2906.28</f>
        <v>2906.28</v>
      </c>
      <c r="E15" s="3"/>
      <c r="F15" s="20"/>
      <c r="G15" s="3"/>
      <c r="H15" s="3">
        <f>-83.2</f>
        <v>-83.2</v>
      </c>
      <c r="I15" s="3"/>
      <c r="J15" s="20"/>
      <c r="K15" s="3"/>
      <c r="L15" s="3">
        <f>+D15-H15</f>
        <v>2989.48</v>
      </c>
      <c r="M15" s="3"/>
      <c r="N15" s="20">
        <f>IF(H15=0,0,L15/H15)</f>
        <v>-35.931249999999999</v>
      </c>
      <c r="O15" s="12"/>
      <c r="P15" s="3">
        <f>--80157.79</f>
        <v>80157.789999999994</v>
      </c>
      <c r="Q15" s="3"/>
      <c r="R15" s="20"/>
      <c r="S15" s="3"/>
      <c r="T15" s="3">
        <f>--7245.07</f>
        <v>7245.07</v>
      </c>
      <c r="U15" s="3"/>
      <c r="V15" s="20"/>
      <c r="W15" s="3"/>
      <c r="X15" s="3">
        <f>+P15-T15</f>
        <v>72912.72</v>
      </c>
      <c r="Y15" s="3"/>
      <c r="Z15" s="20">
        <f>IF(T15=0,0,X15/T15)</f>
        <v>10.063770260328749</v>
      </c>
    </row>
    <row r="16" spans="1:26" ht="15" customHeight="1" x14ac:dyDescent="0.25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25">
      <c r="A17" s="11"/>
      <c r="B17" s="28" t="s">
        <v>287</v>
      </c>
      <c r="C17" s="11"/>
      <c r="D17" s="5">
        <f>SUM(OSRRefD16x_0)</f>
        <v>68430.42</v>
      </c>
      <c r="E17" s="5"/>
      <c r="F17" s="13">
        <f>IF(D$12=0,0,D17/D$12)</f>
        <v>0.30961820820794056</v>
      </c>
      <c r="G17" s="5"/>
      <c r="H17" s="5">
        <f>SUM(OSRRefH16x_0)</f>
        <v>0</v>
      </c>
      <c r="I17" s="5"/>
      <c r="J17" s="13">
        <f>IF(H$12=0,0,H17/H$12)</f>
        <v>0</v>
      </c>
      <c r="K17" s="5"/>
      <c r="L17" s="5">
        <f>+D17-H17</f>
        <v>68430.42</v>
      </c>
      <c r="M17" s="5"/>
      <c r="N17" s="13">
        <f>IF(H17=0,0,L17/H17)</f>
        <v>0</v>
      </c>
      <c r="O17" s="11"/>
      <c r="P17" s="5">
        <f>SUM(OSRRefP16x_0)</f>
        <v>980511.71</v>
      </c>
      <c r="Q17" s="5"/>
      <c r="R17" s="13">
        <f>IF(P$12=0,0,P17/P$12)</f>
        <v>0.24979671872426709</v>
      </c>
      <c r="S17" s="5"/>
      <c r="T17" s="5">
        <f>SUM(OSRRefT16x_0)</f>
        <v>25322.92</v>
      </c>
      <c r="U17" s="5"/>
      <c r="V17" s="13">
        <f>IF(T$12=0,0,T17/T$12)</f>
        <v>1.0748852229662731</v>
      </c>
      <c r="W17" s="5"/>
      <c r="X17" s="5">
        <f>+P17-T17</f>
        <v>955188.78999999992</v>
      </c>
      <c r="Y17" s="5"/>
      <c r="Z17" s="13">
        <f>IF(T17=0,0,X17/T17)</f>
        <v>37.720325697036522</v>
      </c>
    </row>
    <row r="18" spans="1:26" s="69" customFormat="1" ht="15" hidden="1" customHeight="1" outlineLevel="1" x14ac:dyDescent="0.25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69439.22</v>
      </c>
      <c r="E18" s="3"/>
      <c r="F18" s="20">
        <f>IF(D$12=0,0,D18/D$12)</f>
        <v>0.31418259417020955</v>
      </c>
      <c r="G18" s="3"/>
      <c r="H18" s="3"/>
      <c r="I18" s="3"/>
      <c r="J18" s="20">
        <f>IF(H$12=0,0,H18/H$12)</f>
        <v>0</v>
      </c>
      <c r="K18" s="3"/>
      <c r="L18" s="3">
        <f>+D18-H18</f>
        <v>69439.22</v>
      </c>
      <c r="M18" s="3"/>
      <c r="N18" s="20">
        <f>IF(H18=0,0,L18/H18)</f>
        <v>0</v>
      </c>
      <c r="O18" s="12"/>
      <c r="P18" s="3">
        <v>1001838.51</v>
      </c>
      <c r="Q18" s="3"/>
      <c r="R18" s="20">
        <f>IF(P$12=0,0,P18/P$12)</f>
        <v>0.255229968125122</v>
      </c>
      <c r="S18" s="3"/>
      <c r="T18" s="3">
        <v>14410.92</v>
      </c>
      <c r="U18" s="3"/>
      <c r="V18" s="20">
        <f>IF(T$12=0,0,T18/T$12)</f>
        <v>0.61170216378478959</v>
      </c>
      <c r="W18" s="3"/>
      <c r="X18" s="3">
        <f>+P18-T18</f>
        <v>987427.59</v>
      </c>
      <c r="Y18" s="3"/>
      <c r="Z18" s="20">
        <f>IF(T18=0,0,X18/T18)</f>
        <v>68.519399871763909</v>
      </c>
    </row>
    <row r="19" spans="1:26" s="69" customFormat="1" ht="15" hidden="1" customHeight="1" outlineLevel="1" x14ac:dyDescent="0.25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-1008.8</v>
      </c>
      <c r="E19" s="3"/>
      <c r="F19" s="20">
        <f>IF(D$12=0,0,D19/D$12)</f>
        <v>-4.5643859622689796E-3</v>
      </c>
      <c r="G19" s="3"/>
      <c r="H19" s="3"/>
      <c r="I19" s="3"/>
      <c r="J19" s="20">
        <f>IF(H$12=0,0,H19/H$12)</f>
        <v>0</v>
      </c>
      <c r="K19" s="3"/>
      <c r="L19" s="3">
        <f>+D19-H19</f>
        <v>-1008.8</v>
      </c>
      <c r="M19" s="3"/>
      <c r="N19" s="20">
        <f>IF(H19=0,0,L19/H19)</f>
        <v>0</v>
      </c>
      <c r="O19" s="12"/>
      <c r="P19" s="3">
        <v>-21326.799999999999</v>
      </c>
      <c r="Q19" s="3"/>
      <c r="R19" s="20">
        <f>IF(P$12=0,0,P19/P$12)</f>
        <v>-5.433249400854886E-3</v>
      </c>
      <c r="S19" s="3"/>
      <c r="T19" s="3">
        <v>10912</v>
      </c>
      <c r="U19" s="3"/>
      <c r="V19" s="20">
        <f>IF(T$12=0,0,T19/T$12)</f>
        <v>0.4631830591814835</v>
      </c>
      <c r="W19" s="3"/>
      <c r="X19" s="3">
        <f>+P19-T19</f>
        <v>-32238.799999999999</v>
      </c>
      <c r="Y19" s="3"/>
      <c r="Z19" s="20">
        <f>IF(T19=0,0,X19/T19)</f>
        <v>-2.9544354838709679</v>
      </c>
    </row>
    <row r="20" spans="1:26" ht="15" customHeight="1" x14ac:dyDescent="0.25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25">
      <c r="A21" s="11"/>
      <c r="B21" s="27" t="s">
        <v>288</v>
      </c>
      <c r="C21" s="27"/>
      <c r="D21" s="22">
        <f>D12-D17</f>
        <v>152585.07</v>
      </c>
      <c r="E21" s="15"/>
      <c r="F21" s="23">
        <f>IF(D$12=0,0,D21/D$12)</f>
        <v>0.6903817917920595</v>
      </c>
      <c r="G21" s="15"/>
      <c r="H21" s="22">
        <f>H12-H17</f>
        <v>-83.2</v>
      </c>
      <c r="I21" s="15"/>
      <c r="J21" s="23">
        <f>IF(H$12=0,0,H21/H$12)</f>
        <v>1</v>
      </c>
      <c r="K21" s="16"/>
      <c r="L21" s="22">
        <f>+D21-H21</f>
        <v>152668.27000000002</v>
      </c>
      <c r="M21" s="16"/>
      <c r="N21" s="23">
        <f>IF(H21=0,0,L21/H21)</f>
        <v>-1834.9551682692309</v>
      </c>
      <c r="O21" s="28"/>
      <c r="P21" s="22">
        <f>P12-P17</f>
        <v>2944726.84</v>
      </c>
      <c r="Q21" s="15"/>
      <c r="R21" s="23">
        <f>IF(P$12=0,0,P21/P$12)</f>
        <v>0.75020328127573288</v>
      </c>
      <c r="S21" s="15"/>
      <c r="T21" s="22">
        <f>T12-T17</f>
        <v>-1764.1999999999971</v>
      </c>
      <c r="U21" s="15"/>
      <c r="V21" s="23">
        <f>IF(T$12=0,0,T21/T$12)</f>
        <v>-7.4885222966273077E-2</v>
      </c>
      <c r="W21" s="16"/>
      <c r="X21" s="22">
        <f>+P21-T21</f>
        <v>2946491.04</v>
      </c>
      <c r="Y21" s="16"/>
      <c r="Z21" s="23">
        <f>IF(T21=0,0,X21/T21)</f>
        <v>-1670.1570343498497</v>
      </c>
    </row>
    <row r="22" spans="1:26" ht="15" customHeight="1" x14ac:dyDescent="0.25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25">
      <c r="A23" s="11"/>
      <c r="B23" s="28" t="s">
        <v>289</v>
      </c>
      <c r="C23" s="11"/>
      <c r="D23" s="21" cm="1">
        <f t="array" ref="D23">SUM(OSRRefD22x_0)</f>
        <v>111146.09</v>
      </c>
      <c r="E23" s="21"/>
      <c r="F23" s="31">
        <f t="shared" ref="F23:F54" si="0">IF(D$12=0,0,D23/D$12)</f>
        <v>0.50288823647609493</v>
      </c>
      <c r="G23" s="21"/>
      <c r="H23" s="21" cm="1">
        <f t="array" ref="H23">SUM(OSRRefH22x_0)</f>
        <v>47602.65</v>
      </c>
      <c r="I23" s="21"/>
      <c r="J23" s="31">
        <f t="shared" ref="J23:J54" si="1">IF(H$12=0,0,H23/H$12)</f>
        <v>-572.14723557692309</v>
      </c>
      <c r="K23" s="5"/>
      <c r="L23" s="21">
        <f t="shared" ref="L23:L54" si="2">+D23-H23</f>
        <v>63543.439999999995</v>
      </c>
      <c r="M23" s="5"/>
      <c r="N23" s="31">
        <f t="shared" ref="N23:N54" si="3">IF(H23=0,0,L23/H23)</f>
        <v>1.3348719031398462</v>
      </c>
      <c r="O23" s="11"/>
      <c r="P23" s="21" cm="1">
        <f t="array" ref="P23">SUM(OSRRefP22x_0)</f>
        <v>1565810.77</v>
      </c>
      <c r="Q23" s="21"/>
      <c r="R23" s="31">
        <f t="shared" ref="R23:R54" si="4">IF(P$12=0,0,P23/P$12)</f>
        <v>0.3989084357688274</v>
      </c>
      <c r="S23" s="21"/>
      <c r="T23" s="21" cm="1">
        <f t="array" ref="T23">SUM(OSRRefT22x_0)</f>
        <v>562783.65999999992</v>
      </c>
      <c r="U23" s="21"/>
      <c r="V23" s="31">
        <f t="shared" ref="V23:V54" si="5">IF(T$12=0,0,T23/T$12)</f>
        <v>23.888549972154678</v>
      </c>
      <c r="W23" s="5"/>
      <c r="X23" s="21">
        <f t="shared" ref="X23:X54" si="6">+P23-T23</f>
        <v>1003027.1100000001</v>
      </c>
      <c r="Y23" s="5"/>
      <c r="Z23" s="31">
        <f t="shared" ref="Z23:Z54" si="7">IF(T23=0,0,X23/T23)</f>
        <v>1.7822605404001961</v>
      </c>
    </row>
    <row r="24" spans="1:26" s="68" customFormat="1" ht="15" customHeight="1" outlineLevel="1" collapsed="1" x14ac:dyDescent="0.25">
      <c r="A24" s="26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24941.619999999995</v>
      </c>
      <c r="E24" s="2"/>
      <c r="F24" s="6">
        <f t="shared" si="0"/>
        <v>0.11285009933014195</v>
      </c>
      <c r="G24" s="2"/>
      <c r="H24" s="2">
        <f>SUM(OSRRefH22_0x_0)</f>
        <v>20216.71</v>
      </c>
      <c r="I24" s="2"/>
      <c r="J24" s="6">
        <f t="shared" si="1"/>
        <v>-242.98930288461537</v>
      </c>
      <c r="K24" s="2"/>
      <c r="L24" s="2">
        <f t="shared" si="2"/>
        <v>4724.9099999999962</v>
      </c>
      <c r="M24" s="2"/>
      <c r="N24" s="6">
        <f t="shared" si="3"/>
        <v>0.23371310168667386</v>
      </c>
      <c r="O24" s="14"/>
      <c r="P24" s="2">
        <f>SUM(OSRRefP22_0x_0)</f>
        <v>290872.5</v>
      </c>
      <c r="Q24" s="2"/>
      <c r="R24" s="6">
        <f t="shared" si="4"/>
        <v>7.4103139540398127E-2</v>
      </c>
      <c r="S24" s="2"/>
      <c r="T24" s="2">
        <f>SUM(OSRRefT22_0x_0)</f>
        <v>229984.17</v>
      </c>
      <c r="U24" s="2"/>
      <c r="V24" s="6">
        <f t="shared" si="5"/>
        <v>9.7621674692003637</v>
      </c>
      <c r="W24" s="2"/>
      <c r="X24" s="2">
        <f t="shared" si="6"/>
        <v>60888.329999999987</v>
      </c>
      <c r="Y24" s="2"/>
      <c r="Z24" s="6">
        <f t="shared" si="7"/>
        <v>0.26475009127802135</v>
      </c>
    </row>
    <row r="25" spans="1:26" s="69" customFormat="1" ht="15" hidden="1" customHeight="1" outlineLevel="2" x14ac:dyDescent="0.25">
      <c r="A25" s="25"/>
      <c r="B25" s="12" t="str">
        <f>CONCATENATE("          ","6111"," - ","F.I.C.A.")</f>
        <v xml:space="preserve">          6111 - F.I.C.A.</v>
      </c>
      <c r="C25" s="12"/>
      <c r="D25" s="7">
        <v>3171.37</v>
      </c>
      <c r="E25" s="3"/>
      <c r="F25" s="8">
        <f t="shared" si="0"/>
        <v>1.4349084763244422E-2</v>
      </c>
      <c r="G25" s="3"/>
      <c r="H25" s="7">
        <v>1817.28</v>
      </c>
      <c r="I25" s="3"/>
      <c r="J25" s="8">
        <f t="shared" si="1"/>
        <v>-21.842307692307692</v>
      </c>
      <c r="K25" s="3"/>
      <c r="L25" s="7">
        <f t="shared" si="2"/>
        <v>1354.09</v>
      </c>
      <c r="M25" s="3"/>
      <c r="N25" s="8">
        <f t="shared" si="3"/>
        <v>0.74511907906321528</v>
      </c>
      <c r="O25" s="12"/>
      <c r="P25" s="7">
        <v>38547.120000000003</v>
      </c>
      <c r="Q25" s="3"/>
      <c r="R25" s="8">
        <f t="shared" si="4"/>
        <v>9.8203254423861724E-3</v>
      </c>
      <c r="S25" s="3"/>
      <c r="T25" s="7">
        <v>22521.15</v>
      </c>
      <c r="U25" s="3"/>
      <c r="V25" s="8">
        <f t="shared" si="5"/>
        <v>0.95595813354885162</v>
      </c>
      <c r="W25" s="3"/>
      <c r="X25" s="7">
        <f t="shared" si="6"/>
        <v>16025.970000000001</v>
      </c>
      <c r="Y25" s="3"/>
      <c r="Z25" s="8">
        <f t="shared" si="7"/>
        <v>0.71159643268660788</v>
      </c>
    </row>
    <row r="26" spans="1:26" s="69" customFormat="1" ht="15" hidden="1" customHeight="1" outlineLevel="2" x14ac:dyDescent="0.25">
      <c r="A26" s="25"/>
      <c r="B26" s="12" t="str">
        <f>CONCATENATE("          ","6112"," - ","COMPENSATION INSURANCE")</f>
        <v xml:space="preserve">          6112 - COMPENSATION INSURANCE</v>
      </c>
      <c r="C26" s="12"/>
      <c r="D26" s="7">
        <v>3370.56</v>
      </c>
      <c r="E26" s="3"/>
      <c r="F26" s="8">
        <f t="shared" si="0"/>
        <v>1.5250333811444619E-2</v>
      </c>
      <c r="G26" s="3"/>
      <c r="H26" s="7">
        <v>1511.29</v>
      </c>
      <c r="I26" s="3"/>
      <c r="J26" s="8">
        <f t="shared" si="1"/>
        <v>-18.164543269230769</v>
      </c>
      <c r="K26" s="3"/>
      <c r="L26" s="7">
        <f t="shared" si="2"/>
        <v>1859.27</v>
      </c>
      <c r="M26" s="3"/>
      <c r="N26" s="8">
        <f t="shared" si="3"/>
        <v>1.2302536243871129</v>
      </c>
      <c r="O26" s="12"/>
      <c r="P26" s="7">
        <v>25789.88</v>
      </c>
      <c r="Q26" s="3"/>
      <c r="R26" s="8">
        <f t="shared" si="4"/>
        <v>6.5702707418890506E-3</v>
      </c>
      <c r="S26" s="3"/>
      <c r="T26" s="7">
        <v>12742.68</v>
      </c>
      <c r="U26" s="3"/>
      <c r="V26" s="8">
        <f t="shared" si="5"/>
        <v>0.54089016720772609</v>
      </c>
      <c r="W26" s="3"/>
      <c r="X26" s="7">
        <f t="shared" si="6"/>
        <v>13047.2</v>
      </c>
      <c r="Y26" s="3"/>
      <c r="Z26" s="8">
        <f t="shared" si="7"/>
        <v>1.0238976416264083</v>
      </c>
    </row>
    <row r="27" spans="1:26" s="69" customFormat="1" ht="15" hidden="1" customHeight="1" outlineLevel="2" x14ac:dyDescent="0.25">
      <c r="A27" s="25"/>
      <c r="B27" s="12" t="str">
        <f>CONCATENATE("          ","6113"," - ","GROUP INSURANCE")</f>
        <v xml:space="preserve">          6113 - GROUP INSURANCE</v>
      </c>
      <c r="C27" s="12"/>
      <c r="D27" s="7">
        <v>12704.31</v>
      </c>
      <c r="E27" s="3"/>
      <c r="F27" s="8">
        <f t="shared" si="0"/>
        <v>5.748153670134161E-2</v>
      </c>
      <c r="G27" s="3"/>
      <c r="H27" s="7">
        <v>11992.75</v>
      </c>
      <c r="I27" s="3"/>
      <c r="J27" s="8">
        <f t="shared" si="1"/>
        <v>-144.14362980769229</v>
      </c>
      <c r="K27" s="3"/>
      <c r="L27" s="7">
        <f t="shared" si="2"/>
        <v>711.55999999999949</v>
      </c>
      <c r="M27" s="3"/>
      <c r="N27" s="8">
        <f t="shared" si="3"/>
        <v>5.9332513393508535E-2</v>
      </c>
      <c r="O27" s="12"/>
      <c r="P27" s="7">
        <v>146522.85</v>
      </c>
      <c r="Q27" s="3"/>
      <c r="R27" s="8">
        <f t="shared" si="4"/>
        <v>3.732839370998229E-2</v>
      </c>
      <c r="S27" s="3"/>
      <c r="T27" s="7">
        <v>134101.98000000001</v>
      </c>
      <c r="U27" s="3"/>
      <c r="V27" s="8">
        <f t="shared" si="5"/>
        <v>5.6922438910093591</v>
      </c>
      <c r="W27" s="3"/>
      <c r="X27" s="7">
        <f t="shared" si="6"/>
        <v>12420.869999999995</v>
      </c>
      <c r="Y27" s="3"/>
      <c r="Z27" s="8">
        <f t="shared" si="7"/>
        <v>9.2622569778611732E-2</v>
      </c>
    </row>
    <row r="28" spans="1:26" s="69" customFormat="1" ht="15" hidden="1" customHeight="1" outlineLevel="2" x14ac:dyDescent="0.25">
      <c r="A28" s="25"/>
      <c r="B28" s="12" t="str">
        <f>CONCATENATE("          ","6114"," - ","STATE UNEMPLOYMENT INSURANCE")</f>
        <v xml:space="preserve">          6114 - STATE UNEMPLOYMENT INSURANCE</v>
      </c>
      <c r="C28" s="12"/>
      <c r="D28" s="7">
        <v>243.42</v>
      </c>
      <c r="E28" s="3"/>
      <c r="F28" s="8">
        <f t="shared" si="0"/>
        <v>1.10137076817557E-3</v>
      </c>
      <c r="G28" s="3"/>
      <c r="H28" s="7">
        <v>91.59</v>
      </c>
      <c r="I28" s="3"/>
      <c r="J28" s="8">
        <f t="shared" si="1"/>
        <v>-1.1008413461538462</v>
      </c>
      <c r="K28" s="3"/>
      <c r="L28" s="7">
        <f t="shared" si="2"/>
        <v>151.82999999999998</v>
      </c>
      <c r="M28" s="3"/>
      <c r="N28" s="8">
        <f t="shared" si="3"/>
        <v>1.6577137242056992</v>
      </c>
      <c r="O28" s="12"/>
      <c r="P28" s="7">
        <v>1862.58</v>
      </c>
      <c r="Q28" s="3"/>
      <c r="R28" s="8">
        <f t="shared" si="4"/>
        <v>4.7451383559860331E-4</v>
      </c>
      <c r="S28" s="3"/>
      <c r="T28" s="7">
        <v>772.27</v>
      </c>
      <c r="U28" s="3"/>
      <c r="V28" s="8">
        <f t="shared" si="5"/>
        <v>3.2780643430542912E-2</v>
      </c>
      <c r="W28" s="3"/>
      <c r="X28" s="7">
        <f t="shared" si="6"/>
        <v>1090.31</v>
      </c>
      <c r="Y28" s="3"/>
      <c r="Z28" s="8">
        <f t="shared" si="7"/>
        <v>1.411824879899517</v>
      </c>
    </row>
    <row r="29" spans="1:26" s="69" customFormat="1" ht="15" hidden="1" customHeight="1" outlineLevel="2" x14ac:dyDescent="0.25">
      <c r="A29" s="25"/>
      <c r="B29" s="12" t="str">
        <f>CONCATENATE("          ","6115"," - ","P.E.R.S.")</f>
        <v xml:space="preserve">          6115 - P.E.R.S.</v>
      </c>
      <c r="C29" s="12"/>
      <c r="D29" s="7">
        <v>806.64</v>
      </c>
      <c r="E29" s="3"/>
      <c r="F29" s="8">
        <f t="shared" si="0"/>
        <v>3.6496989419157909E-3</v>
      </c>
      <c r="G29" s="3"/>
      <c r="H29" s="7">
        <v>950.04</v>
      </c>
      <c r="I29" s="3"/>
      <c r="J29" s="8">
        <f t="shared" si="1"/>
        <v>-11.418749999999999</v>
      </c>
      <c r="K29" s="3"/>
      <c r="L29" s="7">
        <f t="shared" si="2"/>
        <v>-143.39999999999998</v>
      </c>
      <c r="M29" s="3"/>
      <c r="N29" s="8">
        <f t="shared" si="3"/>
        <v>-0.1509410130099785</v>
      </c>
      <c r="O29" s="12"/>
      <c r="P29" s="7">
        <v>13008.97</v>
      </c>
      <c r="Q29" s="3"/>
      <c r="R29" s="8">
        <f t="shared" si="4"/>
        <v>3.3141858346418208E-3</v>
      </c>
      <c r="S29" s="3"/>
      <c r="T29" s="7">
        <v>11480.91</v>
      </c>
      <c r="U29" s="3"/>
      <c r="V29" s="8">
        <f t="shared" si="5"/>
        <v>0.48733165469091694</v>
      </c>
      <c r="W29" s="3"/>
      <c r="X29" s="7">
        <f t="shared" si="6"/>
        <v>1528.0599999999995</v>
      </c>
      <c r="Y29" s="3"/>
      <c r="Z29" s="8">
        <f t="shared" si="7"/>
        <v>0.13309572150639623</v>
      </c>
    </row>
    <row r="30" spans="1:26" s="69" customFormat="1" ht="15" hidden="1" customHeight="1" outlineLevel="2" x14ac:dyDescent="0.25">
      <c r="A30" s="25"/>
      <c r="B30" s="12" t="str">
        <f>CONCATENATE("          ","6117"," - ","RETIREMENT STAFF HOURLY")</f>
        <v xml:space="preserve">          6117 - RETIREMENT STAFF HOURLY</v>
      </c>
      <c r="C30" s="12"/>
      <c r="D30" s="7">
        <v>435.99</v>
      </c>
      <c r="E30" s="3"/>
      <c r="F30" s="8">
        <f t="shared" si="0"/>
        <v>1.9726671646408131E-3</v>
      </c>
      <c r="G30" s="3"/>
      <c r="H30" s="7">
        <v>330.17</v>
      </c>
      <c r="I30" s="3"/>
      <c r="J30" s="8">
        <f t="shared" si="1"/>
        <v>-3.968389423076923</v>
      </c>
      <c r="K30" s="3"/>
      <c r="L30" s="7">
        <f t="shared" si="2"/>
        <v>105.82</v>
      </c>
      <c r="M30" s="3"/>
      <c r="N30" s="8">
        <f t="shared" si="3"/>
        <v>0.32050155980252593</v>
      </c>
      <c r="O30" s="12"/>
      <c r="P30" s="7">
        <v>5696.19</v>
      </c>
      <c r="Q30" s="3"/>
      <c r="R30" s="8">
        <f t="shared" si="4"/>
        <v>1.4511704008409883E-3</v>
      </c>
      <c r="S30" s="3"/>
      <c r="T30" s="7">
        <v>4380.1899999999996</v>
      </c>
      <c r="U30" s="3"/>
      <c r="V30" s="8">
        <f t="shared" si="5"/>
        <v>0.18592648497032094</v>
      </c>
      <c r="W30" s="3"/>
      <c r="X30" s="7">
        <f t="shared" si="6"/>
        <v>1316</v>
      </c>
      <c r="Y30" s="3"/>
      <c r="Z30" s="8">
        <f t="shared" si="7"/>
        <v>0.3004435880635315</v>
      </c>
    </row>
    <row r="31" spans="1:26" s="69" customFormat="1" ht="15" hidden="1" customHeight="1" outlineLevel="2" x14ac:dyDescent="0.25">
      <c r="A31" s="25"/>
      <c r="B31" s="12" t="str">
        <f>CONCATENATE("          ","6118"," - ","VACATION")</f>
        <v xml:space="preserve">          6118 - VACATION</v>
      </c>
      <c r="C31" s="12"/>
      <c r="D31" s="7">
        <v>1504.76</v>
      </c>
      <c r="E31" s="3"/>
      <c r="F31" s="8">
        <f t="shared" si="0"/>
        <v>6.8083915747262783E-3</v>
      </c>
      <c r="G31" s="3"/>
      <c r="H31" s="7">
        <v>1628.16</v>
      </c>
      <c r="I31" s="3"/>
      <c r="J31" s="8">
        <f t="shared" si="1"/>
        <v>-19.569230769230771</v>
      </c>
      <c r="K31" s="3"/>
      <c r="L31" s="7">
        <f t="shared" si="2"/>
        <v>-123.40000000000009</v>
      </c>
      <c r="M31" s="3"/>
      <c r="N31" s="8">
        <f t="shared" si="3"/>
        <v>-7.5791077044025212E-2</v>
      </c>
      <c r="O31" s="12"/>
      <c r="P31" s="7">
        <v>24155.56</v>
      </c>
      <c r="Q31" s="3"/>
      <c r="R31" s="8">
        <f t="shared" si="4"/>
        <v>6.1539087860023193E-3</v>
      </c>
      <c r="S31" s="3"/>
      <c r="T31" s="7">
        <v>20990.04</v>
      </c>
      <c r="U31" s="3"/>
      <c r="V31" s="8">
        <f t="shared" si="5"/>
        <v>0.8909669116148925</v>
      </c>
      <c r="W31" s="3"/>
      <c r="X31" s="7">
        <f t="shared" si="6"/>
        <v>3165.5200000000004</v>
      </c>
      <c r="Y31" s="3"/>
      <c r="Z31" s="8">
        <f t="shared" si="7"/>
        <v>0.15081057492029554</v>
      </c>
    </row>
    <row r="32" spans="1:26" s="69" customFormat="1" ht="15" hidden="1" customHeight="1" outlineLevel="2" x14ac:dyDescent="0.25">
      <c r="A32" s="25"/>
      <c r="B32" s="12" t="str">
        <f>CONCATENATE("          ","6119"," - ","SICK LEAVE")</f>
        <v xml:space="preserve">          6119 - SICK LEAVE</v>
      </c>
      <c r="C32" s="12"/>
      <c r="D32" s="7">
        <v>1484.9</v>
      </c>
      <c r="E32" s="3"/>
      <c r="F32" s="8">
        <f t="shared" si="0"/>
        <v>6.7185336195214199E-3</v>
      </c>
      <c r="G32" s="3"/>
      <c r="H32" s="7">
        <v>1078.6199999999999</v>
      </c>
      <c r="I32" s="3"/>
      <c r="J32" s="8">
        <f t="shared" si="1"/>
        <v>-12.964182692307691</v>
      </c>
      <c r="K32" s="3"/>
      <c r="L32" s="7">
        <f t="shared" si="2"/>
        <v>406.2800000000002</v>
      </c>
      <c r="M32" s="3"/>
      <c r="N32" s="8">
        <f t="shared" si="3"/>
        <v>0.37666648124455343</v>
      </c>
      <c r="O32" s="12"/>
      <c r="P32" s="7">
        <v>21891.35</v>
      </c>
      <c r="Q32" s="3"/>
      <c r="R32" s="8">
        <f t="shared" si="4"/>
        <v>5.5770750544575183E-3</v>
      </c>
      <c r="S32" s="3"/>
      <c r="T32" s="7">
        <v>14038.07</v>
      </c>
      <c r="U32" s="3"/>
      <c r="V32" s="8">
        <f t="shared" si="5"/>
        <v>0.59587575216310562</v>
      </c>
      <c r="W32" s="3"/>
      <c r="X32" s="7">
        <f t="shared" si="6"/>
        <v>7853.2799999999988</v>
      </c>
      <c r="Y32" s="3"/>
      <c r="Z32" s="8">
        <f t="shared" si="7"/>
        <v>0.55942732868549583</v>
      </c>
    </row>
    <row r="33" spans="1:26" s="69" customFormat="1" ht="15" hidden="1" customHeight="1" outlineLevel="2" x14ac:dyDescent="0.25">
      <c r="A33" s="25"/>
      <c r="B33" s="12" t="str">
        <f>CONCATENATE("          ","6156"," - ","EMPLOYEE MEALS")</f>
        <v xml:space="preserve">          6156 - EMPLOYEE MEALS</v>
      </c>
      <c r="C33" s="12"/>
      <c r="D33" s="7">
        <v>1219.67</v>
      </c>
      <c r="E33" s="3"/>
      <c r="F33" s="8">
        <f t="shared" si="0"/>
        <v>5.5184819851314499E-3</v>
      </c>
      <c r="G33" s="3"/>
      <c r="H33" s="7">
        <v>816.81</v>
      </c>
      <c r="I33" s="3"/>
      <c r="J33" s="8">
        <f t="shared" si="1"/>
        <v>-9.817427884615384</v>
      </c>
      <c r="K33" s="3"/>
      <c r="L33" s="7">
        <f t="shared" si="2"/>
        <v>402.86000000000013</v>
      </c>
      <c r="M33" s="3"/>
      <c r="N33" s="8">
        <f t="shared" si="3"/>
        <v>0.49321139555098514</v>
      </c>
      <c r="O33" s="12"/>
      <c r="P33" s="7">
        <v>13398</v>
      </c>
      <c r="Q33" s="3"/>
      <c r="R33" s="8">
        <f t="shared" si="4"/>
        <v>3.4132957345993659E-3</v>
      </c>
      <c r="S33" s="3"/>
      <c r="T33" s="7">
        <v>8956.8799999999992</v>
      </c>
      <c r="U33" s="3"/>
      <c r="V33" s="8">
        <f t="shared" si="5"/>
        <v>0.38019383056464862</v>
      </c>
      <c r="W33" s="3"/>
      <c r="X33" s="7">
        <f t="shared" si="6"/>
        <v>4441.1200000000008</v>
      </c>
      <c r="Y33" s="3"/>
      <c r="Z33" s="8">
        <f t="shared" si="7"/>
        <v>0.49583337054867332</v>
      </c>
    </row>
    <row r="34" spans="1:26" s="68" customFormat="1" ht="15" customHeight="1" outlineLevel="1" collapsed="1" x14ac:dyDescent="0.25">
      <c r="A34" s="26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53775.270000000004</v>
      </c>
      <c r="E34" s="2"/>
      <c r="F34" s="6">
        <f t="shared" si="0"/>
        <v>0.24330995985846968</v>
      </c>
      <c r="G34" s="2"/>
      <c r="H34" s="2">
        <f>SUM(OSRRefH22_1x_0)</f>
        <v>21554.28</v>
      </c>
      <c r="I34" s="2"/>
      <c r="J34" s="6">
        <f t="shared" si="1"/>
        <v>-259.06586538461534</v>
      </c>
      <c r="K34" s="2"/>
      <c r="L34" s="2">
        <f t="shared" si="2"/>
        <v>32220.990000000005</v>
      </c>
      <c r="M34" s="2"/>
      <c r="N34" s="6">
        <f t="shared" si="3"/>
        <v>1.4948766555876609</v>
      </c>
      <c r="O34" s="14"/>
      <c r="P34" s="2">
        <f>SUM(OSRRefP22_1x_0)</f>
        <v>752771.9800000001</v>
      </c>
      <c r="Q34" s="2"/>
      <c r="R34" s="6">
        <f t="shared" si="4"/>
        <v>0.19177738382295265</v>
      </c>
      <c r="S34" s="2"/>
      <c r="T34" s="2">
        <f>SUM(OSRRefT22_1x_0)</f>
        <v>246230.04</v>
      </c>
      <c r="U34" s="2"/>
      <c r="V34" s="6">
        <f t="shared" si="5"/>
        <v>10.451757990247348</v>
      </c>
      <c r="W34" s="2"/>
      <c r="X34" s="2">
        <f t="shared" si="6"/>
        <v>506541.94000000006</v>
      </c>
      <c r="Y34" s="2"/>
      <c r="Z34" s="6">
        <f t="shared" si="7"/>
        <v>2.0571898538456153</v>
      </c>
    </row>
    <row r="35" spans="1:26" s="69" customFormat="1" ht="15" hidden="1" customHeight="1" outlineLevel="2" x14ac:dyDescent="0.25">
      <c r="A35" s="25"/>
      <c r="B35" s="12" t="str">
        <f>CONCATENATE("          ","6002"," - ","STAFF SALARIES")</f>
        <v xml:space="preserve">          6002 - STAFF SALARIES</v>
      </c>
      <c r="C35" s="12"/>
      <c r="D35" s="7">
        <v>8693.16</v>
      </c>
      <c r="E35" s="3"/>
      <c r="F35" s="8">
        <f t="shared" si="0"/>
        <v>3.9332808754716696E-2</v>
      </c>
      <c r="G35" s="3"/>
      <c r="H35" s="7">
        <v>8392.92</v>
      </c>
      <c r="I35" s="3"/>
      <c r="J35" s="8">
        <f t="shared" si="1"/>
        <v>-100.8764423076923</v>
      </c>
      <c r="K35" s="3"/>
      <c r="L35" s="7">
        <f t="shared" si="2"/>
        <v>300.23999999999978</v>
      </c>
      <c r="M35" s="3"/>
      <c r="N35" s="8">
        <f t="shared" si="3"/>
        <v>3.5773008678743487E-2</v>
      </c>
      <c r="O35" s="12"/>
      <c r="P35" s="7">
        <v>136348.1</v>
      </c>
      <c r="Q35" s="3"/>
      <c r="R35" s="8">
        <f t="shared" si="4"/>
        <v>3.4736258258749653E-2</v>
      </c>
      <c r="S35" s="3"/>
      <c r="T35" s="7">
        <v>100961.31</v>
      </c>
      <c r="U35" s="3"/>
      <c r="V35" s="8">
        <f t="shared" si="5"/>
        <v>4.2855176342347967</v>
      </c>
      <c r="W35" s="3"/>
      <c r="X35" s="7">
        <f t="shared" si="6"/>
        <v>35386.790000000008</v>
      </c>
      <c r="Y35" s="3"/>
      <c r="Z35" s="8">
        <f t="shared" si="7"/>
        <v>0.35049852265189518</v>
      </c>
    </row>
    <row r="36" spans="1:26" s="69" customFormat="1" ht="15" hidden="1" customHeight="1" outlineLevel="2" x14ac:dyDescent="0.25">
      <c r="A36" s="25"/>
      <c r="B36" s="12" t="str">
        <f>CONCATENATE("          ","6004"," - ","STAFF HOURLY")</f>
        <v xml:space="preserve">          6004 - STAFF HOURLY</v>
      </c>
      <c r="C36" s="12"/>
      <c r="D36" s="7">
        <v>26425.72</v>
      </c>
      <c r="E36" s="3"/>
      <c r="F36" s="8">
        <f t="shared" si="0"/>
        <v>0.11956501329386461</v>
      </c>
      <c r="G36" s="3"/>
      <c r="H36" s="7">
        <v>13161.36</v>
      </c>
      <c r="I36" s="3"/>
      <c r="J36" s="8">
        <f t="shared" si="1"/>
        <v>-158.18942307692308</v>
      </c>
      <c r="K36" s="3"/>
      <c r="L36" s="7">
        <f t="shared" si="2"/>
        <v>13264.36</v>
      </c>
      <c r="M36" s="3"/>
      <c r="N36" s="8">
        <f t="shared" si="3"/>
        <v>1.0078259389607154</v>
      </c>
      <c r="O36" s="12"/>
      <c r="P36" s="7">
        <v>269527.34000000003</v>
      </c>
      <c r="Q36" s="3"/>
      <c r="R36" s="8">
        <f t="shared" si="4"/>
        <v>6.8665212716816929E-2</v>
      </c>
      <c r="S36" s="3"/>
      <c r="T36" s="7">
        <v>145268.73000000001</v>
      </c>
      <c r="U36" s="3"/>
      <c r="V36" s="8">
        <f t="shared" si="5"/>
        <v>6.1662403560125512</v>
      </c>
      <c r="W36" s="3"/>
      <c r="X36" s="7">
        <f t="shared" si="6"/>
        <v>124258.61000000002</v>
      </c>
      <c r="Y36" s="3"/>
      <c r="Z36" s="8">
        <f t="shared" si="7"/>
        <v>0.85537066373472115</v>
      </c>
    </row>
    <row r="37" spans="1:26" s="69" customFormat="1" ht="15" hidden="1" customHeight="1" outlineLevel="2" x14ac:dyDescent="0.25">
      <c r="A37" s="25"/>
      <c r="B37" s="12" t="str">
        <f>CONCATENATE("          ","6005"," - ","TEMPORARY WAGES-HOURLY")</f>
        <v xml:space="preserve">          6005 - TEMPORARY WAGES-HOURLY</v>
      </c>
      <c r="C37" s="12"/>
      <c r="D37" s="7">
        <v>2564.79</v>
      </c>
      <c r="E37" s="3"/>
      <c r="F37" s="8">
        <f t="shared" si="0"/>
        <v>1.1604571245210008E-2</v>
      </c>
      <c r="G37" s="3"/>
      <c r="H37" s="7"/>
      <c r="I37" s="3"/>
      <c r="J37" s="8">
        <f t="shared" si="1"/>
        <v>0</v>
      </c>
      <c r="K37" s="3"/>
      <c r="L37" s="7">
        <f t="shared" si="2"/>
        <v>2564.79</v>
      </c>
      <c r="M37" s="3"/>
      <c r="N37" s="8">
        <f t="shared" si="3"/>
        <v>0</v>
      </c>
      <c r="O37" s="12"/>
      <c r="P37" s="7">
        <v>105203.79</v>
      </c>
      <c r="Q37" s="3"/>
      <c r="R37" s="8">
        <f t="shared" si="4"/>
        <v>2.6801884435787984E-2</v>
      </c>
      <c r="S37" s="3"/>
      <c r="T37" s="7"/>
      <c r="U37" s="3"/>
      <c r="V37" s="8">
        <f t="shared" si="5"/>
        <v>0</v>
      </c>
      <c r="W37" s="3"/>
      <c r="X37" s="7">
        <f t="shared" si="6"/>
        <v>105203.79</v>
      </c>
      <c r="Y37" s="3"/>
      <c r="Z37" s="8">
        <f t="shared" si="7"/>
        <v>0</v>
      </c>
    </row>
    <row r="38" spans="1:26" s="69" customFormat="1" ht="15" hidden="1" customHeight="1" outlineLevel="2" x14ac:dyDescent="0.25">
      <c r="A38" s="25"/>
      <c r="B38" s="12" t="str">
        <f>CONCATENATE("          ","6006"," - ","TEMPORARY PART TIME")</f>
        <v xml:space="preserve">          6006 - TEMPORARY PART TIME</v>
      </c>
      <c r="C38" s="12"/>
      <c r="D38" s="7">
        <v>1205.7</v>
      </c>
      <c r="E38" s="3"/>
      <c r="F38" s="8">
        <f t="shared" si="0"/>
        <v>5.4552737457451515E-3</v>
      </c>
      <c r="G38" s="3"/>
      <c r="H38" s="7"/>
      <c r="I38" s="3"/>
      <c r="J38" s="8">
        <f t="shared" si="1"/>
        <v>0</v>
      </c>
      <c r="K38" s="3"/>
      <c r="L38" s="7">
        <f t="shared" si="2"/>
        <v>1205.7</v>
      </c>
      <c r="M38" s="3"/>
      <c r="N38" s="8">
        <f t="shared" si="3"/>
        <v>0</v>
      </c>
      <c r="O38" s="12"/>
      <c r="P38" s="7">
        <v>5175.5</v>
      </c>
      <c r="Q38" s="3"/>
      <c r="R38" s="8">
        <f t="shared" si="4"/>
        <v>1.3185185904178995E-3</v>
      </c>
      <c r="S38" s="3"/>
      <c r="T38" s="7"/>
      <c r="U38" s="3"/>
      <c r="V38" s="8">
        <f t="shared" si="5"/>
        <v>0</v>
      </c>
      <c r="W38" s="3"/>
      <c r="X38" s="7">
        <f t="shared" si="6"/>
        <v>5175.5</v>
      </c>
      <c r="Y38" s="3"/>
      <c r="Z38" s="8">
        <f t="shared" si="7"/>
        <v>0</v>
      </c>
    </row>
    <row r="39" spans="1:26" s="69" customFormat="1" ht="15" hidden="1" customHeight="1" outlineLevel="2" x14ac:dyDescent="0.25">
      <c r="A39" s="25"/>
      <c r="B39" s="12" t="str">
        <f>CONCATENATE("          ","6007"," - ","STUDENT HOURLY")</f>
        <v xml:space="preserve">          6007 - STUDENT HOURLY</v>
      </c>
      <c r="C39" s="12"/>
      <c r="D39" s="7">
        <v>8814.2000000000007</v>
      </c>
      <c r="E39" s="3"/>
      <c r="F39" s="8">
        <f t="shared" si="0"/>
        <v>3.9880462677073E-2</v>
      </c>
      <c r="G39" s="3"/>
      <c r="H39" s="7"/>
      <c r="I39" s="3"/>
      <c r="J39" s="8">
        <f t="shared" si="1"/>
        <v>0</v>
      </c>
      <c r="K39" s="3"/>
      <c r="L39" s="7">
        <f t="shared" si="2"/>
        <v>8814.2000000000007</v>
      </c>
      <c r="M39" s="3"/>
      <c r="N39" s="8">
        <f t="shared" si="3"/>
        <v>0</v>
      </c>
      <c r="O39" s="12"/>
      <c r="P39" s="7">
        <v>153624.45000000001</v>
      </c>
      <c r="Q39" s="3"/>
      <c r="R39" s="8">
        <f t="shared" si="4"/>
        <v>3.913760859196698E-2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153624.45000000001</v>
      </c>
      <c r="Y39" s="3"/>
      <c r="Z39" s="8">
        <f t="shared" si="7"/>
        <v>0</v>
      </c>
    </row>
    <row r="40" spans="1:26" s="69" customFormat="1" ht="15" hidden="1" customHeight="1" outlineLevel="2" x14ac:dyDescent="0.25">
      <c r="A40" s="25"/>
      <c r="B40" s="12" t="str">
        <f>CONCATENATE("          ","6008"," - ","STUDENT HOURLY-FICA EXEMPT")</f>
        <v xml:space="preserve">          6008 - STUDENT HOURLY-FICA EXEMPT</v>
      </c>
      <c r="C40" s="12"/>
      <c r="D40" s="7">
        <v>6071.7</v>
      </c>
      <c r="E40" s="3"/>
      <c r="F40" s="8">
        <f t="shared" si="0"/>
        <v>2.7471830141860193E-2</v>
      </c>
      <c r="G40" s="3"/>
      <c r="H40" s="7"/>
      <c r="I40" s="3"/>
      <c r="J40" s="8">
        <f t="shared" si="1"/>
        <v>0</v>
      </c>
      <c r="K40" s="3"/>
      <c r="L40" s="7">
        <f t="shared" si="2"/>
        <v>6071.7</v>
      </c>
      <c r="M40" s="3"/>
      <c r="N40" s="8">
        <f t="shared" si="3"/>
        <v>0</v>
      </c>
      <c r="O40" s="12"/>
      <c r="P40" s="7">
        <v>82892.800000000003</v>
      </c>
      <c r="Q40" s="3"/>
      <c r="R40" s="8">
        <f t="shared" si="4"/>
        <v>2.1117901229213192E-2</v>
      </c>
      <c r="S40" s="3"/>
      <c r="T40" s="7"/>
      <c r="U40" s="3"/>
      <c r="V40" s="8">
        <f t="shared" si="5"/>
        <v>0</v>
      </c>
      <c r="W40" s="3"/>
      <c r="X40" s="7">
        <f t="shared" si="6"/>
        <v>82892.800000000003</v>
      </c>
      <c r="Y40" s="3"/>
      <c r="Z40" s="8">
        <f t="shared" si="7"/>
        <v>0</v>
      </c>
    </row>
    <row r="41" spans="1:26" s="68" customFormat="1" ht="15" customHeight="1" outlineLevel="1" collapsed="1" x14ac:dyDescent="0.25">
      <c r="A41" s="26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452.08</v>
      </c>
      <c r="E41" s="2"/>
      <c r="F41" s="6">
        <f t="shared" si="0"/>
        <v>2.0454674918938941E-3</v>
      </c>
      <c r="G41" s="2"/>
      <c r="H41" s="2">
        <f>SUM(OSRRefH22_2x_0)</f>
        <v>0</v>
      </c>
      <c r="I41" s="2"/>
      <c r="J41" s="6">
        <f t="shared" si="1"/>
        <v>0</v>
      </c>
      <c r="K41" s="2"/>
      <c r="L41" s="2">
        <f t="shared" si="2"/>
        <v>452.08</v>
      </c>
      <c r="M41" s="2"/>
      <c r="N41" s="6">
        <f t="shared" si="3"/>
        <v>0</v>
      </c>
      <c r="O41" s="14"/>
      <c r="P41" s="2">
        <f>SUM(OSRRefP22_2x_0)</f>
        <v>1902.42</v>
      </c>
      <c r="Q41" s="2"/>
      <c r="R41" s="6">
        <f t="shared" si="4"/>
        <v>4.8466353720081549E-4</v>
      </c>
      <c r="S41" s="2"/>
      <c r="T41" s="2">
        <f>SUM(OSRRefT22_2x_0)</f>
        <v>204.75</v>
      </c>
      <c r="U41" s="2"/>
      <c r="V41" s="6">
        <f t="shared" si="5"/>
        <v>8.6910494288314471E-3</v>
      </c>
      <c r="W41" s="2"/>
      <c r="X41" s="2">
        <f t="shared" si="6"/>
        <v>1697.67</v>
      </c>
      <c r="Y41" s="2"/>
      <c r="Z41" s="6">
        <f t="shared" si="7"/>
        <v>8.2914285714285718</v>
      </c>
    </row>
    <row r="42" spans="1:26" s="69" customFormat="1" ht="15" hidden="1" customHeight="1" outlineLevel="2" x14ac:dyDescent="0.25">
      <c r="A42" s="25"/>
      <c r="B42" s="12" t="str">
        <f>CONCATENATE("          ","6362"," - ","ADVERTISING EXPENSE")</f>
        <v xml:space="preserve">          6362 - ADVERTISING EXPENSE</v>
      </c>
      <c r="C42" s="12"/>
      <c r="D42" s="7">
        <v>452.08</v>
      </c>
      <c r="E42" s="3"/>
      <c r="F42" s="8">
        <f t="shared" si="0"/>
        <v>2.0454674918938941E-3</v>
      </c>
      <c r="G42" s="3"/>
      <c r="H42" s="7"/>
      <c r="I42" s="3"/>
      <c r="J42" s="8">
        <f t="shared" si="1"/>
        <v>0</v>
      </c>
      <c r="K42" s="3"/>
      <c r="L42" s="7">
        <f t="shared" si="2"/>
        <v>452.08</v>
      </c>
      <c r="M42" s="3"/>
      <c r="N42" s="8">
        <f t="shared" si="3"/>
        <v>0</v>
      </c>
      <c r="O42" s="12"/>
      <c r="P42" s="7">
        <v>1902.42</v>
      </c>
      <c r="Q42" s="3"/>
      <c r="R42" s="8">
        <f t="shared" si="4"/>
        <v>4.8466353720081549E-4</v>
      </c>
      <c r="S42" s="3"/>
      <c r="T42" s="7">
        <v>204.75</v>
      </c>
      <c r="U42" s="3"/>
      <c r="V42" s="8">
        <f t="shared" si="5"/>
        <v>8.6910494288314471E-3</v>
      </c>
      <c r="W42" s="3"/>
      <c r="X42" s="7">
        <f t="shared" si="6"/>
        <v>1697.67</v>
      </c>
      <c r="Y42" s="3"/>
      <c r="Z42" s="8">
        <f t="shared" si="7"/>
        <v>8.2914285714285718</v>
      </c>
    </row>
    <row r="43" spans="1:26" s="68" customFormat="1" ht="15" customHeight="1" outlineLevel="1" collapsed="1" x14ac:dyDescent="0.25">
      <c r="A43" s="26"/>
      <c r="B43" s="14" t="str">
        <f>CONCATENATE("     ","Bad Debts/Over/Short                              ")</f>
        <v xml:space="preserve">     Bad Debts/Over/Short                              </v>
      </c>
      <c r="C43" s="14"/>
      <c r="D43" s="2">
        <f>SUM(OSRRefD22_3x_0)</f>
        <v>0</v>
      </c>
      <c r="E43" s="2"/>
      <c r="F43" s="6">
        <f t="shared" si="0"/>
        <v>0</v>
      </c>
      <c r="G43" s="2"/>
      <c r="H43" s="2">
        <f>SUM(OSRRefH22_3x_0)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SUM(OSRRefP22_3x_0)</f>
        <v>-23.9</v>
      </c>
      <c r="Q43" s="2"/>
      <c r="R43" s="6">
        <f t="shared" si="4"/>
        <v>-6.0888019149817019E-6</v>
      </c>
      <c r="S43" s="2"/>
      <c r="T43" s="2">
        <f>SUM(OSRRefT22_3x_0)</f>
        <v>0</v>
      </c>
      <c r="U43" s="2"/>
      <c r="V43" s="6">
        <f t="shared" si="5"/>
        <v>0</v>
      </c>
      <c r="W43" s="2"/>
      <c r="X43" s="2">
        <f t="shared" si="6"/>
        <v>-23.9</v>
      </c>
      <c r="Y43" s="2"/>
      <c r="Z43" s="6">
        <f t="shared" si="7"/>
        <v>0</v>
      </c>
    </row>
    <row r="44" spans="1:26" s="69" customFormat="1" ht="15" hidden="1" customHeight="1" outlineLevel="2" x14ac:dyDescent="0.25">
      <c r="A44" s="25"/>
      <c r="B44" s="12" t="str">
        <f>CONCATENATE("          ","6272"," - ","CASH (OVER/SHORT)")</f>
        <v xml:space="preserve">          6272 - CASH (OVER/SHORT)</v>
      </c>
      <c r="C44" s="12"/>
      <c r="D44" s="7"/>
      <c r="E44" s="3"/>
      <c r="F44" s="8">
        <f t="shared" si="0"/>
        <v>0</v>
      </c>
      <c r="G44" s="3"/>
      <c r="H44" s="7"/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-23.9</v>
      </c>
      <c r="Q44" s="3"/>
      <c r="R44" s="8">
        <f t="shared" si="4"/>
        <v>-6.0888019149817019E-6</v>
      </c>
      <c r="S44" s="3"/>
      <c r="T44" s="7">
        <v>0</v>
      </c>
      <c r="U44" s="3"/>
      <c r="V44" s="8">
        <f t="shared" si="5"/>
        <v>0</v>
      </c>
      <c r="W44" s="3"/>
      <c r="X44" s="7">
        <f t="shared" si="6"/>
        <v>-23.9</v>
      </c>
      <c r="Y44" s="3"/>
      <c r="Z44" s="8">
        <f t="shared" si="7"/>
        <v>0</v>
      </c>
    </row>
    <row r="45" spans="1:26" s="68" customFormat="1" ht="15" customHeight="1" outlineLevel="1" collapsed="1" x14ac:dyDescent="0.25">
      <c r="A45" s="26"/>
      <c r="B45" s="14" t="str">
        <f>CONCATENATE("     ","Bank/card Fees                                    ")</f>
        <v xml:space="preserve">     Bank/card Fees                                    </v>
      </c>
      <c r="C45" s="14"/>
      <c r="D45" s="2">
        <f>SUM(OSRRefD22_4x_0)</f>
        <v>57.68</v>
      </c>
      <c r="E45" s="2"/>
      <c r="F45" s="6">
        <f t="shared" si="0"/>
        <v>2.6097718309246108E-4</v>
      </c>
      <c r="G45" s="2"/>
      <c r="H45" s="2">
        <f>SUM(OSRRefH22_4x_0)</f>
        <v>0</v>
      </c>
      <c r="I45" s="2"/>
      <c r="J45" s="6">
        <f t="shared" si="1"/>
        <v>0</v>
      </c>
      <c r="K45" s="2"/>
      <c r="L45" s="2">
        <f t="shared" si="2"/>
        <v>57.68</v>
      </c>
      <c r="M45" s="2"/>
      <c r="N45" s="6">
        <f t="shared" si="3"/>
        <v>0</v>
      </c>
      <c r="O45" s="14"/>
      <c r="P45" s="2">
        <f>SUM(OSRRefP22_4x_0)</f>
        <v>668.95</v>
      </c>
      <c r="Q45" s="2"/>
      <c r="R45" s="6">
        <f t="shared" si="4"/>
        <v>1.7042276322288747E-4</v>
      </c>
      <c r="S45" s="2"/>
      <c r="T45" s="2">
        <f>SUM(OSRRefT22_4x_0)</f>
        <v>0</v>
      </c>
      <c r="U45" s="2"/>
      <c r="V45" s="6">
        <f t="shared" si="5"/>
        <v>0</v>
      </c>
      <c r="W45" s="2"/>
      <c r="X45" s="2">
        <f t="shared" si="6"/>
        <v>668.95</v>
      </c>
      <c r="Y45" s="2"/>
      <c r="Z45" s="6">
        <f t="shared" si="7"/>
        <v>0</v>
      </c>
    </row>
    <row r="46" spans="1:26" s="69" customFormat="1" ht="15" hidden="1" customHeight="1" outlineLevel="2" x14ac:dyDescent="0.25">
      <c r="A46" s="25"/>
      <c r="B46" s="12" t="str">
        <f>CONCATENATE("          ","6381"," - ","BANK/CREDIT CARD FEES")</f>
        <v xml:space="preserve">          6381 - BANK/CREDIT CARD FEES</v>
      </c>
      <c r="C46" s="12"/>
      <c r="D46" s="7">
        <v>57.68</v>
      </c>
      <c r="E46" s="3"/>
      <c r="F46" s="8">
        <f t="shared" si="0"/>
        <v>2.6097718309246108E-4</v>
      </c>
      <c r="G46" s="3"/>
      <c r="H46" s="7"/>
      <c r="I46" s="3"/>
      <c r="J46" s="8">
        <f t="shared" si="1"/>
        <v>0</v>
      </c>
      <c r="K46" s="3"/>
      <c r="L46" s="7">
        <f t="shared" si="2"/>
        <v>57.68</v>
      </c>
      <c r="M46" s="3"/>
      <c r="N46" s="8">
        <f t="shared" si="3"/>
        <v>0</v>
      </c>
      <c r="O46" s="12"/>
      <c r="P46" s="7">
        <v>668.95</v>
      </c>
      <c r="Q46" s="3"/>
      <c r="R46" s="8">
        <f t="shared" si="4"/>
        <v>1.7042276322288747E-4</v>
      </c>
      <c r="S46" s="3"/>
      <c r="T46" s="7"/>
      <c r="U46" s="3"/>
      <c r="V46" s="8">
        <f t="shared" si="5"/>
        <v>0</v>
      </c>
      <c r="W46" s="3"/>
      <c r="X46" s="7">
        <f t="shared" si="6"/>
        <v>668.95</v>
      </c>
      <c r="Y46" s="3"/>
      <c r="Z46" s="8">
        <f t="shared" si="7"/>
        <v>0</v>
      </c>
    </row>
    <row r="47" spans="1:26" s="68" customFormat="1" ht="15" customHeight="1" outlineLevel="1" collapsed="1" x14ac:dyDescent="0.25">
      <c r="A47" s="26"/>
      <c r="B47" s="14" t="str">
        <f>CONCATENATE("     ","Depreciation                                      ")</f>
        <v xml:space="preserve">     Depreciation                                      </v>
      </c>
      <c r="C47" s="14"/>
      <c r="D47" s="2">
        <f>SUM(OSRRefD22_5x_0)</f>
        <v>273.51</v>
      </c>
      <c r="E47" s="2"/>
      <c r="F47" s="6">
        <f t="shared" si="0"/>
        <v>1.2375150719074034E-3</v>
      </c>
      <c r="G47" s="2"/>
      <c r="H47" s="2">
        <f>SUM(OSRRefH22_5x_0)</f>
        <v>272.74</v>
      </c>
      <c r="I47" s="2"/>
      <c r="J47" s="6">
        <f t="shared" si="1"/>
        <v>-3.2781250000000002</v>
      </c>
      <c r="K47" s="2"/>
      <c r="L47" s="2">
        <f t="shared" si="2"/>
        <v>0.76999999999998181</v>
      </c>
      <c r="M47" s="2"/>
      <c r="N47" s="6">
        <f t="shared" si="3"/>
        <v>2.8232015839260165E-3</v>
      </c>
      <c r="O47" s="14"/>
      <c r="P47" s="2">
        <f>SUM(OSRRefP22_5x_0)</f>
        <v>3008.61</v>
      </c>
      <c r="Q47" s="2"/>
      <c r="R47" s="6">
        <f t="shared" si="4"/>
        <v>7.6647825646163602E-4</v>
      </c>
      <c r="S47" s="2"/>
      <c r="T47" s="2">
        <f>SUM(OSRRefT22_5x_0)</f>
        <v>2735.92</v>
      </c>
      <c r="U47" s="2"/>
      <c r="V47" s="6">
        <f t="shared" si="5"/>
        <v>0.1161319460480026</v>
      </c>
      <c r="W47" s="2"/>
      <c r="X47" s="2">
        <f t="shared" si="6"/>
        <v>272.69000000000005</v>
      </c>
      <c r="Y47" s="2"/>
      <c r="Z47" s="6">
        <f t="shared" si="7"/>
        <v>9.9670311997426847E-2</v>
      </c>
    </row>
    <row r="48" spans="1:26" s="69" customFormat="1" ht="15" hidden="1" customHeight="1" outlineLevel="2" x14ac:dyDescent="0.25">
      <c r="A48" s="25"/>
      <c r="B48" s="12" t="str">
        <f>CONCATENATE("          ","6322"," - ","EQUIPMENT DEPRECIATION EXPENSE")</f>
        <v xml:space="preserve">          6322 - EQUIPMENT DEPRECIATION EXPENSE</v>
      </c>
      <c r="C48" s="12"/>
      <c r="D48" s="7">
        <v>273.51</v>
      </c>
      <c r="E48" s="3"/>
      <c r="F48" s="8">
        <f t="shared" si="0"/>
        <v>1.2375150719074034E-3</v>
      </c>
      <c r="G48" s="3"/>
      <c r="H48" s="7">
        <v>272.74</v>
      </c>
      <c r="I48" s="3"/>
      <c r="J48" s="8">
        <f t="shared" si="1"/>
        <v>-3.2781250000000002</v>
      </c>
      <c r="K48" s="3"/>
      <c r="L48" s="7">
        <f t="shared" si="2"/>
        <v>0.76999999999998181</v>
      </c>
      <c r="M48" s="3"/>
      <c r="N48" s="8">
        <f t="shared" si="3"/>
        <v>2.8232015839260165E-3</v>
      </c>
      <c r="O48" s="12"/>
      <c r="P48" s="7">
        <v>3008.61</v>
      </c>
      <c r="Q48" s="3"/>
      <c r="R48" s="8">
        <f t="shared" si="4"/>
        <v>7.6647825646163602E-4</v>
      </c>
      <c r="S48" s="3"/>
      <c r="T48" s="7">
        <v>2735.92</v>
      </c>
      <c r="U48" s="3"/>
      <c r="V48" s="8">
        <f t="shared" si="5"/>
        <v>0.1161319460480026</v>
      </c>
      <c r="W48" s="3"/>
      <c r="X48" s="7">
        <f t="shared" si="6"/>
        <v>272.69000000000005</v>
      </c>
      <c r="Y48" s="3"/>
      <c r="Z48" s="8">
        <f t="shared" si="7"/>
        <v>9.9670311997426847E-2</v>
      </c>
    </row>
    <row r="49" spans="1:26" s="68" customFormat="1" ht="15" customHeight="1" outlineLevel="1" collapsed="1" x14ac:dyDescent="0.25">
      <c r="A49" s="26"/>
      <c r="B49" s="14" t="str">
        <f>CONCATENATE("     ","Donations                                         ")</f>
        <v xml:space="preserve">     Donations                                         </v>
      </c>
      <c r="C49" s="14"/>
      <c r="D49" s="2">
        <f>SUM(OSRRefD22_6x_0)</f>
        <v>1945.17</v>
      </c>
      <c r="E49" s="2"/>
      <c r="F49" s="6">
        <f t="shared" si="0"/>
        <v>8.8010573376553838E-3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1945.17</v>
      </c>
      <c r="M49" s="2"/>
      <c r="N49" s="6">
        <f t="shared" si="3"/>
        <v>0</v>
      </c>
      <c r="O49" s="14"/>
      <c r="P49" s="2">
        <f>SUM(OSRRefP22_6x_0)</f>
        <v>35511.86</v>
      </c>
      <c r="Q49" s="2"/>
      <c r="R49" s="6">
        <f t="shared" si="4"/>
        <v>9.047057789646951E-3</v>
      </c>
      <c r="S49" s="2"/>
      <c r="T49" s="2">
        <f>SUM(OSRRefT22_6x_0)</f>
        <v>0</v>
      </c>
      <c r="U49" s="2"/>
      <c r="V49" s="6">
        <f t="shared" si="5"/>
        <v>0</v>
      </c>
      <c r="W49" s="2"/>
      <c r="X49" s="2">
        <f t="shared" si="6"/>
        <v>35511.86</v>
      </c>
      <c r="Y49" s="2"/>
      <c r="Z49" s="6">
        <f t="shared" si="7"/>
        <v>0</v>
      </c>
    </row>
    <row r="50" spans="1:26" s="69" customFormat="1" ht="15" hidden="1" customHeight="1" outlineLevel="2" x14ac:dyDescent="0.25">
      <c r="A50" s="25"/>
      <c r="B50" s="12" t="str">
        <f>CONCATENATE("          ","6399"," - ","DONATION-ON CAMPUS")</f>
        <v xml:space="preserve">          6399 - DONATION-ON CAMPUS</v>
      </c>
      <c r="C50" s="12"/>
      <c r="D50" s="7">
        <v>1945.17</v>
      </c>
      <c r="E50" s="3"/>
      <c r="F50" s="8">
        <f t="shared" si="0"/>
        <v>8.8010573376553838E-3</v>
      </c>
      <c r="G50" s="3"/>
      <c r="H50" s="7"/>
      <c r="I50" s="3"/>
      <c r="J50" s="8">
        <f t="shared" si="1"/>
        <v>0</v>
      </c>
      <c r="K50" s="3"/>
      <c r="L50" s="7">
        <f t="shared" si="2"/>
        <v>1945.17</v>
      </c>
      <c r="M50" s="3"/>
      <c r="N50" s="8">
        <f t="shared" si="3"/>
        <v>0</v>
      </c>
      <c r="O50" s="12"/>
      <c r="P50" s="7">
        <v>35511.86</v>
      </c>
      <c r="Q50" s="3"/>
      <c r="R50" s="8">
        <f t="shared" si="4"/>
        <v>9.047057789646951E-3</v>
      </c>
      <c r="S50" s="3"/>
      <c r="T50" s="7"/>
      <c r="U50" s="3"/>
      <c r="V50" s="8">
        <f t="shared" si="5"/>
        <v>0</v>
      </c>
      <c r="W50" s="3"/>
      <c r="X50" s="7">
        <f t="shared" si="6"/>
        <v>35511.86</v>
      </c>
      <c r="Y50" s="3"/>
      <c r="Z50" s="8">
        <f t="shared" si="7"/>
        <v>0</v>
      </c>
    </row>
    <row r="51" spans="1:26" s="68" customFormat="1" ht="15" customHeight="1" outlineLevel="1" collapsed="1" x14ac:dyDescent="0.25">
      <c r="A51" s="26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SUM(OSRRefD22_7x_0)</f>
        <v>0</v>
      </c>
      <c r="E51" s="2"/>
      <c r="F51" s="6">
        <f t="shared" si="0"/>
        <v>0</v>
      </c>
      <c r="G51" s="2"/>
      <c r="H51" s="2">
        <f>SUM(OSRRefH22_7x_0)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SUM(OSRRefP22_7x_0)</f>
        <v>34.47</v>
      </c>
      <c r="Q51" s="2"/>
      <c r="R51" s="6">
        <f t="shared" si="4"/>
        <v>8.7816318832393E-6</v>
      </c>
      <c r="S51" s="2"/>
      <c r="T51" s="2">
        <f>SUM(OSRRefT22_7x_0)</f>
        <v>0</v>
      </c>
      <c r="U51" s="2"/>
      <c r="V51" s="6">
        <f t="shared" si="5"/>
        <v>0</v>
      </c>
      <c r="W51" s="2"/>
      <c r="X51" s="2">
        <f t="shared" si="6"/>
        <v>34.47</v>
      </c>
      <c r="Y51" s="2"/>
      <c r="Z51" s="6">
        <f t="shared" si="7"/>
        <v>0</v>
      </c>
    </row>
    <row r="52" spans="1:26" s="69" customFormat="1" ht="15" hidden="1" customHeight="1" outlineLevel="2" x14ac:dyDescent="0.25">
      <c r="A52" s="25"/>
      <c r="B52" s="12" t="str">
        <f>CONCATENATE("          ","6277"," - ","EMPLOYEE APPRECIATION")</f>
        <v xml:space="preserve">          6277 - EMPLOYEE APPRECIATION</v>
      </c>
      <c r="C52" s="12"/>
      <c r="D52" s="7"/>
      <c r="E52" s="3"/>
      <c r="F52" s="8">
        <f t="shared" si="0"/>
        <v>0</v>
      </c>
      <c r="G52" s="3"/>
      <c r="H52" s="7"/>
      <c r="I52" s="3"/>
      <c r="J52" s="8">
        <f t="shared" si="1"/>
        <v>0</v>
      </c>
      <c r="K52" s="3"/>
      <c r="L52" s="7">
        <f t="shared" si="2"/>
        <v>0</v>
      </c>
      <c r="M52" s="3"/>
      <c r="N52" s="8">
        <f t="shared" si="3"/>
        <v>0</v>
      </c>
      <c r="O52" s="12"/>
      <c r="P52" s="7">
        <v>34.47</v>
      </c>
      <c r="Q52" s="3"/>
      <c r="R52" s="8">
        <f t="shared" si="4"/>
        <v>8.7816318832393E-6</v>
      </c>
      <c r="S52" s="3"/>
      <c r="T52" s="7"/>
      <c r="U52" s="3"/>
      <c r="V52" s="8">
        <f t="shared" si="5"/>
        <v>0</v>
      </c>
      <c r="W52" s="3"/>
      <c r="X52" s="7">
        <f t="shared" si="6"/>
        <v>34.47</v>
      </c>
      <c r="Y52" s="3"/>
      <c r="Z52" s="8">
        <f t="shared" si="7"/>
        <v>0</v>
      </c>
    </row>
    <row r="53" spans="1:26" s="68" customFormat="1" ht="15" customHeight="1" outlineLevel="1" collapsed="1" x14ac:dyDescent="0.25">
      <c r="A53" s="26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SUM(OSRRefD22_8x_0)</f>
        <v>213.38</v>
      </c>
      <c r="E53" s="2"/>
      <c r="F53" s="6">
        <f t="shared" si="0"/>
        <v>9.6545269293116058E-4</v>
      </c>
      <c r="G53" s="2"/>
      <c r="H53" s="2">
        <f>SUM(OSRRefH22_8x_0)</f>
        <v>404.3</v>
      </c>
      <c r="I53" s="2"/>
      <c r="J53" s="6">
        <f t="shared" si="1"/>
        <v>-4.859375</v>
      </c>
      <c r="K53" s="2"/>
      <c r="L53" s="2">
        <f t="shared" si="2"/>
        <v>-190.92000000000002</v>
      </c>
      <c r="M53" s="2"/>
      <c r="N53" s="6">
        <f t="shared" si="3"/>
        <v>-0.47222359633935201</v>
      </c>
      <c r="O53" s="14"/>
      <c r="P53" s="2">
        <f>SUM(OSRRefP22_8x_0)</f>
        <v>7620.53</v>
      </c>
      <c r="Q53" s="2"/>
      <c r="R53" s="6">
        <f t="shared" si="4"/>
        <v>1.9414183120157118E-3</v>
      </c>
      <c r="S53" s="2"/>
      <c r="T53" s="2">
        <f>SUM(OSRRefT22_8x_0)</f>
        <v>2690.65</v>
      </c>
      <c r="U53" s="2"/>
      <c r="V53" s="6">
        <f t="shared" si="5"/>
        <v>0.11421036456989174</v>
      </c>
      <c r="W53" s="2"/>
      <c r="X53" s="2">
        <f t="shared" si="6"/>
        <v>4929.8799999999992</v>
      </c>
      <c r="Y53" s="2"/>
      <c r="Z53" s="6">
        <f t="shared" si="7"/>
        <v>1.8322264136918585</v>
      </c>
    </row>
    <row r="54" spans="1:26" s="69" customFormat="1" ht="15" hidden="1" customHeight="1" outlineLevel="2" x14ac:dyDescent="0.25">
      <c r="A54" s="25"/>
      <c r="B54" s="12" t="str">
        <f>CONCATENATE("          ","6351"," - ","EQUIPMENT RENTAL")</f>
        <v xml:space="preserve">          6351 - EQUIPMENT RENTAL</v>
      </c>
      <c r="C54" s="12"/>
      <c r="D54" s="7">
        <v>213.38</v>
      </c>
      <c r="E54" s="3"/>
      <c r="F54" s="8">
        <f t="shared" si="0"/>
        <v>9.6545269293116058E-4</v>
      </c>
      <c r="G54" s="3"/>
      <c r="H54" s="7">
        <v>404.3</v>
      </c>
      <c r="I54" s="3"/>
      <c r="J54" s="8">
        <f t="shared" si="1"/>
        <v>-4.859375</v>
      </c>
      <c r="K54" s="3"/>
      <c r="L54" s="7">
        <f t="shared" si="2"/>
        <v>-190.92000000000002</v>
      </c>
      <c r="M54" s="3"/>
      <c r="N54" s="8">
        <f t="shared" si="3"/>
        <v>-0.47222359633935201</v>
      </c>
      <c r="O54" s="12"/>
      <c r="P54" s="7">
        <v>7620.53</v>
      </c>
      <c r="Q54" s="3"/>
      <c r="R54" s="8">
        <f t="shared" si="4"/>
        <v>1.9414183120157118E-3</v>
      </c>
      <c r="S54" s="3"/>
      <c r="T54" s="7">
        <v>2690.65</v>
      </c>
      <c r="U54" s="3"/>
      <c r="V54" s="8">
        <f t="shared" si="5"/>
        <v>0.11421036456989174</v>
      </c>
      <c r="W54" s="3"/>
      <c r="X54" s="7">
        <f t="shared" si="6"/>
        <v>4929.8799999999992</v>
      </c>
      <c r="Y54" s="3"/>
      <c r="Z54" s="8">
        <f t="shared" si="7"/>
        <v>1.8322264136918585</v>
      </c>
    </row>
    <row r="55" spans="1:26" s="68" customFormat="1" ht="15" customHeight="1" outlineLevel="1" collapsed="1" x14ac:dyDescent="0.25">
      <c r="A55" s="26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SUM(OSRRefD22_9x_0)</f>
        <v>0</v>
      </c>
      <c r="E55" s="2"/>
      <c r="F55" s="6">
        <f t="shared" ref="F55:F78" si="8">IF(D$12=0,0,D55/D$12)</f>
        <v>0</v>
      </c>
      <c r="G55" s="2"/>
      <c r="H55" s="2">
        <f>SUM(OSRRefH22_9x_0)</f>
        <v>0</v>
      </c>
      <c r="I55" s="2"/>
      <c r="J55" s="6">
        <f t="shared" ref="J55:J78" si="9">IF(H$12=0,0,H55/H$12)</f>
        <v>0</v>
      </c>
      <c r="K55" s="2"/>
      <c r="L55" s="2">
        <f t="shared" ref="L55:L78" si="10">+D55-H55</f>
        <v>0</v>
      </c>
      <c r="M55" s="2"/>
      <c r="N55" s="6">
        <f t="shared" ref="N55:N78" si="11">IF(H55=0,0,L55/H55)</f>
        <v>0</v>
      </c>
      <c r="O55" s="14"/>
      <c r="P55" s="2">
        <f>SUM(OSRRefP22_9x_0)</f>
        <v>12088.71</v>
      </c>
      <c r="Q55" s="2"/>
      <c r="R55" s="6">
        <f t="shared" ref="R55:R78" si="12">IF(P$12=0,0,P55/P$12)</f>
        <v>3.0797389371405208E-3</v>
      </c>
      <c r="S55" s="2"/>
      <c r="T55" s="2">
        <f>SUM(OSRRefT22_9x_0)</f>
        <v>3847.45</v>
      </c>
      <c r="U55" s="2"/>
      <c r="V55" s="6">
        <f t="shared" ref="V55:V78" si="13">IF(T$12=0,0,T55/T$12)</f>
        <v>0.16331320207549474</v>
      </c>
      <c r="W55" s="2"/>
      <c r="X55" s="2">
        <f t="shared" ref="X55:X78" si="14">+P55-T55</f>
        <v>8241.2599999999984</v>
      </c>
      <c r="Y55" s="2"/>
      <c r="Z55" s="6">
        <f t="shared" ref="Z55:Z78" si="15">IF(T55=0,0,X55/T55)</f>
        <v>2.1420057440642499</v>
      </c>
    </row>
    <row r="56" spans="1:26" s="69" customFormat="1" ht="15" hidden="1" customHeight="1" outlineLevel="2" x14ac:dyDescent="0.25">
      <c r="A56" s="25"/>
      <c r="B56" s="12" t="str">
        <f>CONCATENATE("          ","6279"," - ","GENERAL EXPENSE")</f>
        <v xml:space="preserve">          6279 - GENERAL EXPENSE</v>
      </c>
      <c r="C56" s="12"/>
      <c r="D56" s="7"/>
      <c r="E56" s="3"/>
      <c r="F56" s="8">
        <f t="shared" si="8"/>
        <v>0</v>
      </c>
      <c r="G56" s="3"/>
      <c r="H56" s="7"/>
      <c r="I56" s="3"/>
      <c r="J56" s="8">
        <f t="shared" si="9"/>
        <v>0</v>
      </c>
      <c r="K56" s="3"/>
      <c r="L56" s="7">
        <f t="shared" si="10"/>
        <v>0</v>
      </c>
      <c r="M56" s="3"/>
      <c r="N56" s="8">
        <f t="shared" si="11"/>
        <v>0</v>
      </c>
      <c r="O56" s="12"/>
      <c r="P56" s="7">
        <v>12088.71</v>
      </c>
      <c r="Q56" s="3"/>
      <c r="R56" s="8">
        <f t="shared" si="12"/>
        <v>3.0797389371405208E-3</v>
      </c>
      <c r="S56" s="3"/>
      <c r="T56" s="7">
        <v>3847.45</v>
      </c>
      <c r="U56" s="3"/>
      <c r="V56" s="8">
        <f t="shared" si="13"/>
        <v>0.16331320207549474</v>
      </c>
      <c r="W56" s="3"/>
      <c r="X56" s="7">
        <f t="shared" si="14"/>
        <v>8241.2599999999984</v>
      </c>
      <c r="Y56" s="3"/>
      <c r="Z56" s="8">
        <f t="shared" si="15"/>
        <v>2.1420057440642499</v>
      </c>
    </row>
    <row r="57" spans="1:26" s="68" customFormat="1" ht="15" customHeight="1" outlineLevel="1" collapsed="1" x14ac:dyDescent="0.25">
      <c r="A57" s="26"/>
      <c r="B57" s="14" t="str">
        <f>CONCATENATE("     ","R/H Commissions                                   ")</f>
        <v xml:space="preserve">     R/H Commissions                                   </v>
      </c>
      <c r="C57" s="14"/>
      <c r="D57" s="2">
        <f>SUM(OSRRefD22_10x_0)</f>
        <v>18350.14</v>
      </c>
      <c r="E57" s="2"/>
      <c r="F57" s="6">
        <f t="shared" si="8"/>
        <v>8.3026488324415629E-2</v>
      </c>
      <c r="G57" s="2"/>
      <c r="H57" s="2">
        <f>SUM(OSRRefH22_10x_0)</f>
        <v>0</v>
      </c>
      <c r="I57" s="2"/>
      <c r="J57" s="6">
        <f t="shared" si="9"/>
        <v>0</v>
      </c>
      <c r="K57" s="2"/>
      <c r="L57" s="2">
        <f t="shared" si="10"/>
        <v>18350.14</v>
      </c>
      <c r="M57" s="2"/>
      <c r="N57" s="6">
        <f t="shared" si="11"/>
        <v>0</v>
      </c>
      <c r="O57" s="14"/>
      <c r="P57" s="2">
        <f>SUM(OSRRefP22_10x_0)</f>
        <v>307597.90000000002</v>
      </c>
      <c r="Q57" s="2"/>
      <c r="R57" s="6">
        <f t="shared" si="12"/>
        <v>7.8364128977587877E-2</v>
      </c>
      <c r="S57" s="2"/>
      <c r="T57" s="2">
        <f>SUM(OSRRefT22_10x_0)</f>
        <v>1899.35</v>
      </c>
      <c r="U57" s="2"/>
      <c r="V57" s="6">
        <f t="shared" si="13"/>
        <v>8.0621952296219823E-2</v>
      </c>
      <c r="W57" s="2"/>
      <c r="X57" s="2">
        <f t="shared" si="14"/>
        <v>305698.55000000005</v>
      </c>
      <c r="Y57" s="2"/>
      <c r="Z57" s="6">
        <f t="shared" si="15"/>
        <v>160.94903519625137</v>
      </c>
    </row>
    <row r="58" spans="1:26" s="69" customFormat="1" ht="15" hidden="1" customHeight="1" outlineLevel="2" x14ac:dyDescent="0.25">
      <c r="A58" s="25"/>
      <c r="B58" s="12" t="str">
        <f>CONCATENATE("          ","6387"," - ","COMMISSION DUE HOUSING")</f>
        <v xml:space="preserve">          6387 - COMMISSION DUE HOUSING</v>
      </c>
      <c r="C58" s="12"/>
      <c r="D58" s="7">
        <v>18350.14</v>
      </c>
      <c r="E58" s="3"/>
      <c r="F58" s="8">
        <f t="shared" si="8"/>
        <v>8.3026488324415629E-2</v>
      </c>
      <c r="G58" s="3"/>
      <c r="H58" s="7"/>
      <c r="I58" s="3"/>
      <c r="J58" s="8">
        <f t="shared" si="9"/>
        <v>0</v>
      </c>
      <c r="K58" s="3"/>
      <c r="L58" s="7">
        <f t="shared" si="10"/>
        <v>18350.14</v>
      </c>
      <c r="M58" s="3"/>
      <c r="N58" s="8">
        <f t="shared" si="11"/>
        <v>0</v>
      </c>
      <c r="O58" s="12"/>
      <c r="P58" s="7">
        <v>307597.90000000002</v>
      </c>
      <c r="Q58" s="3"/>
      <c r="R58" s="8">
        <f t="shared" si="12"/>
        <v>7.8364128977587877E-2</v>
      </c>
      <c r="S58" s="3"/>
      <c r="T58" s="7">
        <v>1899.35</v>
      </c>
      <c r="U58" s="3"/>
      <c r="V58" s="8">
        <f t="shared" si="13"/>
        <v>8.0621952296219823E-2</v>
      </c>
      <c r="W58" s="3"/>
      <c r="X58" s="7">
        <f t="shared" si="14"/>
        <v>305698.55000000005</v>
      </c>
      <c r="Y58" s="3"/>
      <c r="Z58" s="8">
        <f t="shared" si="15"/>
        <v>160.94903519625137</v>
      </c>
    </row>
    <row r="59" spans="1:26" s="68" customFormat="1" ht="15" customHeight="1" outlineLevel="1" collapsed="1" x14ac:dyDescent="0.25">
      <c r="A59" s="26"/>
      <c r="B59" s="14" t="str">
        <f>CONCATENATE("     ","Repair and Maintenance                            ")</f>
        <v xml:space="preserve">     Repair and Maintenance                            </v>
      </c>
      <c r="C59" s="14"/>
      <c r="D59" s="2">
        <f>SUM(OSRRefD22_11x_0)</f>
        <v>90</v>
      </c>
      <c r="E59" s="2"/>
      <c r="F59" s="6">
        <f t="shared" si="8"/>
        <v>4.0721127736341017E-4</v>
      </c>
      <c r="G59" s="2"/>
      <c r="H59" s="2">
        <f>SUM(OSRRefH22_11x_0)</f>
        <v>0</v>
      </c>
      <c r="I59" s="2"/>
      <c r="J59" s="6">
        <f t="shared" si="9"/>
        <v>0</v>
      </c>
      <c r="K59" s="2"/>
      <c r="L59" s="2">
        <f t="shared" si="10"/>
        <v>90</v>
      </c>
      <c r="M59" s="2"/>
      <c r="N59" s="6">
        <f t="shared" si="11"/>
        <v>0</v>
      </c>
      <c r="O59" s="14"/>
      <c r="P59" s="2">
        <f>SUM(OSRRefP22_11x_0)</f>
        <v>3520.57</v>
      </c>
      <c r="Q59" s="2"/>
      <c r="R59" s="6">
        <f t="shared" si="12"/>
        <v>8.9690599823544486E-4</v>
      </c>
      <c r="S59" s="2"/>
      <c r="T59" s="2">
        <f>SUM(OSRRefT22_11x_0)</f>
        <v>1345.25</v>
      </c>
      <c r="U59" s="2"/>
      <c r="V59" s="6">
        <f t="shared" si="13"/>
        <v>5.7101998750356556E-2</v>
      </c>
      <c r="W59" s="2"/>
      <c r="X59" s="2">
        <f t="shared" si="14"/>
        <v>2175.3200000000002</v>
      </c>
      <c r="Y59" s="2"/>
      <c r="Z59" s="6">
        <f t="shared" si="15"/>
        <v>1.6170377253298645</v>
      </c>
    </row>
    <row r="60" spans="1:26" s="69" customFormat="1" ht="15" hidden="1" customHeight="1" outlineLevel="2" x14ac:dyDescent="0.25">
      <c r="A60" s="25"/>
      <c r="B60" s="12" t="str">
        <f>CONCATENATE("          ","6373"," - ","MAINTENANCE CONTRACTS")</f>
        <v xml:space="preserve">          6373 - MAINTENANCE CONTRACTS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277.57</v>
      </c>
      <c r="Q60" s="3"/>
      <c r="R60" s="8">
        <f t="shared" si="12"/>
        <v>7.071417353730005E-5</v>
      </c>
      <c r="S60" s="3"/>
      <c r="T60" s="7">
        <v>1326.25</v>
      </c>
      <c r="U60" s="3"/>
      <c r="V60" s="8">
        <f t="shared" si="13"/>
        <v>5.6295503321063284E-2</v>
      </c>
      <c r="W60" s="3"/>
      <c r="X60" s="7">
        <f t="shared" si="14"/>
        <v>-1048.68</v>
      </c>
      <c r="Y60" s="3"/>
      <c r="Z60" s="8">
        <f t="shared" si="15"/>
        <v>-0.79071065032987753</v>
      </c>
    </row>
    <row r="61" spans="1:26" s="69" customFormat="1" ht="15" hidden="1" customHeight="1" outlineLevel="2" x14ac:dyDescent="0.25">
      <c r="A61" s="25"/>
      <c r="B61" s="12" t="str">
        <f>CONCATENATE("          ","6375"," - ","OUTSIDE REPAIRS &amp; MAINTENANCE")</f>
        <v xml:space="preserve">          6375 - OUTSIDE REPAIRS &amp; MAINTENANCE</v>
      </c>
      <c r="C61" s="12"/>
      <c r="D61" s="7">
        <v>90</v>
      </c>
      <c r="E61" s="3"/>
      <c r="F61" s="8">
        <f t="shared" si="8"/>
        <v>4.0721127736341017E-4</v>
      </c>
      <c r="G61" s="3"/>
      <c r="H61" s="7"/>
      <c r="I61" s="3"/>
      <c r="J61" s="8">
        <f t="shared" si="9"/>
        <v>0</v>
      </c>
      <c r="K61" s="3"/>
      <c r="L61" s="7">
        <f t="shared" si="10"/>
        <v>90</v>
      </c>
      <c r="M61" s="3"/>
      <c r="N61" s="8">
        <f t="shared" si="11"/>
        <v>0</v>
      </c>
      <c r="O61" s="12"/>
      <c r="P61" s="7">
        <v>3243</v>
      </c>
      <c r="Q61" s="3"/>
      <c r="R61" s="8">
        <f t="shared" si="12"/>
        <v>8.2619182469814484E-4</v>
      </c>
      <c r="S61" s="3"/>
      <c r="T61" s="7">
        <v>19</v>
      </c>
      <c r="U61" s="3"/>
      <c r="V61" s="8">
        <f t="shared" si="13"/>
        <v>8.0649542929327222E-4</v>
      </c>
      <c r="W61" s="3"/>
      <c r="X61" s="7">
        <f t="shared" si="14"/>
        <v>3224</v>
      </c>
      <c r="Y61" s="3"/>
      <c r="Z61" s="8">
        <f t="shared" si="15"/>
        <v>169.68421052631578</v>
      </c>
    </row>
    <row r="62" spans="1:26" s="68" customFormat="1" ht="15" customHeight="1" outlineLevel="1" collapsed="1" x14ac:dyDescent="0.25">
      <c r="A62" s="26"/>
      <c r="B62" s="14" t="str">
        <f>CONCATENATE("     ","Services                                          ")</f>
        <v xml:space="preserve">     Services                                          </v>
      </c>
      <c r="C62" s="14"/>
      <c r="D62" s="2">
        <f>SUM(OSRRefD22_12x_0)</f>
        <v>6873.2599999999993</v>
      </c>
      <c r="E62" s="2"/>
      <c r="F62" s="6">
        <f t="shared" si="8"/>
        <v>3.1098544269453691E-2</v>
      </c>
      <c r="G62" s="2"/>
      <c r="H62" s="2">
        <f>SUM(OSRRefH22_12x_0)</f>
        <v>4990.619999999999</v>
      </c>
      <c r="I62" s="2"/>
      <c r="J62" s="6">
        <f t="shared" si="9"/>
        <v>-59.983413461538447</v>
      </c>
      <c r="K62" s="2"/>
      <c r="L62" s="2">
        <f t="shared" si="10"/>
        <v>1882.6400000000003</v>
      </c>
      <c r="M62" s="2"/>
      <c r="N62" s="6">
        <f t="shared" si="11"/>
        <v>0.3772356941622485</v>
      </c>
      <c r="O62" s="14"/>
      <c r="P62" s="2">
        <f>SUM(OSRRefP22_12x_0)</f>
        <v>65805.75</v>
      </c>
      <c r="Q62" s="2"/>
      <c r="R62" s="6">
        <f t="shared" si="12"/>
        <v>1.6764777264301554E-2</v>
      </c>
      <c r="S62" s="2"/>
      <c r="T62" s="2">
        <f>SUM(OSRRefT22_12x_0)</f>
        <v>62280.75</v>
      </c>
      <c r="U62" s="2"/>
      <c r="V62" s="6">
        <f t="shared" si="13"/>
        <v>2.6436389583135247</v>
      </c>
      <c r="W62" s="2"/>
      <c r="X62" s="2">
        <f t="shared" si="14"/>
        <v>3525</v>
      </c>
      <c r="Y62" s="2"/>
      <c r="Z62" s="6">
        <f t="shared" si="15"/>
        <v>5.6598547705350367E-2</v>
      </c>
    </row>
    <row r="63" spans="1:26" s="69" customFormat="1" ht="15" hidden="1" customHeight="1" outlineLevel="2" x14ac:dyDescent="0.25">
      <c r="A63" s="25"/>
      <c r="B63" s="12" t="str">
        <f>CONCATENATE("          ","6282"," - ","JANITORIAL/EXTERMINATOR EXPENS")</f>
        <v xml:space="preserve">          6282 - JANITORIAL/EXTERMINATOR EXPENS</v>
      </c>
      <c r="C63" s="12"/>
      <c r="D63" s="7">
        <v>454.95</v>
      </c>
      <c r="E63" s="3"/>
      <c r="F63" s="8">
        <f t="shared" si="8"/>
        <v>2.0584530070720383E-3</v>
      </c>
      <c r="G63" s="3"/>
      <c r="H63" s="7">
        <v>417.32</v>
      </c>
      <c r="I63" s="3"/>
      <c r="J63" s="8">
        <f t="shared" si="9"/>
        <v>-5.0158653846153847</v>
      </c>
      <c r="K63" s="3"/>
      <c r="L63" s="7">
        <f t="shared" si="10"/>
        <v>37.629999999999995</v>
      </c>
      <c r="M63" s="3"/>
      <c r="N63" s="8">
        <f t="shared" si="11"/>
        <v>9.0170612479631929E-2</v>
      </c>
      <c r="O63" s="12"/>
      <c r="P63" s="7">
        <v>5233.82</v>
      </c>
      <c r="Q63" s="3"/>
      <c r="R63" s="8">
        <f t="shared" si="12"/>
        <v>1.3333762861368005E-3</v>
      </c>
      <c r="S63" s="3"/>
      <c r="T63" s="7">
        <v>4678.8999999999996</v>
      </c>
      <c r="U63" s="3"/>
      <c r="V63" s="8">
        <f t="shared" si="13"/>
        <v>0.19860586653264692</v>
      </c>
      <c r="W63" s="3"/>
      <c r="X63" s="7">
        <f t="shared" si="14"/>
        <v>554.92000000000007</v>
      </c>
      <c r="Y63" s="3"/>
      <c r="Z63" s="8">
        <f t="shared" si="15"/>
        <v>0.11860052576460281</v>
      </c>
    </row>
    <row r="64" spans="1:26" s="69" customFormat="1" ht="15" hidden="1" customHeight="1" outlineLevel="2" x14ac:dyDescent="0.25">
      <c r="A64" s="25"/>
      <c r="B64" s="12" t="str">
        <f>CONCATENATE("          ","6285"," - ","JANITORIAL SERVICES")</f>
        <v xml:space="preserve">          6285 - JANITORIAL SERVICES</v>
      </c>
      <c r="C64" s="12"/>
      <c r="D64" s="7">
        <v>4428.8599999999997</v>
      </c>
      <c r="E64" s="3"/>
      <c r="F64" s="8">
        <f t="shared" si="8"/>
        <v>2.0038685976263473E-2</v>
      </c>
      <c r="G64" s="3"/>
      <c r="H64" s="7">
        <v>4428.8599999999997</v>
      </c>
      <c r="I64" s="3"/>
      <c r="J64" s="8">
        <f t="shared" si="9"/>
        <v>-53.231490384615377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>
        <v>49200.46</v>
      </c>
      <c r="Q64" s="3"/>
      <c r="R64" s="8">
        <f t="shared" si="12"/>
        <v>1.253438724125442E-2</v>
      </c>
      <c r="S64" s="3"/>
      <c r="T64" s="7">
        <v>51347.27</v>
      </c>
      <c r="U64" s="3"/>
      <c r="V64" s="8">
        <f t="shared" si="13"/>
        <v>2.1795441348256608</v>
      </c>
      <c r="W64" s="3"/>
      <c r="X64" s="7">
        <f t="shared" si="14"/>
        <v>-2146.8099999999977</v>
      </c>
      <c r="Y64" s="3"/>
      <c r="Z64" s="8">
        <f t="shared" si="15"/>
        <v>-4.1809622984824664E-2</v>
      </c>
    </row>
    <row r="65" spans="1:26" s="69" customFormat="1" ht="15" hidden="1" customHeight="1" outlineLevel="2" x14ac:dyDescent="0.25">
      <c r="A65" s="25"/>
      <c r="B65" s="12" t="str">
        <f>CONCATENATE("          ","6286"," - ","LAUNDRY EXPENSE")</f>
        <v xml:space="preserve">          6286 - LAUNDRY EXPENSE</v>
      </c>
      <c r="C65" s="12"/>
      <c r="D65" s="7">
        <v>1989.45</v>
      </c>
      <c r="E65" s="3"/>
      <c r="F65" s="8">
        <f t="shared" si="8"/>
        <v>9.0014052861181817E-3</v>
      </c>
      <c r="G65" s="3"/>
      <c r="H65" s="7">
        <v>144.44</v>
      </c>
      <c r="I65" s="3"/>
      <c r="J65" s="8">
        <f t="shared" si="9"/>
        <v>-1.7360576923076922</v>
      </c>
      <c r="K65" s="3"/>
      <c r="L65" s="7">
        <f t="shared" si="10"/>
        <v>1845.01</v>
      </c>
      <c r="M65" s="3"/>
      <c r="N65" s="8">
        <f t="shared" si="11"/>
        <v>12.773539185821102</v>
      </c>
      <c r="O65" s="12"/>
      <c r="P65" s="7">
        <v>11371.47</v>
      </c>
      <c r="Q65" s="3"/>
      <c r="R65" s="8">
        <f t="shared" si="12"/>
        <v>2.8970137369103339E-3</v>
      </c>
      <c r="S65" s="3"/>
      <c r="T65" s="7">
        <v>6254.58</v>
      </c>
      <c r="U65" s="3"/>
      <c r="V65" s="8">
        <f t="shared" si="13"/>
        <v>0.26548895695521657</v>
      </c>
      <c r="W65" s="3"/>
      <c r="X65" s="7">
        <f t="shared" si="14"/>
        <v>5116.8899999999994</v>
      </c>
      <c r="Y65" s="3"/>
      <c r="Z65" s="8">
        <f t="shared" si="15"/>
        <v>0.81810289419913085</v>
      </c>
    </row>
    <row r="66" spans="1:26" s="68" customFormat="1" ht="15" customHeight="1" outlineLevel="1" collapsed="1" x14ac:dyDescent="0.25">
      <c r="A66" s="26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SUM(OSRRefD22_13x_0)</f>
        <v>4009.9800000000005</v>
      </c>
      <c r="E66" s="2"/>
      <c r="F66" s="6">
        <f t="shared" si="8"/>
        <v>1.8143434200019196E-2</v>
      </c>
      <c r="G66" s="2"/>
      <c r="H66" s="2">
        <f>SUM(OSRRefH22_13x_0)</f>
        <v>0</v>
      </c>
      <c r="I66" s="2"/>
      <c r="J66" s="6">
        <f t="shared" si="9"/>
        <v>0</v>
      </c>
      <c r="K66" s="2"/>
      <c r="L66" s="2">
        <f t="shared" si="10"/>
        <v>4009.9800000000005</v>
      </c>
      <c r="M66" s="2"/>
      <c r="N66" s="6">
        <f t="shared" si="11"/>
        <v>0</v>
      </c>
      <c r="O66" s="14"/>
      <c r="P66" s="2">
        <f>SUM(OSRRefP22_13x_0)</f>
        <v>81939.42</v>
      </c>
      <c r="Q66" s="2"/>
      <c r="R66" s="6">
        <f t="shared" si="12"/>
        <v>2.0875016627970294E-2</v>
      </c>
      <c r="S66" s="2"/>
      <c r="T66" s="2">
        <f>SUM(OSRRefT22_13x_0)</f>
        <v>10125.33</v>
      </c>
      <c r="U66" s="2"/>
      <c r="V66" s="6">
        <f t="shared" si="13"/>
        <v>0.42979117710979203</v>
      </c>
      <c r="W66" s="2"/>
      <c r="X66" s="2">
        <f t="shared" si="14"/>
        <v>71814.09</v>
      </c>
      <c r="Y66" s="2"/>
      <c r="Z66" s="6">
        <f t="shared" si="15"/>
        <v>7.0925184660648091</v>
      </c>
    </row>
    <row r="67" spans="1:26" s="69" customFormat="1" ht="15" hidden="1" customHeight="1" outlineLevel="2" x14ac:dyDescent="0.25">
      <c r="A67" s="25"/>
      <c r="B67" s="12" t="str">
        <f>CONCATENATE("          ","6234"," - ","EXPENDABLE SUPPLIES &amp; EQUIPMEN")</f>
        <v xml:space="preserve">          6234 - EXPENDABLE SUPPLIES &amp; EQUIPMEN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>
        <v>21.98</v>
      </c>
      <c r="Q67" s="3"/>
      <c r="R67" s="8">
        <f t="shared" si="12"/>
        <v>5.599659669091959E-6</v>
      </c>
      <c r="S67" s="3"/>
      <c r="T67" s="7"/>
      <c r="U67" s="3"/>
      <c r="V67" s="8">
        <f t="shared" si="13"/>
        <v>0</v>
      </c>
      <c r="W67" s="3"/>
      <c r="X67" s="7">
        <f t="shared" si="14"/>
        <v>21.98</v>
      </c>
      <c r="Y67" s="3"/>
      <c r="Z67" s="8">
        <f t="shared" si="15"/>
        <v>0</v>
      </c>
    </row>
    <row r="68" spans="1:26" s="69" customFormat="1" ht="15" hidden="1" customHeight="1" outlineLevel="2" x14ac:dyDescent="0.25">
      <c r="A68" s="25"/>
      <c r="B68" s="12" t="str">
        <f>CONCATENATE("          ","6235"," - ","COVID-19 EXPENSES")</f>
        <v xml:space="preserve">          6235 - COVID-19 EXPENSES</v>
      </c>
      <c r="C68" s="12"/>
      <c r="D68" s="7"/>
      <c r="E68" s="3"/>
      <c r="F68" s="8">
        <f t="shared" si="8"/>
        <v>0</v>
      </c>
      <c r="G68" s="3"/>
      <c r="H68" s="7"/>
      <c r="I68" s="3"/>
      <c r="J68" s="8">
        <f t="shared" si="9"/>
        <v>0</v>
      </c>
      <c r="K68" s="3"/>
      <c r="L68" s="7">
        <f t="shared" si="10"/>
        <v>0</v>
      </c>
      <c r="M68" s="3"/>
      <c r="N68" s="8">
        <f t="shared" si="11"/>
        <v>0</v>
      </c>
      <c r="O68" s="12"/>
      <c r="P68" s="7"/>
      <c r="Q68" s="3"/>
      <c r="R68" s="8">
        <f t="shared" si="12"/>
        <v>0</v>
      </c>
      <c r="S68" s="3"/>
      <c r="T68" s="7">
        <v>1375.08</v>
      </c>
      <c r="U68" s="3"/>
      <c r="V68" s="8">
        <f t="shared" si="13"/>
        <v>5.8368196574346991E-2</v>
      </c>
      <c r="W68" s="3"/>
      <c r="X68" s="7">
        <f t="shared" si="14"/>
        <v>-1375.08</v>
      </c>
      <c r="Y68" s="3"/>
      <c r="Z68" s="8">
        <f t="shared" si="15"/>
        <v>-1</v>
      </c>
    </row>
    <row r="69" spans="1:26" s="69" customFormat="1" ht="15" hidden="1" customHeight="1" outlineLevel="2" x14ac:dyDescent="0.25">
      <c r="A69" s="25"/>
      <c r="B69" s="12" t="str">
        <f>CONCATENATE("          ","6237"," - ","JANITORIAL SUPPLIES")</f>
        <v xml:space="preserve">          6237 - JANITORIAL SUPPLIES</v>
      </c>
      <c r="C69" s="12"/>
      <c r="D69" s="7">
        <v>2237.0500000000002</v>
      </c>
      <c r="E69" s="3"/>
      <c r="F69" s="8">
        <f t="shared" si="8"/>
        <v>1.0121688755842408E-2</v>
      </c>
      <c r="G69" s="3"/>
      <c r="H69" s="7"/>
      <c r="I69" s="3"/>
      <c r="J69" s="8">
        <f t="shared" si="9"/>
        <v>0</v>
      </c>
      <c r="K69" s="3"/>
      <c r="L69" s="7">
        <f t="shared" si="10"/>
        <v>2237.0500000000002</v>
      </c>
      <c r="M69" s="3"/>
      <c r="N69" s="8">
        <f t="shared" si="11"/>
        <v>0</v>
      </c>
      <c r="O69" s="12"/>
      <c r="P69" s="7">
        <v>16652.55</v>
      </c>
      <c r="Q69" s="3"/>
      <c r="R69" s="8">
        <f t="shared" si="12"/>
        <v>4.2424300556204416E-3</v>
      </c>
      <c r="S69" s="3"/>
      <c r="T69" s="7">
        <v>4689.93</v>
      </c>
      <c r="U69" s="3"/>
      <c r="V69" s="8">
        <f t="shared" si="13"/>
        <v>0.19907405835291561</v>
      </c>
      <c r="W69" s="3"/>
      <c r="X69" s="7">
        <f t="shared" si="14"/>
        <v>11962.619999999999</v>
      </c>
      <c r="Y69" s="3"/>
      <c r="Z69" s="8">
        <f t="shared" si="15"/>
        <v>2.5507033154012957</v>
      </c>
    </row>
    <row r="70" spans="1:26" s="69" customFormat="1" ht="15" hidden="1" customHeight="1" outlineLevel="2" x14ac:dyDescent="0.25">
      <c r="A70" s="25"/>
      <c r="B70" s="12" t="str">
        <f>CONCATENATE("          ","6239"," - ","KITCHEN SUPPLIES")</f>
        <v xml:space="preserve">          6239 - KITCHEN SUPPLIES</v>
      </c>
      <c r="C70" s="12"/>
      <c r="D70" s="7">
        <v>300.13</v>
      </c>
      <c r="E70" s="3"/>
      <c r="F70" s="8">
        <f t="shared" si="8"/>
        <v>1.3579591186120032E-3</v>
      </c>
      <c r="G70" s="3"/>
      <c r="H70" s="7"/>
      <c r="I70" s="3"/>
      <c r="J70" s="8">
        <f t="shared" si="9"/>
        <v>0</v>
      </c>
      <c r="K70" s="3"/>
      <c r="L70" s="7">
        <f t="shared" si="10"/>
        <v>300.13</v>
      </c>
      <c r="M70" s="3"/>
      <c r="N70" s="8">
        <f t="shared" si="11"/>
        <v>0</v>
      </c>
      <c r="O70" s="12"/>
      <c r="P70" s="7">
        <v>13576.88</v>
      </c>
      <c r="Q70" s="3"/>
      <c r="R70" s="8">
        <f t="shared" si="12"/>
        <v>3.4588674871747602E-3</v>
      </c>
      <c r="S70" s="3"/>
      <c r="T70" s="7">
        <v>1031.07</v>
      </c>
      <c r="U70" s="3"/>
      <c r="V70" s="8">
        <f t="shared" si="13"/>
        <v>4.3765960120074429E-2</v>
      </c>
      <c r="W70" s="3"/>
      <c r="X70" s="7">
        <f t="shared" si="14"/>
        <v>12545.81</v>
      </c>
      <c r="Y70" s="3"/>
      <c r="Z70" s="8">
        <f t="shared" si="15"/>
        <v>12.167757766204041</v>
      </c>
    </row>
    <row r="71" spans="1:26" s="69" customFormat="1" ht="15" hidden="1" customHeight="1" outlineLevel="2" x14ac:dyDescent="0.25">
      <c r="A71" s="25"/>
      <c r="B71" s="12" t="str">
        <f>CONCATENATE("          ","6241"," - ","OFFICE EXPENSE")</f>
        <v xml:space="preserve">          6241 - OFFICE EXPENSE</v>
      </c>
      <c r="C71" s="12"/>
      <c r="D71" s="7">
        <v>84.39</v>
      </c>
      <c r="E71" s="3"/>
      <c r="F71" s="8">
        <f t="shared" si="8"/>
        <v>3.8182844107442424E-4</v>
      </c>
      <c r="G71" s="3"/>
      <c r="H71" s="7"/>
      <c r="I71" s="3"/>
      <c r="J71" s="8">
        <f t="shared" si="9"/>
        <v>0</v>
      </c>
      <c r="K71" s="3"/>
      <c r="L71" s="7">
        <f t="shared" si="10"/>
        <v>84.39</v>
      </c>
      <c r="M71" s="3"/>
      <c r="N71" s="8">
        <f t="shared" si="11"/>
        <v>0</v>
      </c>
      <c r="O71" s="12"/>
      <c r="P71" s="7">
        <v>4338.8</v>
      </c>
      <c r="Q71" s="3"/>
      <c r="R71" s="8">
        <f t="shared" si="12"/>
        <v>1.1053595710762598E-3</v>
      </c>
      <c r="S71" s="3"/>
      <c r="T71" s="7">
        <v>19.7</v>
      </c>
      <c r="U71" s="3"/>
      <c r="V71" s="8">
        <f t="shared" si="13"/>
        <v>8.3620841879355069E-4</v>
      </c>
      <c r="W71" s="3"/>
      <c r="X71" s="7">
        <f t="shared" si="14"/>
        <v>4319.1000000000004</v>
      </c>
      <c r="Y71" s="3"/>
      <c r="Z71" s="8">
        <f t="shared" si="15"/>
        <v>219.24365482233506</v>
      </c>
    </row>
    <row r="72" spans="1:26" s="69" customFormat="1" ht="15" hidden="1" customHeight="1" outlineLevel="2" x14ac:dyDescent="0.25">
      <c r="A72" s="25"/>
      <c r="B72" s="12" t="str">
        <f>CONCATENATE("          ","6243"," - ","PAPER SUPPLIES")</f>
        <v xml:space="preserve">          6243 - PAPER SUPPLIES</v>
      </c>
      <c r="C72" s="12"/>
      <c r="D72" s="7">
        <v>1388.41</v>
      </c>
      <c r="E72" s="3"/>
      <c r="F72" s="8">
        <f t="shared" si="8"/>
        <v>6.2819578844903589E-3</v>
      </c>
      <c r="G72" s="3"/>
      <c r="H72" s="7"/>
      <c r="I72" s="3"/>
      <c r="J72" s="8">
        <f t="shared" si="9"/>
        <v>0</v>
      </c>
      <c r="K72" s="3"/>
      <c r="L72" s="7">
        <f t="shared" si="10"/>
        <v>1388.41</v>
      </c>
      <c r="M72" s="3"/>
      <c r="N72" s="8">
        <f t="shared" si="11"/>
        <v>0</v>
      </c>
      <c r="O72" s="12"/>
      <c r="P72" s="7">
        <v>44897.39</v>
      </c>
      <c r="Q72" s="3"/>
      <c r="R72" s="8">
        <f t="shared" si="12"/>
        <v>1.1438130301660266E-2</v>
      </c>
      <c r="S72" s="3"/>
      <c r="T72" s="7">
        <v>3009.55</v>
      </c>
      <c r="U72" s="3"/>
      <c r="V72" s="8">
        <f t="shared" si="13"/>
        <v>0.12774675364366145</v>
      </c>
      <c r="W72" s="3"/>
      <c r="X72" s="7">
        <f t="shared" si="14"/>
        <v>41887.839999999997</v>
      </c>
      <c r="Y72" s="3"/>
      <c r="Z72" s="8">
        <f t="shared" si="15"/>
        <v>13.918306723596549</v>
      </c>
    </row>
    <row r="73" spans="1:26" s="69" customFormat="1" ht="15" hidden="1" customHeight="1" outlineLevel="2" x14ac:dyDescent="0.25">
      <c r="A73" s="25"/>
      <c r="B73" s="12" t="str">
        <f>CONCATENATE("          ","6247"," - ","STORE SUPPLIES")</f>
        <v xml:space="preserve">          6247 - STORE SUPPLIES</v>
      </c>
      <c r="C73" s="12"/>
      <c r="D73" s="7"/>
      <c r="E73" s="3"/>
      <c r="F73" s="8">
        <f t="shared" si="8"/>
        <v>0</v>
      </c>
      <c r="G73" s="3"/>
      <c r="H73" s="7"/>
      <c r="I73" s="3"/>
      <c r="J73" s="8">
        <f t="shared" si="9"/>
        <v>0</v>
      </c>
      <c r="K73" s="3"/>
      <c r="L73" s="7">
        <f t="shared" si="10"/>
        <v>0</v>
      </c>
      <c r="M73" s="3"/>
      <c r="N73" s="8">
        <f t="shared" si="11"/>
        <v>0</v>
      </c>
      <c r="O73" s="12"/>
      <c r="P73" s="7">
        <v>581.41999999999996</v>
      </c>
      <c r="Q73" s="3"/>
      <c r="R73" s="8">
        <f t="shared" si="12"/>
        <v>1.4812348156521596E-4</v>
      </c>
      <c r="S73" s="3"/>
      <c r="T73" s="7"/>
      <c r="U73" s="3"/>
      <c r="V73" s="8">
        <f t="shared" si="13"/>
        <v>0</v>
      </c>
      <c r="W73" s="3"/>
      <c r="X73" s="7">
        <f t="shared" si="14"/>
        <v>581.41999999999996</v>
      </c>
      <c r="Y73" s="3"/>
      <c r="Z73" s="8">
        <f t="shared" si="15"/>
        <v>0</v>
      </c>
    </row>
    <row r="74" spans="1:26" s="69" customFormat="1" ht="15" hidden="1" customHeight="1" outlineLevel="2" x14ac:dyDescent="0.25">
      <c r="A74" s="25"/>
      <c r="B74" s="12" t="str">
        <f>CONCATENATE("          ","6248"," - ","UNIFORMS")</f>
        <v xml:space="preserve">          6248 - UNIFORMS</v>
      </c>
      <c r="C74" s="12"/>
      <c r="D74" s="7"/>
      <c r="E74" s="3"/>
      <c r="F74" s="8">
        <f t="shared" si="8"/>
        <v>0</v>
      </c>
      <c r="G74" s="3"/>
      <c r="H74" s="7"/>
      <c r="I74" s="3"/>
      <c r="J74" s="8">
        <f t="shared" si="9"/>
        <v>0</v>
      </c>
      <c r="K74" s="3"/>
      <c r="L74" s="7">
        <f t="shared" si="10"/>
        <v>0</v>
      </c>
      <c r="M74" s="3"/>
      <c r="N74" s="8">
        <f t="shared" si="11"/>
        <v>0</v>
      </c>
      <c r="O74" s="12"/>
      <c r="P74" s="7">
        <v>1870.4</v>
      </c>
      <c r="Q74" s="3"/>
      <c r="R74" s="8">
        <f t="shared" si="12"/>
        <v>4.7650607120425844E-4</v>
      </c>
      <c r="S74" s="3"/>
      <c r="T74" s="7"/>
      <c r="U74" s="3"/>
      <c r="V74" s="8">
        <f t="shared" si="13"/>
        <v>0</v>
      </c>
      <c r="W74" s="3"/>
      <c r="X74" s="7">
        <f t="shared" si="14"/>
        <v>1870.4</v>
      </c>
      <c r="Y74" s="3"/>
      <c r="Z74" s="8">
        <f t="shared" si="15"/>
        <v>0</v>
      </c>
    </row>
    <row r="75" spans="1:26" s="68" customFormat="1" ht="15" customHeight="1" outlineLevel="1" collapsed="1" x14ac:dyDescent="0.25">
      <c r="A75" s="26"/>
      <c r="B75" s="14" t="str">
        <f>CONCATENATE("     ","Telephone/Data Lines                              ")</f>
        <v xml:space="preserve">     Telephone/Data Lines                              </v>
      </c>
      <c r="C75" s="14"/>
      <c r="D75" s="2">
        <f>SUM(OSRRefD22_14x_0)</f>
        <v>164</v>
      </c>
      <c r="E75" s="2"/>
      <c r="F75" s="6">
        <f t="shared" si="8"/>
        <v>7.42029438751103E-4</v>
      </c>
      <c r="G75" s="2"/>
      <c r="H75" s="2">
        <f>SUM(OSRRefH22_14x_0)</f>
        <v>164</v>
      </c>
      <c r="I75" s="2"/>
      <c r="J75" s="6">
        <f t="shared" si="9"/>
        <v>-1.971153846153846</v>
      </c>
      <c r="K75" s="2"/>
      <c r="L75" s="2">
        <f t="shared" si="10"/>
        <v>0</v>
      </c>
      <c r="M75" s="2"/>
      <c r="N75" s="6">
        <f t="shared" si="11"/>
        <v>0</v>
      </c>
      <c r="O75" s="14"/>
      <c r="P75" s="2">
        <f>SUM(OSRRefP22_14x_0)</f>
        <v>2179</v>
      </c>
      <c r="Q75" s="2"/>
      <c r="R75" s="6">
        <f t="shared" si="12"/>
        <v>5.5512549676757863E-4</v>
      </c>
      <c r="S75" s="2"/>
      <c r="T75" s="2">
        <f>SUM(OSRRefT22_14x_0)</f>
        <v>1440</v>
      </c>
      <c r="U75" s="2"/>
      <c r="V75" s="6">
        <f t="shared" si="13"/>
        <v>6.1123864114858532E-2</v>
      </c>
      <c r="W75" s="2"/>
      <c r="X75" s="2">
        <f t="shared" si="14"/>
        <v>739</v>
      </c>
      <c r="Y75" s="2"/>
      <c r="Z75" s="6">
        <f t="shared" si="15"/>
        <v>0.5131944444444444</v>
      </c>
    </row>
    <row r="76" spans="1:26" s="69" customFormat="1" ht="15" hidden="1" customHeight="1" outlineLevel="2" x14ac:dyDescent="0.25">
      <c r="A76" s="25"/>
      <c r="B76" s="12" t="str">
        <f>CONCATENATE("          ","6309"," - ","TELEPHONE")</f>
        <v xml:space="preserve">          6309 - TELEPHONE</v>
      </c>
      <c r="C76" s="12"/>
      <c r="D76" s="7">
        <v>164</v>
      </c>
      <c r="E76" s="3"/>
      <c r="F76" s="8">
        <f t="shared" si="8"/>
        <v>7.42029438751103E-4</v>
      </c>
      <c r="G76" s="3"/>
      <c r="H76" s="7">
        <v>164</v>
      </c>
      <c r="I76" s="3"/>
      <c r="J76" s="8">
        <f t="shared" si="9"/>
        <v>-1.971153846153846</v>
      </c>
      <c r="K76" s="3"/>
      <c r="L76" s="7">
        <f t="shared" si="10"/>
        <v>0</v>
      </c>
      <c r="M76" s="3"/>
      <c r="N76" s="8">
        <f t="shared" si="11"/>
        <v>0</v>
      </c>
      <c r="O76" s="12"/>
      <c r="P76" s="7">
        <v>2179</v>
      </c>
      <c r="Q76" s="3"/>
      <c r="R76" s="8">
        <f t="shared" si="12"/>
        <v>5.5512549676757863E-4</v>
      </c>
      <c r="S76" s="3"/>
      <c r="T76" s="7">
        <v>1440</v>
      </c>
      <c r="U76" s="3"/>
      <c r="V76" s="8">
        <f t="shared" si="13"/>
        <v>6.1123864114858532E-2</v>
      </c>
      <c r="W76" s="3"/>
      <c r="X76" s="7">
        <f t="shared" si="14"/>
        <v>739</v>
      </c>
      <c r="Y76" s="3"/>
      <c r="Z76" s="8">
        <f t="shared" si="15"/>
        <v>0.5131944444444444</v>
      </c>
    </row>
    <row r="77" spans="1:26" s="68" customFormat="1" ht="15" customHeight="1" outlineLevel="1" collapsed="1" x14ac:dyDescent="0.25">
      <c r="A77" s="26"/>
      <c r="B77" s="14" t="str">
        <f>CONCATENATE("     ","Training                                          ")</f>
        <v xml:space="preserve">     Training                                          </v>
      </c>
      <c r="C77" s="14"/>
      <c r="D77" s="2">
        <f>SUM(OSRRefD22_15x_0)</f>
        <v>0</v>
      </c>
      <c r="E77" s="2"/>
      <c r="F77" s="6">
        <f t="shared" si="8"/>
        <v>0</v>
      </c>
      <c r="G77" s="2"/>
      <c r="H77" s="2">
        <f>SUM(OSRRefH22_15x_0)</f>
        <v>0</v>
      </c>
      <c r="I77" s="2"/>
      <c r="J77" s="6">
        <f t="shared" si="9"/>
        <v>0</v>
      </c>
      <c r="K77" s="2"/>
      <c r="L77" s="2">
        <f t="shared" si="10"/>
        <v>0</v>
      </c>
      <c r="M77" s="2"/>
      <c r="N77" s="6">
        <f t="shared" si="11"/>
        <v>0</v>
      </c>
      <c r="O77" s="14"/>
      <c r="P77" s="2">
        <f>SUM(OSRRefP22_15x_0)</f>
        <v>312</v>
      </c>
      <c r="Q77" s="2"/>
      <c r="R77" s="6">
        <f t="shared" si="12"/>
        <v>7.9485614957083318E-5</v>
      </c>
      <c r="S77" s="2"/>
      <c r="T77" s="2">
        <f>SUM(OSRRefT22_15x_0)</f>
        <v>0</v>
      </c>
      <c r="U77" s="2"/>
      <c r="V77" s="6">
        <f t="shared" si="13"/>
        <v>0</v>
      </c>
      <c r="W77" s="2"/>
      <c r="X77" s="2">
        <f t="shared" si="14"/>
        <v>312</v>
      </c>
      <c r="Y77" s="2"/>
      <c r="Z77" s="6">
        <f t="shared" si="15"/>
        <v>0</v>
      </c>
    </row>
    <row r="78" spans="1:26" s="69" customFormat="1" ht="15" hidden="1" customHeight="1" outlineLevel="2" x14ac:dyDescent="0.25">
      <c r="A78" s="25"/>
      <c r="B78" s="12" t="str">
        <f>CONCATENATE("          ","6376"," - ","TRAINING")</f>
        <v xml:space="preserve">          6376 - TRAINING</v>
      </c>
      <c r="C78" s="12"/>
      <c r="D78" s="7"/>
      <c r="E78" s="3"/>
      <c r="F78" s="8">
        <f t="shared" si="8"/>
        <v>0</v>
      </c>
      <c r="G78" s="3"/>
      <c r="H78" s="7"/>
      <c r="I78" s="3"/>
      <c r="J78" s="8">
        <f t="shared" si="9"/>
        <v>0</v>
      </c>
      <c r="K78" s="3"/>
      <c r="L78" s="7">
        <f t="shared" si="10"/>
        <v>0</v>
      </c>
      <c r="M78" s="3"/>
      <c r="N78" s="8">
        <f t="shared" si="11"/>
        <v>0</v>
      </c>
      <c r="O78" s="12"/>
      <c r="P78" s="7">
        <v>312</v>
      </c>
      <c r="Q78" s="3"/>
      <c r="R78" s="8">
        <f t="shared" si="12"/>
        <v>7.9485614957083318E-5</v>
      </c>
      <c r="S78" s="3"/>
      <c r="T78" s="7"/>
      <c r="U78" s="3"/>
      <c r="V78" s="8">
        <f t="shared" si="13"/>
        <v>0</v>
      </c>
      <c r="W78" s="3"/>
      <c r="X78" s="7">
        <f t="shared" si="14"/>
        <v>312</v>
      </c>
      <c r="Y78" s="3"/>
      <c r="Z78" s="8">
        <f t="shared" si="15"/>
        <v>0</v>
      </c>
    </row>
    <row r="79" spans="1:26" s="64" customFormat="1" ht="15" customHeight="1" x14ac:dyDescent="0.25">
      <c r="A79" s="36"/>
      <c r="B79" s="36"/>
      <c r="C79" s="36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O79" s="3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62" customFormat="1" ht="15" customHeight="1" x14ac:dyDescent="0.25">
      <c r="A80" s="11"/>
      <c r="B80" s="28" t="s">
        <v>290</v>
      </c>
      <c r="C80" s="11"/>
      <c r="D80" s="5">
        <f>SUM(0)</f>
        <v>0</v>
      </c>
      <c r="E80" s="5"/>
      <c r="F80" s="13">
        <f>IF(D$12=0,0,D80/D$12)</f>
        <v>0</v>
      </c>
      <c r="G80" s="5"/>
      <c r="H80" s="5">
        <f>SUM(0)</f>
        <v>0</v>
      </c>
      <c r="I80" s="5"/>
      <c r="J80" s="13">
        <f>IF(H$12=0,0,H80/H$12)</f>
        <v>0</v>
      </c>
      <c r="K80" s="5"/>
      <c r="L80" s="5">
        <f>+D80-H80</f>
        <v>0</v>
      </c>
      <c r="M80" s="5"/>
      <c r="N80" s="13">
        <f>IF(H80=0,0,L80/H80)</f>
        <v>0</v>
      </c>
      <c r="O80" s="11"/>
      <c r="P80" s="5">
        <f>SUM(0)</f>
        <v>0</v>
      </c>
      <c r="Q80" s="5"/>
      <c r="R80" s="13">
        <f>IF(P$12=0,0,P80/P$12)</f>
        <v>0</v>
      </c>
      <c r="S80" s="5"/>
      <c r="T80" s="5">
        <f>SUM(0)</f>
        <v>0</v>
      </c>
      <c r="U80" s="5"/>
      <c r="V80" s="13">
        <f>IF(T$12=0,0,T80/T$12)</f>
        <v>0</v>
      </c>
      <c r="W80" s="5"/>
      <c r="X80" s="5">
        <f>+P80-T80</f>
        <v>0</v>
      </c>
      <c r="Y80" s="5"/>
      <c r="Z80" s="13">
        <f>IF(T80=0,0,X80/T80)</f>
        <v>0</v>
      </c>
    </row>
    <row r="81" spans="1:26" ht="15" customHeight="1" x14ac:dyDescent="0.25">
      <c r="A81" s="10"/>
      <c r="B81" s="11"/>
      <c r="C81" s="11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O81" s="11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2" customFormat="1" ht="15" customHeight="1" x14ac:dyDescent="0.25">
      <c r="A82" s="11"/>
      <c r="B82" s="27" t="s">
        <v>291</v>
      </c>
      <c r="C82" s="27"/>
      <c r="D82" s="22">
        <f>+D21-D23+D80</f>
        <v>41438.98000000001</v>
      </c>
      <c r="E82" s="15"/>
      <c r="F82" s="23">
        <f>IF(D$12=0,0,D82/D$12)</f>
        <v>0.18749355531596457</v>
      </c>
      <c r="G82" s="15"/>
      <c r="H82" s="22">
        <f>+H21-H23+H80</f>
        <v>-47685.85</v>
      </c>
      <c r="I82" s="15"/>
      <c r="J82" s="23">
        <f>IF(H$12=0,0,H82/H$12)</f>
        <v>573.14723557692309</v>
      </c>
      <c r="K82" s="16"/>
      <c r="L82" s="22">
        <f>+D82-H82</f>
        <v>89124.830000000016</v>
      </c>
      <c r="M82" s="16"/>
      <c r="N82" s="23">
        <f>IF(H82=0,0,L82/H82)</f>
        <v>-1.8689995040457499</v>
      </c>
      <c r="O82" s="28"/>
      <c r="P82" s="22">
        <f>+P21-P23+P80</f>
        <v>1378916.0699999998</v>
      </c>
      <c r="Q82" s="15"/>
      <c r="R82" s="23">
        <f>IF(P$12=0,0,P82/P$12)</f>
        <v>0.35129484550690554</v>
      </c>
      <c r="S82" s="15"/>
      <c r="T82" s="22">
        <f>+T21-T23+T80</f>
        <v>-564547.85999999987</v>
      </c>
      <c r="U82" s="15"/>
      <c r="V82" s="23">
        <f>IF(T$12=0,0,T82/T$12)</f>
        <v>-23.963435195120951</v>
      </c>
      <c r="W82" s="16"/>
      <c r="X82" s="22">
        <f>+P82-T82</f>
        <v>1943463.9299999997</v>
      </c>
      <c r="Y82" s="16"/>
      <c r="Z82" s="23">
        <f>IF(T82=0,0,X82/T82)</f>
        <v>-3.4425140323798238</v>
      </c>
    </row>
    <row r="83" spans="1:26" ht="15" customHeight="1" x14ac:dyDescent="0.25">
      <c r="A83" s="10"/>
      <c r="B83" s="11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25">
      <c r="A84" s="48"/>
      <c r="B84" s="11" t="s">
        <v>292</v>
      </c>
      <c r="C84" s="11"/>
      <c r="D84" s="5">
        <v>21667.58</v>
      </c>
      <c r="E84" s="5"/>
      <c r="F84" s="13">
        <f>IF(D$12=0,0,D84/D$12)</f>
        <v>9.8036476990820881E-2</v>
      </c>
      <c r="G84" s="5"/>
      <c r="H84" s="5">
        <v>88.29</v>
      </c>
      <c r="I84" s="5"/>
      <c r="J84" s="13">
        <f>IF(H$12=0,0,H84/H$12)</f>
        <v>-1.0611778846153848</v>
      </c>
      <c r="K84" s="5"/>
      <c r="L84" s="5">
        <f>+D84-H84</f>
        <v>21579.29</v>
      </c>
      <c r="M84" s="5"/>
      <c r="N84" s="13">
        <f>IF(H84=0,0,L84/H84)</f>
        <v>244.41375014157887</v>
      </c>
      <c r="O84" s="11"/>
      <c r="P84" s="5">
        <v>441296.34</v>
      </c>
      <c r="Q84" s="5"/>
      <c r="R84" s="13">
        <f>IF(P$12=0,0,P84/P$12)</f>
        <v>0.11242535565131451</v>
      </c>
      <c r="S84" s="5"/>
      <c r="T84" s="5">
        <v>5034.28</v>
      </c>
      <c r="U84" s="5"/>
      <c r="V84" s="13">
        <f>IF(T$12=0,0,T84/T$12)</f>
        <v>0.21369072683065971</v>
      </c>
      <c r="W84" s="5"/>
      <c r="X84" s="5">
        <f>+P84-T84</f>
        <v>436262.06</v>
      </c>
      <c r="Y84" s="5"/>
      <c r="Z84" s="13">
        <f>IF(T84=0,0,X84/T84)</f>
        <v>86.65828281303385</v>
      </c>
    </row>
    <row r="85" spans="1:26" ht="15" customHeight="1" x14ac:dyDescent="0.25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25">
      <c r="A86" s="11"/>
      <c r="B86" s="27" t="s">
        <v>293</v>
      </c>
      <c r="C86" s="27"/>
      <c r="D86" s="35">
        <f>+D82-D84</f>
        <v>19771.400000000009</v>
      </c>
      <c r="E86" s="15"/>
      <c r="F86" s="30">
        <f>IF(D$12=0,0,D86/D$12)</f>
        <v>8.9457078325143685E-2</v>
      </c>
      <c r="G86" s="15"/>
      <c r="H86" s="35">
        <f>+H82-H84</f>
        <v>-47774.14</v>
      </c>
      <c r="I86" s="15"/>
      <c r="J86" s="30">
        <f>IF(H$12=0,0,H86/H$12)</f>
        <v>574.20841346153838</v>
      </c>
      <c r="K86" s="16"/>
      <c r="L86" s="35">
        <f>D86-H86</f>
        <v>67545.540000000008</v>
      </c>
      <c r="M86" s="16"/>
      <c r="N86" s="30">
        <f>IF(H86=0,0,L86/H86)</f>
        <v>-1.4138515104615177</v>
      </c>
      <c r="O86" s="28"/>
      <c r="P86" s="35">
        <f>+P82-P84</f>
        <v>937619.72999999975</v>
      </c>
      <c r="Q86" s="15"/>
      <c r="R86" s="30">
        <f>IF(P$12=0,0,P86/P$12)</f>
        <v>0.23886948985559101</v>
      </c>
      <c r="S86" s="15"/>
      <c r="T86" s="35">
        <f>+T82-T84</f>
        <v>-569582.1399999999</v>
      </c>
      <c r="U86" s="15"/>
      <c r="V86" s="30">
        <f>IF(T$12=0,0,T86/T$12)</f>
        <v>-24.17712592195161</v>
      </c>
      <c r="W86" s="16"/>
      <c r="X86" s="35">
        <f>P86-T86</f>
        <v>1507201.8699999996</v>
      </c>
      <c r="Y86" s="16"/>
      <c r="Z86" s="30">
        <f>IF(T86=0,0,X86/T86)</f>
        <v>-2.6461536697762327</v>
      </c>
    </row>
    <row r="87" spans="1:26" ht="15" customHeight="1" x14ac:dyDescent="0.25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ht="15" customHeight="1" x14ac:dyDescent="0.25">
      <c r="A88" s="10"/>
      <c r="B88" s="10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25">
      <c r="A89" s="11"/>
      <c r="B89" s="27" t="s">
        <v>296</v>
      </c>
      <c r="C89" s="27"/>
      <c r="D89" s="32">
        <f>SUM(D86:D88)</f>
        <v>19771.400000000009</v>
      </c>
      <c r="E89" s="15"/>
      <c r="F89" s="34">
        <f>IF(D$12=0,0,D89/D$12)</f>
        <v>8.9457078325143685E-2</v>
      </c>
      <c r="G89" s="15"/>
      <c r="H89" s="32">
        <f>SUM(H86:H88)</f>
        <v>-47774.14</v>
      </c>
      <c r="I89" s="15"/>
      <c r="J89" s="34">
        <f>IF(H$12=0,0,H89/H$12)</f>
        <v>574.20841346153838</v>
      </c>
      <c r="K89" s="16"/>
      <c r="L89" s="32">
        <f>+D89-H89</f>
        <v>67545.540000000008</v>
      </c>
      <c r="M89" s="16"/>
      <c r="N89" s="34">
        <f>IF(H89=0,0,L89/H89)</f>
        <v>-1.4138515104615177</v>
      </c>
      <c r="O89" s="28"/>
      <c r="P89" s="32">
        <f>SUM(P86:P88)</f>
        <v>937619.72999999975</v>
      </c>
      <c r="Q89" s="15"/>
      <c r="R89" s="34">
        <f>IF(P$12=0,0,P89/P$12)</f>
        <v>0.23886948985559101</v>
      </c>
      <c r="S89" s="15"/>
      <c r="T89" s="32">
        <f>SUM(T86:T88)</f>
        <v>-569582.1399999999</v>
      </c>
      <c r="U89" s="15"/>
      <c r="V89" s="34">
        <f>IF(T$12=0,0,T89/T$12)</f>
        <v>-24.17712592195161</v>
      </c>
      <c r="W89" s="16"/>
      <c r="X89" s="32">
        <f>+P89-T89</f>
        <v>1507201.8699999996</v>
      </c>
      <c r="Y89" s="16"/>
      <c r="Z89" s="34">
        <f>IF(T89=0,0,X89/T89)</f>
        <v>-2.6461536697762327</v>
      </c>
    </row>
    <row r="90" spans="1:26" ht="15" customHeight="1" x14ac:dyDescent="0.25">
      <c r="A90" s="10"/>
      <c r="C90" s="10"/>
      <c r="D90" s="18"/>
      <c r="E90" s="18"/>
      <c r="G90" s="18"/>
      <c r="H90" s="18"/>
      <c r="I90" s="18"/>
      <c r="J90" s="41"/>
      <c r="K90" s="18"/>
      <c r="L90" s="18"/>
      <c r="M90" s="18"/>
      <c r="P90" s="18"/>
      <c r="Q90" s="18"/>
      <c r="R90" s="41"/>
      <c r="S90" s="18"/>
      <c r="T90" s="18"/>
      <c r="U90" s="18"/>
      <c r="V90" s="41"/>
      <c r="W90" s="18"/>
      <c r="X90" s="18"/>
    </row>
    <row r="91" spans="1:26" ht="15" customHeight="1" x14ac:dyDescent="0.25">
      <c r="A91" s="10"/>
      <c r="B91" s="50">
        <v>44727.879654085649</v>
      </c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  <row r="92" spans="1:26" ht="15" customHeight="1" x14ac:dyDescent="0.25">
      <c r="A92" s="10"/>
      <c r="B92" s="53" t="s">
        <v>297</v>
      </c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  <row r="93" spans="1:26" ht="15" customHeight="1" x14ac:dyDescent="0.25">
      <c r="A93" s="10"/>
      <c r="B93" s="55"/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  <row r="94" spans="1:26" ht="15" customHeight="1" x14ac:dyDescent="0.25"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E23E1-636D-158B-4EDF-22169C0CCA95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","435"," - ","Ground Floor Coffee House")</f>
        <v>Department 435 - Ground Floor Coffee House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1398.62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1398.62</v>
      </c>
      <c r="M12" s="5"/>
      <c r="N12" s="13">
        <f>IF(H12=0,0,L12/H12)</f>
        <v>0</v>
      </c>
      <c r="O12" s="11"/>
      <c r="P12" s="5">
        <f>SUM(OSRRefP13x_0)</f>
        <v>6754.04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6754.04</v>
      </c>
      <c r="Y12" s="5"/>
      <c r="Z12" s="13">
        <f>IF(T12=0,0,X12/T12)</f>
        <v>0</v>
      </c>
    </row>
    <row r="13" spans="1:26" s="69" customFormat="1" ht="15" hidden="1" customHeight="1" outlineLevel="1" x14ac:dyDescent="0.25">
      <c r="A13" s="42"/>
      <c r="B13" s="12" t="str">
        <f>CONCATENATE("          ","4055"," - ","TAXABLE SALES-FOOD")</f>
        <v xml:space="preserve">          4055 - TAXABLE SALES-FOOD</v>
      </c>
      <c r="C13" s="12"/>
      <c r="D13" s="3">
        <f>--514.53</f>
        <v>514.53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514.53</v>
      </c>
      <c r="M13" s="3"/>
      <c r="N13" s="20">
        <f>IF(H13=0,0,L13/H13)</f>
        <v>0</v>
      </c>
      <c r="O13" s="12"/>
      <c r="P13" s="3">
        <f>--2070.63</f>
        <v>2070.63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2070.63</v>
      </c>
      <c r="Y13" s="3"/>
      <c r="Z13" s="20">
        <f>IF(T13=0,0,X13/T13)</f>
        <v>0</v>
      </c>
    </row>
    <row r="14" spans="1:26" s="69" customFormat="1" ht="15" hidden="1" customHeight="1" outlineLevel="1" x14ac:dyDescent="0.25">
      <c r="A14" s="42"/>
      <c r="B14" s="12" t="str">
        <f>CONCATENATE("          ","4155"," - ","NON-TAXABLE SALES-FOOD")</f>
        <v xml:space="preserve">          4155 - NON-TAXABLE SALES-FOOD</v>
      </c>
      <c r="C14" s="12"/>
      <c r="D14" s="3">
        <f>--884.09</f>
        <v>884.09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884.09</v>
      </c>
      <c r="M14" s="3"/>
      <c r="N14" s="20">
        <f>IF(H14=0,0,L14/H14)</f>
        <v>0</v>
      </c>
      <c r="O14" s="12"/>
      <c r="P14" s="3">
        <f>--4683.41</f>
        <v>4683.41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4683.41</v>
      </c>
      <c r="Y14" s="3"/>
      <c r="Z14" s="20">
        <f>IF(T14=0,0,X14/T14)</f>
        <v>0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25">
      <c r="A16" s="11"/>
      <c r="B16" s="28" t="s">
        <v>287</v>
      </c>
      <c r="C16" s="11"/>
      <c r="D16" s="5">
        <f>SUM(OSRRefD16x_0)</f>
        <v>0</v>
      </c>
      <c r="E16" s="5"/>
      <c r="F16" s="13">
        <f>IF(D$12=0,0,D16/D$12)</f>
        <v>0</v>
      </c>
      <c r="G16" s="5"/>
      <c r="H16" s="5">
        <f>SUM(OSRRefH16x_0)</f>
        <v>0</v>
      </c>
      <c r="I16" s="5"/>
      <c r="J16" s="13">
        <f>IF(H$12=0,0,H16/H$12)</f>
        <v>0</v>
      </c>
      <c r="K16" s="5"/>
      <c r="L16" s="5">
        <f>+D16-H16</f>
        <v>0</v>
      </c>
      <c r="M16" s="5"/>
      <c r="N16" s="13">
        <f>IF(H16=0,0,L16/H16)</f>
        <v>0</v>
      </c>
      <c r="O16" s="11"/>
      <c r="P16" s="5">
        <f>SUM(OSRRefP16x_0)</f>
        <v>1232.01</v>
      </c>
      <c r="Q16" s="5"/>
      <c r="R16" s="13">
        <f>IF(P$12=0,0,P16/P$12)</f>
        <v>0.18241082374401099</v>
      </c>
      <c r="S16" s="5"/>
      <c r="T16" s="5">
        <f>SUM(OSRRefT16x_0)</f>
        <v>0</v>
      </c>
      <c r="U16" s="5"/>
      <c r="V16" s="13">
        <f>IF(T$12=0,0,T16/T$12)</f>
        <v>0</v>
      </c>
      <c r="W16" s="5"/>
      <c r="X16" s="5">
        <f>+P16-T16</f>
        <v>1232.01</v>
      </c>
      <c r="Y16" s="5"/>
      <c r="Z16" s="13">
        <f>IF(T16=0,0,X16/T16)</f>
        <v>0</v>
      </c>
    </row>
    <row r="17" spans="1:26" s="69" customFormat="1" ht="15" hidden="1" customHeight="1" outlineLevel="1" x14ac:dyDescent="0.25">
      <c r="A17" s="42"/>
      <c r="B17" s="12" t="str">
        <f>CONCATENATE("          ","5053"," - ","PURCHASES @ COST-FOOD")</f>
        <v xml:space="preserve">          5053 - PURCHASES @ COST-FOOD</v>
      </c>
      <c r="C17" s="12"/>
      <c r="D17" s="3"/>
      <c r="E17" s="3"/>
      <c r="F17" s="20">
        <f>IF(D$12=0,0,D17/D$12)</f>
        <v>0</v>
      </c>
      <c r="G17" s="3"/>
      <c r="H17" s="3"/>
      <c r="I17" s="3"/>
      <c r="J17" s="20">
        <f>IF(H$12=0,0,H17/H$12)</f>
        <v>0</v>
      </c>
      <c r="K17" s="3"/>
      <c r="L17" s="3">
        <f>+D17-H17</f>
        <v>0</v>
      </c>
      <c r="M17" s="3"/>
      <c r="N17" s="20">
        <f>IF(H17=0,0,L17/H17)</f>
        <v>0</v>
      </c>
      <c r="O17" s="12"/>
      <c r="P17" s="3">
        <v>1232.01</v>
      </c>
      <c r="Q17" s="3"/>
      <c r="R17" s="20">
        <f>IF(P$12=0,0,P17/P$12)</f>
        <v>0.18241082374401099</v>
      </c>
      <c r="S17" s="3"/>
      <c r="T17" s="3"/>
      <c r="U17" s="3"/>
      <c r="V17" s="20">
        <f>IF(T$12=0,0,T17/T$12)</f>
        <v>0</v>
      </c>
      <c r="W17" s="3"/>
      <c r="X17" s="3">
        <f>+P17-T17</f>
        <v>1232.01</v>
      </c>
      <c r="Y17" s="3"/>
      <c r="Z17" s="20">
        <f>IF(T17=0,0,X17/T17)</f>
        <v>0</v>
      </c>
    </row>
    <row r="18" spans="1:26" ht="15" customHeight="1" x14ac:dyDescent="0.25">
      <c r="A18" s="10"/>
      <c r="B18" s="11"/>
      <c r="C18" s="11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O18" s="11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2" customFormat="1" ht="15" customHeight="1" x14ac:dyDescent="0.25">
      <c r="A19" s="11"/>
      <c r="B19" s="27" t="s">
        <v>288</v>
      </c>
      <c r="C19" s="27"/>
      <c r="D19" s="22">
        <f>D12-D16</f>
        <v>1398.62</v>
      </c>
      <c r="E19" s="15"/>
      <c r="F19" s="23">
        <f>IF(D$12=0,0,D19/D$12)</f>
        <v>1</v>
      </c>
      <c r="G19" s="15"/>
      <c r="H19" s="22">
        <f>H12-H16</f>
        <v>0</v>
      </c>
      <c r="I19" s="15"/>
      <c r="J19" s="23">
        <f>IF(H$12=0,0,H19/H$12)</f>
        <v>0</v>
      </c>
      <c r="K19" s="16"/>
      <c r="L19" s="22">
        <f>+D19-H19</f>
        <v>1398.62</v>
      </c>
      <c r="M19" s="16"/>
      <c r="N19" s="23">
        <f>IF(H19=0,0,L19/H19)</f>
        <v>0</v>
      </c>
      <c r="O19" s="28"/>
      <c r="P19" s="22">
        <f>P12-P16</f>
        <v>5522.03</v>
      </c>
      <c r="Q19" s="15"/>
      <c r="R19" s="23">
        <f>IF(P$12=0,0,P19/P$12)</f>
        <v>0.81758917625598893</v>
      </c>
      <c r="S19" s="15"/>
      <c r="T19" s="22">
        <f>T12-T16</f>
        <v>0</v>
      </c>
      <c r="U19" s="15"/>
      <c r="V19" s="23">
        <f>IF(T$12=0,0,T19/T$12)</f>
        <v>0</v>
      </c>
      <c r="W19" s="16"/>
      <c r="X19" s="22">
        <f>+P19-T19</f>
        <v>5522.03</v>
      </c>
      <c r="Y19" s="16"/>
      <c r="Z19" s="23">
        <f>IF(T19=0,0,X19/T19)</f>
        <v>0</v>
      </c>
    </row>
    <row r="20" spans="1:26" ht="15" customHeight="1" x14ac:dyDescent="0.25">
      <c r="A20" s="10"/>
      <c r="B20" s="11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36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62" customFormat="1" ht="15" customHeight="1" x14ac:dyDescent="0.25">
      <c r="A21" s="11"/>
      <c r="B21" s="28" t="s">
        <v>289</v>
      </c>
      <c r="C21" s="11"/>
      <c r="D21" s="21" cm="1">
        <f t="array" ref="D21">SUM(OSRRefD22x_0)</f>
        <v>2115.62</v>
      </c>
      <c r="E21" s="21"/>
      <c r="F21" s="31">
        <f t="shared" ref="F21:F34" si="0">IF(D$12=0,0,D21/D$12)</f>
        <v>1.5126481817791824</v>
      </c>
      <c r="G21" s="21"/>
      <c r="H21" s="21" cm="1">
        <f t="array" ref="H21">SUM(OSRRefH22x_0)</f>
        <v>0</v>
      </c>
      <c r="I21" s="21"/>
      <c r="J21" s="31">
        <f t="shared" ref="J21:J34" si="1">IF(H$12=0,0,H21/H$12)</f>
        <v>0</v>
      </c>
      <c r="K21" s="5"/>
      <c r="L21" s="21">
        <f t="shared" ref="L21:L34" si="2">+D21-H21</f>
        <v>2115.62</v>
      </c>
      <c r="M21" s="5"/>
      <c r="N21" s="31">
        <f t="shared" ref="N21:N34" si="3">IF(H21=0,0,L21/H21)</f>
        <v>0</v>
      </c>
      <c r="O21" s="11"/>
      <c r="P21" s="21" cm="1">
        <f t="array" ref="P21">SUM(OSRRefP22x_0)</f>
        <v>5930.6699999999983</v>
      </c>
      <c r="Q21" s="21"/>
      <c r="R21" s="31">
        <f t="shared" ref="R21:R34" si="4">IF(P$12=0,0,P21/P$12)</f>
        <v>0.87809222332115267</v>
      </c>
      <c r="S21" s="21"/>
      <c r="T21" s="21" cm="1">
        <f t="array" ref="T21">SUM(OSRRefT22x_0)</f>
        <v>178.69</v>
      </c>
      <c r="U21" s="21"/>
      <c r="V21" s="31">
        <f t="shared" ref="V21:V34" si="5">IF(T$12=0,0,T21/T$12)</f>
        <v>0</v>
      </c>
      <c r="W21" s="5"/>
      <c r="X21" s="21">
        <f t="shared" ref="X21:X34" si="6">+P21-T21</f>
        <v>5751.9799999999987</v>
      </c>
      <c r="Y21" s="5"/>
      <c r="Z21" s="31">
        <f t="shared" ref="Z21:Z34" si="7">IF(T21=0,0,X21/T21)</f>
        <v>32.189714029884151</v>
      </c>
    </row>
    <row r="22" spans="1:26" s="68" customFormat="1" ht="15" customHeight="1" outlineLevel="1" collapsed="1" x14ac:dyDescent="0.25">
      <c r="A22" s="26"/>
      <c r="B22" s="14" t="str">
        <f>CONCATENATE("     ","*Benefits                                         ")</f>
        <v xml:space="preserve">     *Benefits                                         </v>
      </c>
      <c r="C22" s="14"/>
      <c r="D22" s="2">
        <f>SUM(OSRRefD22_0x_0)</f>
        <v>217.29000000000002</v>
      </c>
      <c r="E22" s="2"/>
      <c r="F22" s="6">
        <f t="shared" si="0"/>
        <v>0.15536028370822672</v>
      </c>
      <c r="G22" s="2"/>
      <c r="H22" s="2">
        <f>SUM(OSRRefH22_0x_0)</f>
        <v>0</v>
      </c>
      <c r="I22" s="2"/>
      <c r="J22" s="6">
        <f t="shared" si="1"/>
        <v>0</v>
      </c>
      <c r="K22" s="2"/>
      <c r="L22" s="2">
        <f t="shared" si="2"/>
        <v>217.29000000000002</v>
      </c>
      <c r="M22" s="2"/>
      <c r="N22" s="6">
        <f t="shared" si="3"/>
        <v>0</v>
      </c>
      <c r="O22" s="14"/>
      <c r="P22" s="2">
        <f>SUM(OSRRefP22_0x_0)</f>
        <v>274.69</v>
      </c>
      <c r="Q22" s="2"/>
      <c r="R22" s="6">
        <f t="shared" si="4"/>
        <v>4.067047278369687E-2</v>
      </c>
      <c r="S22" s="2"/>
      <c r="T22" s="2">
        <f>SUM(OSRRefT22_0x_0)</f>
        <v>0</v>
      </c>
      <c r="U22" s="2"/>
      <c r="V22" s="6">
        <f t="shared" si="5"/>
        <v>0</v>
      </c>
      <c r="W22" s="2"/>
      <c r="X22" s="2">
        <f t="shared" si="6"/>
        <v>274.69</v>
      </c>
      <c r="Y22" s="2"/>
      <c r="Z22" s="6">
        <f t="shared" si="7"/>
        <v>0</v>
      </c>
    </row>
    <row r="23" spans="1:26" s="69" customFormat="1" ht="15" hidden="1" customHeight="1" outlineLevel="2" x14ac:dyDescent="0.25">
      <c r="A23" s="25"/>
      <c r="B23" s="12" t="str">
        <f>CONCATENATE("          ","6112"," - ","COMPENSATION INSURANCE")</f>
        <v xml:space="preserve">          6112 - COMPENSATION INSURANCE</v>
      </c>
      <c r="C23" s="12"/>
      <c r="D23" s="7">
        <v>202.65</v>
      </c>
      <c r="E23" s="3"/>
      <c r="F23" s="8">
        <f t="shared" si="0"/>
        <v>0.14489282292545511</v>
      </c>
      <c r="G23" s="3"/>
      <c r="H23" s="7"/>
      <c r="I23" s="3"/>
      <c r="J23" s="8">
        <f t="shared" si="1"/>
        <v>0</v>
      </c>
      <c r="K23" s="3"/>
      <c r="L23" s="7">
        <f t="shared" si="2"/>
        <v>202.65</v>
      </c>
      <c r="M23" s="3"/>
      <c r="N23" s="8">
        <f t="shared" si="3"/>
        <v>0</v>
      </c>
      <c r="O23" s="12"/>
      <c r="P23" s="7">
        <v>256.18</v>
      </c>
      <c r="Q23" s="3"/>
      <c r="R23" s="8">
        <f t="shared" si="4"/>
        <v>3.7929890850513175E-2</v>
      </c>
      <c r="S23" s="3"/>
      <c r="T23" s="7"/>
      <c r="U23" s="3"/>
      <c r="V23" s="8">
        <f t="shared" si="5"/>
        <v>0</v>
      </c>
      <c r="W23" s="3"/>
      <c r="X23" s="7">
        <f t="shared" si="6"/>
        <v>256.18</v>
      </c>
      <c r="Y23" s="3"/>
      <c r="Z23" s="8">
        <f t="shared" si="7"/>
        <v>0</v>
      </c>
    </row>
    <row r="24" spans="1:26" s="69" customFormat="1" ht="15" hidden="1" customHeight="1" outlineLevel="2" x14ac:dyDescent="0.25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7">
        <v>14.64</v>
      </c>
      <c r="E24" s="3"/>
      <c r="F24" s="8">
        <f t="shared" si="0"/>
        <v>1.046746078277159E-2</v>
      </c>
      <c r="G24" s="3"/>
      <c r="H24" s="7"/>
      <c r="I24" s="3"/>
      <c r="J24" s="8">
        <f t="shared" si="1"/>
        <v>0</v>
      </c>
      <c r="K24" s="3"/>
      <c r="L24" s="7">
        <f t="shared" si="2"/>
        <v>14.64</v>
      </c>
      <c r="M24" s="3"/>
      <c r="N24" s="8">
        <f t="shared" si="3"/>
        <v>0</v>
      </c>
      <c r="O24" s="12"/>
      <c r="P24" s="7">
        <v>18.510000000000002</v>
      </c>
      <c r="Q24" s="3"/>
      <c r="R24" s="8">
        <f t="shared" si="4"/>
        <v>2.7405819331836946E-3</v>
      </c>
      <c r="S24" s="3"/>
      <c r="T24" s="7"/>
      <c r="U24" s="3"/>
      <c r="V24" s="8">
        <f t="shared" si="5"/>
        <v>0</v>
      </c>
      <c r="W24" s="3"/>
      <c r="X24" s="7">
        <f t="shared" si="6"/>
        <v>18.510000000000002</v>
      </c>
      <c r="Y24" s="3"/>
      <c r="Z24" s="8">
        <f t="shared" si="7"/>
        <v>0</v>
      </c>
    </row>
    <row r="25" spans="1:26" s="68" customFormat="1" ht="15" customHeight="1" outlineLevel="1" collapsed="1" x14ac:dyDescent="0.25">
      <c r="A25" s="26"/>
      <c r="B25" s="14" t="str">
        <f>CONCATENATE("     ","*Payroll                                          ")</f>
        <v xml:space="preserve">     *Payroll                                          </v>
      </c>
      <c r="C25" s="14"/>
      <c r="D25" s="2">
        <f>SUM(OSRRefD22_1x_0)</f>
        <v>1898.33</v>
      </c>
      <c r="E25" s="2"/>
      <c r="F25" s="6">
        <f t="shared" si="0"/>
        <v>1.3572878980709557</v>
      </c>
      <c r="G25" s="2"/>
      <c r="H25" s="2">
        <f>SUM(OSRRefH22_1x_0)</f>
        <v>0</v>
      </c>
      <c r="I25" s="2"/>
      <c r="J25" s="6">
        <f t="shared" si="1"/>
        <v>0</v>
      </c>
      <c r="K25" s="2"/>
      <c r="L25" s="2">
        <f t="shared" si="2"/>
        <v>1898.33</v>
      </c>
      <c r="M25" s="2"/>
      <c r="N25" s="6">
        <f t="shared" si="3"/>
        <v>0</v>
      </c>
      <c r="O25" s="14"/>
      <c r="P25" s="2">
        <f>SUM(OSRRefP22_1x_0)</f>
        <v>5125.3999999999996</v>
      </c>
      <c r="Q25" s="2"/>
      <c r="R25" s="6">
        <f t="shared" si="4"/>
        <v>0.75886432416746119</v>
      </c>
      <c r="S25" s="2"/>
      <c r="T25" s="2">
        <f>SUM(OSRRefT22_1x_0)</f>
        <v>0</v>
      </c>
      <c r="U25" s="2"/>
      <c r="V25" s="6">
        <f t="shared" si="5"/>
        <v>0</v>
      </c>
      <c r="W25" s="2"/>
      <c r="X25" s="2">
        <f t="shared" si="6"/>
        <v>5125.3999999999996</v>
      </c>
      <c r="Y25" s="2"/>
      <c r="Z25" s="6">
        <f t="shared" si="7"/>
        <v>0</v>
      </c>
    </row>
    <row r="26" spans="1:26" s="69" customFormat="1" ht="15" hidden="1" customHeight="1" outlineLevel="2" x14ac:dyDescent="0.25">
      <c r="A26" s="25"/>
      <c r="B26" s="12" t="str">
        <f>CONCATENATE("          ","6007"," - ","STUDENT HOURLY")</f>
        <v xml:space="preserve">          6007 - STUDENT HOURLY</v>
      </c>
      <c r="C26" s="12"/>
      <c r="D26" s="7">
        <v>1898.33</v>
      </c>
      <c r="E26" s="3"/>
      <c r="F26" s="8">
        <f t="shared" si="0"/>
        <v>1.3572878980709557</v>
      </c>
      <c r="G26" s="3"/>
      <c r="H26" s="7"/>
      <c r="I26" s="3"/>
      <c r="J26" s="8">
        <f t="shared" si="1"/>
        <v>0</v>
      </c>
      <c r="K26" s="3"/>
      <c r="L26" s="7">
        <f t="shared" si="2"/>
        <v>1898.33</v>
      </c>
      <c r="M26" s="3"/>
      <c r="N26" s="8">
        <f t="shared" si="3"/>
        <v>0</v>
      </c>
      <c r="O26" s="12"/>
      <c r="P26" s="7">
        <v>5125.3999999999996</v>
      </c>
      <c r="Q26" s="3"/>
      <c r="R26" s="8">
        <f t="shared" si="4"/>
        <v>0.75886432416746119</v>
      </c>
      <c r="S26" s="3"/>
      <c r="T26" s="7"/>
      <c r="U26" s="3"/>
      <c r="V26" s="8">
        <f t="shared" si="5"/>
        <v>0</v>
      </c>
      <c r="W26" s="3"/>
      <c r="X26" s="7">
        <f t="shared" si="6"/>
        <v>5125.3999999999996</v>
      </c>
      <c r="Y26" s="3"/>
      <c r="Z26" s="8">
        <f t="shared" si="7"/>
        <v>0</v>
      </c>
    </row>
    <row r="27" spans="1:26" s="68" customFormat="1" ht="15" customHeight="1" outlineLevel="1" collapsed="1" x14ac:dyDescent="0.25">
      <c r="A27" s="26"/>
      <c r="B27" s="14" t="str">
        <f>CONCATENATE("     ","Bad Debts/Over/Short                              ")</f>
        <v xml:space="preserve">     Bad Debts/Over/Short                              </v>
      </c>
      <c r="C27" s="14"/>
      <c r="D27" s="2">
        <f>SUM(OSRRefD22_2x_0)</f>
        <v>0</v>
      </c>
      <c r="E27" s="2"/>
      <c r="F27" s="6">
        <f t="shared" si="0"/>
        <v>0</v>
      </c>
      <c r="G27" s="2"/>
      <c r="H27" s="2">
        <f>SUM(OSRRefH22_2x_0)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SUM(OSRRefP22_2x_0)</f>
        <v>-0.1</v>
      </c>
      <c r="Q27" s="2"/>
      <c r="R27" s="6">
        <f t="shared" si="4"/>
        <v>-1.4805953177653671E-5</v>
      </c>
      <c r="S27" s="2"/>
      <c r="T27" s="2">
        <f>SUM(OSRRefT22_2x_0)</f>
        <v>0</v>
      </c>
      <c r="U27" s="2"/>
      <c r="V27" s="6">
        <f t="shared" si="5"/>
        <v>0</v>
      </c>
      <c r="W27" s="2"/>
      <c r="X27" s="2">
        <f t="shared" si="6"/>
        <v>-0.1</v>
      </c>
      <c r="Y27" s="2"/>
      <c r="Z27" s="6">
        <f t="shared" si="7"/>
        <v>0</v>
      </c>
    </row>
    <row r="28" spans="1:26" s="69" customFormat="1" ht="15" hidden="1" customHeight="1" outlineLevel="2" x14ac:dyDescent="0.25">
      <c r="A28" s="25"/>
      <c r="B28" s="12" t="str">
        <f>CONCATENATE("          ","6272"," - ","CASH (OVER/SHORT)")</f>
        <v xml:space="preserve">          6272 - CASH (OVER/SHORT)</v>
      </c>
      <c r="C28" s="12"/>
      <c r="D28" s="7"/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0</v>
      </c>
      <c r="M28" s="3"/>
      <c r="N28" s="8">
        <f t="shared" si="3"/>
        <v>0</v>
      </c>
      <c r="O28" s="12"/>
      <c r="P28" s="7">
        <v>-0.1</v>
      </c>
      <c r="Q28" s="3"/>
      <c r="R28" s="8">
        <f t="shared" si="4"/>
        <v>-1.4805953177653671E-5</v>
      </c>
      <c r="S28" s="3"/>
      <c r="T28" s="7"/>
      <c r="U28" s="3"/>
      <c r="V28" s="8">
        <f t="shared" si="5"/>
        <v>0</v>
      </c>
      <c r="W28" s="3"/>
      <c r="X28" s="7">
        <f t="shared" si="6"/>
        <v>-0.1</v>
      </c>
      <c r="Y28" s="3"/>
      <c r="Z28" s="8">
        <f t="shared" si="7"/>
        <v>0</v>
      </c>
    </row>
    <row r="29" spans="1:26" s="68" customFormat="1" ht="15" customHeight="1" outlineLevel="1" collapsed="1" x14ac:dyDescent="0.25">
      <c r="A29" s="26"/>
      <c r="B29" s="14" t="str">
        <f>CONCATENATE("     ","Bank/card Fees                                    ")</f>
        <v xml:space="preserve">     Bank/card Fees                                    </v>
      </c>
      <c r="C29" s="14"/>
      <c r="D29" s="2">
        <f>SUM(OSRRefD22_3x_0)</f>
        <v>0</v>
      </c>
      <c r="E29" s="2"/>
      <c r="F29" s="6">
        <f t="shared" si="0"/>
        <v>0</v>
      </c>
      <c r="G29" s="2"/>
      <c r="H29" s="2">
        <f>SUM(OSRRefH22_3x_0)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SUM(OSRRefP22_3x_0)</f>
        <v>0.28000000000000003</v>
      </c>
      <c r="Q29" s="2"/>
      <c r="R29" s="6">
        <f t="shared" si="4"/>
        <v>4.1456668897430281E-5</v>
      </c>
      <c r="S29" s="2"/>
      <c r="T29" s="2">
        <f>SUM(OSRRefT22_3x_0)</f>
        <v>0</v>
      </c>
      <c r="U29" s="2"/>
      <c r="V29" s="6">
        <f t="shared" si="5"/>
        <v>0</v>
      </c>
      <c r="W29" s="2"/>
      <c r="X29" s="2">
        <f t="shared" si="6"/>
        <v>0.28000000000000003</v>
      </c>
      <c r="Y29" s="2"/>
      <c r="Z29" s="6">
        <f t="shared" si="7"/>
        <v>0</v>
      </c>
    </row>
    <row r="30" spans="1:26" s="69" customFormat="1" ht="15" hidden="1" customHeight="1" outlineLevel="2" x14ac:dyDescent="0.25">
      <c r="A30" s="25"/>
      <c r="B30" s="12" t="str">
        <f>CONCATENATE("          ","6381"," - ","BANK/CREDIT CARD FEES")</f>
        <v xml:space="preserve">          6381 - BANK/CREDIT CARD FEES</v>
      </c>
      <c r="C30" s="12"/>
      <c r="D30" s="7"/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>
        <v>0.28000000000000003</v>
      </c>
      <c r="Q30" s="3"/>
      <c r="R30" s="8">
        <f t="shared" si="4"/>
        <v>4.1456668897430281E-5</v>
      </c>
      <c r="S30" s="3"/>
      <c r="T30" s="7"/>
      <c r="U30" s="3"/>
      <c r="V30" s="8">
        <f t="shared" si="5"/>
        <v>0</v>
      </c>
      <c r="W30" s="3"/>
      <c r="X30" s="7">
        <f t="shared" si="6"/>
        <v>0.28000000000000003</v>
      </c>
      <c r="Y30" s="3"/>
      <c r="Z30" s="8">
        <f t="shared" si="7"/>
        <v>0</v>
      </c>
    </row>
    <row r="31" spans="1:26" s="68" customFormat="1" ht="15" customHeight="1" outlineLevel="1" collapsed="1" x14ac:dyDescent="0.25">
      <c r="A31" s="26"/>
      <c r="B31" s="14" t="str">
        <f>CONCATENATE("     ","General                                           ")</f>
        <v xml:space="preserve">     General                                           </v>
      </c>
      <c r="C31" s="14"/>
      <c r="D31" s="2">
        <f>SUM(OSRRefD22_4x_0)</f>
        <v>0</v>
      </c>
      <c r="E31" s="2"/>
      <c r="F31" s="6">
        <f t="shared" si="0"/>
        <v>0</v>
      </c>
      <c r="G31" s="2"/>
      <c r="H31" s="2">
        <f>SUM(OSRRefH22_4x_0)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SUM(OSRRefP22_4x_0)</f>
        <v>530.4</v>
      </c>
      <c r="Q31" s="2"/>
      <c r="R31" s="6">
        <f t="shared" si="4"/>
        <v>7.8530775654275062E-2</v>
      </c>
      <c r="S31" s="2"/>
      <c r="T31" s="2">
        <f>SUM(OSRRefT22_4x_0)</f>
        <v>0</v>
      </c>
      <c r="U31" s="2"/>
      <c r="V31" s="6">
        <f t="shared" si="5"/>
        <v>0</v>
      </c>
      <c r="W31" s="2"/>
      <c r="X31" s="2">
        <f t="shared" si="6"/>
        <v>530.4</v>
      </c>
      <c r="Y31" s="2"/>
      <c r="Z31" s="6">
        <f t="shared" si="7"/>
        <v>0</v>
      </c>
    </row>
    <row r="32" spans="1:26" s="69" customFormat="1" ht="15" hidden="1" customHeight="1" outlineLevel="2" x14ac:dyDescent="0.25">
      <c r="A32" s="25"/>
      <c r="B32" s="12" t="str">
        <f>CONCATENATE("          ","6279"," - ","GENERAL EXPENSE")</f>
        <v xml:space="preserve">          6279 - GENERAL EXPENSE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530.4</v>
      </c>
      <c r="Q32" s="3"/>
      <c r="R32" s="8">
        <f t="shared" si="4"/>
        <v>7.8530775654275062E-2</v>
      </c>
      <c r="S32" s="3"/>
      <c r="T32" s="7"/>
      <c r="U32" s="3"/>
      <c r="V32" s="8">
        <f t="shared" si="5"/>
        <v>0</v>
      </c>
      <c r="W32" s="3"/>
      <c r="X32" s="7">
        <f t="shared" si="6"/>
        <v>530.4</v>
      </c>
      <c r="Y32" s="3"/>
      <c r="Z32" s="8">
        <f t="shared" si="7"/>
        <v>0</v>
      </c>
    </row>
    <row r="33" spans="1:26" s="68" customFormat="1" ht="15" customHeight="1" outlineLevel="1" collapsed="1" x14ac:dyDescent="0.25">
      <c r="A33" s="26"/>
      <c r="B33" s="14" t="str">
        <f>CONCATENATE("     ","Telephone/Data Lines                              ")</f>
        <v xml:space="preserve">     Telephone/Data Lines                              </v>
      </c>
      <c r="C33" s="14"/>
      <c r="D33" s="2">
        <f>SUM(OSRRefD22_5x_0)</f>
        <v>0</v>
      </c>
      <c r="E33" s="2"/>
      <c r="F33" s="6">
        <f t="shared" si="0"/>
        <v>0</v>
      </c>
      <c r="G33" s="2"/>
      <c r="H33" s="2">
        <f>SUM(OSRRefH22_5x_0)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SUM(OSRRefP22_5x_0)</f>
        <v>0</v>
      </c>
      <c r="Q33" s="2"/>
      <c r="R33" s="6">
        <f t="shared" si="4"/>
        <v>0</v>
      </c>
      <c r="S33" s="2"/>
      <c r="T33" s="2">
        <f>SUM(OSRRefT22_5x_0)</f>
        <v>178.69</v>
      </c>
      <c r="U33" s="2"/>
      <c r="V33" s="6">
        <f t="shared" si="5"/>
        <v>0</v>
      </c>
      <c r="W33" s="2"/>
      <c r="X33" s="2">
        <f t="shared" si="6"/>
        <v>-178.69</v>
      </c>
      <c r="Y33" s="2"/>
      <c r="Z33" s="6">
        <f t="shared" si="7"/>
        <v>-1</v>
      </c>
    </row>
    <row r="34" spans="1:26" s="69" customFormat="1" ht="15" hidden="1" customHeight="1" outlineLevel="2" x14ac:dyDescent="0.25">
      <c r="A34" s="25"/>
      <c r="B34" s="12" t="str">
        <f>CONCATENATE("          ","6309"," - ","TELEPHONE")</f>
        <v xml:space="preserve">          6309 - TELEPHONE</v>
      </c>
      <c r="C34" s="12"/>
      <c r="D34" s="7"/>
      <c r="E34" s="3"/>
      <c r="F34" s="8">
        <f t="shared" si="0"/>
        <v>0</v>
      </c>
      <c r="G34" s="3"/>
      <c r="H34" s="7"/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178.69</v>
      </c>
      <c r="U34" s="3"/>
      <c r="V34" s="8">
        <f t="shared" si="5"/>
        <v>0</v>
      </c>
      <c r="W34" s="3"/>
      <c r="X34" s="7">
        <f t="shared" si="6"/>
        <v>-178.69</v>
      </c>
      <c r="Y34" s="3"/>
      <c r="Z34" s="8">
        <f t="shared" si="7"/>
        <v>-1</v>
      </c>
    </row>
    <row r="35" spans="1:26" s="64" customFormat="1" ht="15" customHeight="1" x14ac:dyDescent="0.25">
      <c r="A35" s="36"/>
      <c r="B35" s="36"/>
      <c r="C35" s="36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O35" s="3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62" customFormat="1" ht="15" customHeight="1" x14ac:dyDescent="0.25">
      <c r="A36" s="11"/>
      <c r="B36" s="28" t="s">
        <v>290</v>
      </c>
      <c r="C36" s="11"/>
      <c r="D36" s="5">
        <f>SUM(0)</f>
        <v>0</v>
      </c>
      <c r="E36" s="5"/>
      <c r="F36" s="13">
        <f>IF(D$12=0,0,D36/D$12)</f>
        <v>0</v>
      </c>
      <c r="G36" s="5"/>
      <c r="H36" s="5">
        <f>SUM(0)</f>
        <v>0</v>
      </c>
      <c r="I36" s="5"/>
      <c r="J36" s="13">
        <f>IF(H$12=0,0,H36/H$12)</f>
        <v>0</v>
      </c>
      <c r="K36" s="5"/>
      <c r="L36" s="5">
        <f>+D36-H36</f>
        <v>0</v>
      </c>
      <c r="M36" s="5"/>
      <c r="N36" s="13">
        <f>IF(H36=0,0,L36/H36)</f>
        <v>0</v>
      </c>
      <c r="O36" s="11"/>
      <c r="P36" s="5">
        <f>SUM(0)</f>
        <v>0</v>
      </c>
      <c r="Q36" s="5"/>
      <c r="R36" s="13">
        <f>IF(P$12=0,0,P36/P$12)</f>
        <v>0</v>
      </c>
      <c r="S36" s="5"/>
      <c r="T36" s="5">
        <f>SUM(0)</f>
        <v>0</v>
      </c>
      <c r="U36" s="5"/>
      <c r="V36" s="13">
        <f>IF(T$12=0,0,T36/T$12)</f>
        <v>0</v>
      </c>
      <c r="W36" s="5"/>
      <c r="X36" s="5">
        <f>+P36-T36</f>
        <v>0</v>
      </c>
      <c r="Y36" s="5"/>
      <c r="Z36" s="13">
        <f>IF(T36=0,0,X36/T36)</f>
        <v>0</v>
      </c>
    </row>
    <row r="37" spans="1:26" ht="15" customHeight="1" x14ac:dyDescent="0.25">
      <c r="A37" s="10"/>
      <c r="B37" s="11"/>
      <c r="C37" s="11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O37" s="11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x14ac:dyDescent="0.25">
      <c r="A38" s="11"/>
      <c r="B38" s="27" t="s">
        <v>291</v>
      </c>
      <c r="C38" s="27"/>
      <c r="D38" s="22">
        <f>+D19-D21+D36</f>
        <v>-717</v>
      </c>
      <c r="E38" s="15"/>
      <c r="F38" s="23">
        <f>IF(D$12=0,0,D38/D$12)</f>
        <v>-0.51264818177918237</v>
      </c>
      <c r="G38" s="15"/>
      <c r="H38" s="22">
        <f>+H19-H21+H36</f>
        <v>0</v>
      </c>
      <c r="I38" s="15"/>
      <c r="J38" s="23">
        <f>IF(H$12=0,0,H38/H$12)</f>
        <v>0</v>
      </c>
      <c r="K38" s="16"/>
      <c r="L38" s="22">
        <f>+D38-H38</f>
        <v>-717</v>
      </c>
      <c r="M38" s="16"/>
      <c r="N38" s="23">
        <f>IF(H38=0,0,L38/H38)</f>
        <v>0</v>
      </c>
      <c r="O38" s="28"/>
      <c r="P38" s="22">
        <f>+P19-P21+P36</f>
        <v>-408.63999999999851</v>
      </c>
      <c r="Q38" s="15"/>
      <c r="R38" s="23">
        <f>IF(P$12=0,0,P38/P$12)</f>
        <v>-6.050304706516374E-2</v>
      </c>
      <c r="S38" s="15"/>
      <c r="T38" s="22">
        <f>+T19-T21+T36</f>
        <v>-178.69</v>
      </c>
      <c r="U38" s="15"/>
      <c r="V38" s="23">
        <f>IF(T$12=0,0,T38/T$12)</f>
        <v>0</v>
      </c>
      <c r="W38" s="16"/>
      <c r="X38" s="22">
        <f>+P38-T38</f>
        <v>-229.94999999999851</v>
      </c>
      <c r="Y38" s="16"/>
      <c r="Z38" s="23">
        <f>IF(T38=0,0,X38/T38)</f>
        <v>1.2868655212938525</v>
      </c>
    </row>
    <row r="39" spans="1:26" ht="15" customHeight="1" x14ac:dyDescent="0.25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x14ac:dyDescent="0.25">
      <c r="A40" s="48"/>
      <c r="B40" s="11" t="s">
        <v>292</v>
      </c>
      <c r="C40" s="11"/>
      <c r="D40" s="5">
        <v>152.65</v>
      </c>
      <c r="E40" s="5"/>
      <c r="F40" s="13">
        <f>IF(D$12=0,0,D40/D$12)</f>
        <v>0.10914329839413137</v>
      </c>
      <c r="G40" s="5"/>
      <c r="H40" s="5"/>
      <c r="I40" s="5"/>
      <c r="J40" s="13">
        <f>IF(H$12=0,0,H40/H$12)</f>
        <v>0</v>
      </c>
      <c r="K40" s="5"/>
      <c r="L40" s="5">
        <f>+D40-H40</f>
        <v>152.65</v>
      </c>
      <c r="M40" s="5"/>
      <c r="N40" s="13">
        <f>IF(H40=0,0,L40/H40)</f>
        <v>0</v>
      </c>
      <c r="O40" s="11"/>
      <c r="P40" s="5">
        <v>759.33</v>
      </c>
      <c r="Q40" s="5"/>
      <c r="R40" s="13">
        <f>IF(P$12=0,0,P40/P$12)</f>
        <v>0.11242604426387763</v>
      </c>
      <c r="S40" s="5"/>
      <c r="T40" s="5"/>
      <c r="U40" s="5"/>
      <c r="V40" s="13">
        <f>IF(T$12=0,0,T40/T$12)</f>
        <v>0</v>
      </c>
      <c r="W40" s="5"/>
      <c r="X40" s="5">
        <f>+P40-T40</f>
        <v>759.33</v>
      </c>
      <c r="Y40" s="5"/>
      <c r="Z40" s="13">
        <f>IF(T40=0,0,X40/T40)</f>
        <v>0</v>
      </c>
    </row>
    <row r="41" spans="1:26" ht="15" customHeight="1" x14ac:dyDescent="0.25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2" customFormat="1" ht="15" customHeight="1" x14ac:dyDescent="0.25">
      <c r="A42" s="11"/>
      <c r="B42" s="27" t="s">
        <v>293</v>
      </c>
      <c r="C42" s="27"/>
      <c r="D42" s="35">
        <f>+D38-D40</f>
        <v>-869.65</v>
      </c>
      <c r="E42" s="15"/>
      <c r="F42" s="30">
        <f>IF(D$12=0,0,D42/D$12)</f>
        <v>-0.62179148017331376</v>
      </c>
      <c r="G42" s="15"/>
      <c r="H42" s="35">
        <f>+H38-H40</f>
        <v>0</v>
      </c>
      <c r="I42" s="15"/>
      <c r="J42" s="30">
        <f>IF(H$12=0,0,H42/H$12)</f>
        <v>0</v>
      </c>
      <c r="K42" s="16"/>
      <c r="L42" s="35">
        <f>D42-H42</f>
        <v>-869.65</v>
      </c>
      <c r="M42" s="16"/>
      <c r="N42" s="30">
        <f>IF(H42=0,0,L42/H42)</f>
        <v>0</v>
      </c>
      <c r="O42" s="28"/>
      <c r="P42" s="35">
        <f>+P38-P40</f>
        <v>-1167.9699999999984</v>
      </c>
      <c r="Q42" s="15"/>
      <c r="R42" s="30">
        <f>IF(P$12=0,0,P42/P$12)</f>
        <v>-0.17292909132904136</v>
      </c>
      <c r="S42" s="15"/>
      <c r="T42" s="35">
        <f>+T38-T40</f>
        <v>-178.69</v>
      </c>
      <c r="U42" s="15"/>
      <c r="V42" s="30">
        <f>IF(T$12=0,0,T42/T$12)</f>
        <v>0</v>
      </c>
      <c r="W42" s="16"/>
      <c r="X42" s="35">
        <f>P42-T42</f>
        <v>-989.27999999999838</v>
      </c>
      <c r="Y42" s="16"/>
      <c r="Z42" s="30">
        <f>IF(T42=0,0,X42/T42)</f>
        <v>5.5362919021769459</v>
      </c>
    </row>
    <row r="43" spans="1:26" ht="15" customHeight="1" x14ac:dyDescent="0.25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ht="15" customHeight="1" x14ac:dyDescent="0.25">
      <c r="A44" s="10"/>
      <c r="B44" s="10"/>
      <c r="C44" s="10"/>
      <c r="D44" s="4"/>
      <c r="E44" s="4"/>
      <c r="F44" s="9"/>
      <c r="G44" s="4"/>
      <c r="H44" s="4"/>
      <c r="I44" s="4"/>
      <c r="J44" s="9"/>
      <c r="K44" s="4"/>
      <c r="L44" s="4"/>
      <c r="M44" s="4"/>
      <c r="N44" s="9"/>
      <c r="P44" s="4"/>
      <c r="Q44" s="4"/>
      <c r="R44" s="9"/>
      <c r="S44" s="4"/>
      <c r="T44" s="4"/>
      <c r="U44" s="4"/>
      <c r="V44" s="9"/>
      <c r="W44" s="4"/>
      <c r="X44" s="4"/>
      <c r="Y44" s="4"/>
      <c r="Z44" s="9"/>
    </row>
    <row r="45" spans="1:26" s="62" customFormat="1" ht="15" customHeight="1" x14ac:dyDescent="0.25">
      <c r="A45" s="11"/>
      <c r="B45" s="27" t="s">
        <v>296</v>
      </c>
      <c r="C45" s="27"/>
      <c r="D45" s="32">
        <f>SUM(D42:D44)</f>
        <v>-869.65</v>
      </c>
      <c r="E45" s="15"/>
      <c r="F45" s="34">
        <f>IF(D$12=0,0,D45/D$12)</f>
        <v>-0.62179148017331376</v>
      </c>
      <c r="G45" s="15"/>
      <c r="H45" s="32">
        <f>SUM(H42:H44)</f>
        <v>0</v>
      </c>
      <c r="I45" s="15"/>
      <c r="J45" s="34">
        <f>IF(H$12=0,0,H45/H$12)</f>
        <v>0</v>
      </c>
      <c r="K45" s="16"/>
      <c r="L45" s="32">
        <f>+D45-H45</f>
        <v>-869.65</v>
      </c>
      <c r="M45" s="16"/>
      <c r="N45" s="34">
        <f>IF(H45=0,0,L45/H45)</f>
        <v>0</v>
      </c>
      <c r="O45" s="28"/>
      <c r="P45" s="32">
        <f>SUM(P42:P44)</f>
        <v>-1167.9699999999984</v>
      </c>
      <c r="Q45" s="15"/>
      <c r="R45" s="34">
        <f>IF(P$12=0,0,P45/P$12)</f>
        <v>-0.17292909132904136</v>
      </c>
      <c r="S45" s="15"/>
      <c r="T45" s="32">
        <f>SUM(T42:T44)</f>
        <v>-178.69</v>
      </c>
      <c r="U45" s="15"/>
      <c r="V45" s="34">
        <f>IF(T$12=0,0,T45/T$12)</f>
        <v>0</v>
      </c>
      <c r="W45" s="16"/>
      <c r="X45" s="32">
        <f>+P45-T45</f>
        <v>-989.27999999999838</v>
      </c>
      <c r="Y45" s="16"/>
      <c r="Z45" s="34">
        <f>IF(T45=0,0,X45/T45)</f>
        <v>5.5362919021769459</v>
      </c>
    </row>
    <row r="46" spans="1:26" ht="15" customHeight="1" x14ac:dyDescent="0.25">
      <c r="A46" s="10"/>
      <c r="C46" s="10"/>
      <c r="D46" s="18"/>
      <c r="E46" s="18"/>
      <c r="G46" s="18"/>
      <c r="H46" s="18"/>
      <c r="I46" s="18"/>
      <c r="J46" s="41"/>
      <c r="K46" s="18"/>
      <c r="L46" s="18"/>
      <c r="M46" s="18"/>
      <c r="P46" s="18"/>
      <c r="Q46" s="18"/>
      <c r="R46" s="41"/>
      <c r="S46" s="18"/>
      <c r="T46" s="18"/>
      <c r="U46" s="18"/>
      <c r="V46" s="41"/>
      <c r="W46" s="18"/>
      <c r="X46" s="18"/>
    </row>
    <row r="47" spans="1:26" ht="15" customHeight="1" x14ac:dyDescent="0.25">
      <c r="A47" s="10"/>
      <c r="B47" s="50">
        <v>44727.879654085649</v>
      </c>
      <c r="D47" s="18"/>
      <c r="E47" s="18"/>
      <c r="G47" s="18"/>
      <c r="H47" s="18"/>
      <c r="I47" s="18"/>
      <c r="J47" s="41"/>
      <c r="K47" s="18"/>
      <c r="L47" s="18"/>
      <c r="M47" s="18"/>
      <c r="P47" s="18"/>
      <c r="Q47" s="18"/>
      <c r="R47" s="41"/>
      <c r="S47" s="18"/>
      <c r="T47" s="18"/>
      <c r="U47" s="18"/>
      <c r="V47" s="41"/>
      <c r="W47" s="18"/>
      <c r="X47" s="18"/>
    </row>
    <row r="48" spans="1:26" ht="15" customHeight="1" x14ac:dyDescent="0.25">
      <c r="A48" s="10"/>
      <c r="B48" s="53" t="s">
        <v>297</v>
      </c>
      <c r="D48" s="18"/>
      <c r="E48" s="18"/>
      <c r="G48" s="18"/>
      <c r="H48" s="18"/>
      <c r="I48" s="18"/>
      <c r="J48" s="41"/>
      <c r="K48" s="18"/>
      <c r="L48" s="18"/>
      <c r="M48" s="18"/>
      <c r="P48" s="18"/>
      <c r="Q48" s="18"/>
      <c r="R48" s="41"/>
      <c r="S48" s="18"/>
      <c r="T48" s="18"/>
      <c r="U48" s="18"/>
      <c r="V48" s="41"/>
      <c r="W48" s="18"/>
      <c r="X48" s="18"/>
    </row>
    <row r="49" spans="1:24" ht="15" customHeight="1" x14ac:dyDescent="0.25">
      <c r="A49" s="10"/>
      <c r="B49" s="55"/>
      <c r="D49" s="18"/>
      <c r="E49" s="18"/>
      <c r="G49" s="18"/>
      <c r="H49" s="18"/>
      <c r="I49" s="18"/>
      <c r="J49" s="41"/>
      <c r="K49" s="18"/>
      <c r="L49" s="18"/>
      <c r="M49" s="18"/>
      <c r="P49" s="18"/>
      <c r="Q49" s="18"/>
      <c r="R49" s="41"/>
      <c r="S49" s="18"/>
      <c r="T49" s="18"/>
      <c r="U49" s="18"/>
      <c r="V49" s="41"/>
      <c r="W49" s="18"/>
      <c r="X49" s="18"/>
    </row>
    <row r="50" spans="1:24" ht="15" customHeight="1" x14ac:dyDescent="0.25">
      <c r="D50" s="18"/>
      <c r="E50" s="18"/>
      <c r="G50" s="18"/>
      <c r="H50" s="18"/>
      <c r="I50" s="18"/>
      <c r="J50" s="41"/>
      <c r="K50" s="18"/>
      <c r="L50" s="18"/>
      <c r="M50" s="18"/>
      <c r="P50" s="18"/>
      <c r="Q50" s="18"/>
      <c r="R50" s="41"/>
      <c r="S50" s="18"/>
      <c r="T50" s="18"/>
      <c r="U50" s="18"/>
      <c r="V50" s="41"/>
      <c r="W50" s="18"/>
      <c r="X5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C06A5-4E06-443A-BCB1-8CF22022298E}">
  <sheetPr>
    <tabColor rgb="FF92D050"/>
    <outlinePr summaryBelow="0" summaryRight="0"/>
  </sheetPr>
  <dimension ref="A2:Z9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","444"," - ","Parkside Dining Hall")</f>
        <v>Department 444 - Parkside Dining Hall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339467.87000000005</v>
      </c>
      <c r="E12" s="5"/>
      <c r="F12" s="13"/>
      <c r="G12" s="5"/>
      <c r="H12" s="5">
        <f>SUM(OSRRefH13x_0)</f>
        <v>50611.9</v>
      </c>
      <c r="I12" s="5"/>
      <c r="J12" s="13"/>
      <c r="K12" s="5"/>
      <c r="L12" s="5">
        <f>+D12-H12</f>
        <v>288855.97000000003</v>
      </c>
      <c r="M12" s="5"/>
      <c r="N12" s="13">
        <f>IF(H12=0,0,L12/H12)</f>
        <v>5.707273783438283</v>
      </c>
      <c r="O12" s="11"/>
      <c r="P12" s="5">
        <f>SUM(OSRRefP13x_0)</f>
        <v>5706451.5099999998</v>
      </c>
      <c r="Q12" s="5"/>
      <c r="R12" s="13"/>
      <c r="S12" s="5"/>
      <c r="T12" s="5">
        <f>SUM(OSRRefT13x_0)</f>
        <v>968325.88</v>
      </c>
      <c r="U12" s="5"/>
      <c r="V12" s="13"/>
      <c r="W12" s="5"/>
      <c r="X12" s="5">
        <f>+P12-T12</f>
        <v>4738125.63</v>
      </c>
      <c r="Y12" s="5"/>
      <c r="Z12" s="13">
        <f>IF(T12=0,0,X12/T12)</f>
        <v>4.8931106023934836</v>
      </c>
    </row>
    <row r="13" spans="1:26" s="69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--160.59</f>
        <v>160.59</v>
      </c>
      <c r="E13" s="3"/>
      <c r="F13" s="20"/>
      <c r="G13" s="3"/>
      <c r="H13" s="3">
        <f>--21.66</f>
        <v>21.66</v>
      </c>
      <c r="I13" s="3"/>
      <c r="J13" s="20"/>
      <c r="K13" s="3"/>
      <c r="L13" s="3">
        <f>+D13-H13</f>
        <v>138.93</v>
      </c>
      <c r="M13" s="3"/>
      <c r="N13" s="20">
        <f>IF(H13=0,0,L13/H13)</f>
        <v>6.4141274238227153</v>
      </c>
      <c r="O13" s="12"/>
      <c r="P13" s="3">
        <f>--1284.65</f>
        <v>1284.6500000000001</v>
      </c>
      <c r="Q13" s="3"/>
      <c r="R13" s="20"/>
      <c r="S13" s="3"/>
      <c r="T13" s="3">
        <f>--888.91</f>
        <v>888.91</v>
      </c>
      <c r="U13" s="3"/>
      <c r="V13" s="20"/>
      <c r="W13" s="3"/>
      <c r="X13" s="3">
        <f>+P13-T13</f>
        <v>395.74000000000012</v>
      </c>
      <c r="Y13" s="3"/>
      <c r="Z13" s="20">
        <f>IF(T13=0,0,X13/T13)</f>
        <v>0.44519692657299403</v>
      </c>
    </row>
    <row r="14" spans="1:26" s="69" customFormat="1" ht="15" hidden="1" customHeight="1" outlineLevel="1" x14ac:dyDescent="0.25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--336756.14</f>
        <v>336756.14</v>
      </c>
      <c r="E14" s="3"/>
      <c r="F14" s="20"/>
      <c r="G14" s="3"/>
      <c r="H14" s="3">
        <f>--47615</f>
        <v>47615</v>
      </c>
      <c r="I14" s="3"/>
      <c r="J14" s="20"/>
      <c r="K14" s="3"/>
      <c r="L14" s="3">
        <f>+D14-H14</f>
        <v>289141.14</v>
      </c>
      <c r="M14" s="3"/>
      <c r="N14" s="20">
        <f>IF(H14=0,0,L14/H14)</f>
        <v>6.0724801008085691</v>
      </c>
      <c r="O14" s="12"/>
      <c r="P14" s="3">
        <f>--5676457.97</f>
        <v>5676457.9699999997</v>
      </c>
      <c r="Q14" s="3"/>
      <c r="R14" s="20"/>
      <c r="S14" s="3"/>
      <c r="T14" s="3">
        <f>--924347.72</f>
        <v>924347.72</v>
      </c>
      <c r="U14" s="3"/>
      <c r="V14" s="20"/>
      <c r="W14" s="3"/>
      <c r="X14" s="3">
        <f>+P14-T14</f>
        <v>4752110.25</v>
      </c>
      <c r="Y14" s="3"/>
      <c r="Z14" s="20">
        <f>IF(T14=0,0,X14/T14)</f>
        <v>5.1410417824149555</v>
      </c>
    </row>
    <row r="15" spans="1:26" s="69" customFormat="1" ht="15" hidden="1" customHeight="1" outlineLevel="1" x14ac:dyDescent="0.25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--2551.14</f>
        <v>2551.14</v>
      </c>
      <c r="E15" s="3"/>
      <c r="F15" s="20"/>
      <c r="G15" s="3"/>
      <c r="H15" s="3">
        <f>--2975.24</f>
        <v>2975.24</v>
      </c>
      <c r="I15" s="3"/>
      <c r="J15" s="20"/>
      <c r="K15" s="3"/>
      <c r="L15" s="3">
        <f>+D15-H15</f>
        <v>-424.09999999999991</v>
      </c>
      <c r="M15" s="3"/>
      <c r="N15" s="20">
        <f>IF(H15=0,0,L15/H15)</f>
        <v>-0.14254312257162446</v>
      </c>
      <c r="O15" s="12"/>
      <c r="P15" s="3">
        <f>--28708.89</f>
        <v>28708.89</v>
      </c>
      <c r="Q15" s="3"/>
      <c r="R15" s="20"/>
      <c r="S15" s="3"/>
      <c r="T15" s="3">
        <f>--43089.25</f>
        <v>43089.25</v>
      </c>
      <c r="U15" s="3"/>
      <c r="V15" s="20"/>
      <c r="W15" s="3"/>
      <c r="X15" s="3">
        <f>+P15-T15</f>
        <v>-14380.36</v>
      </c>
      <c r="Y15" s="3"/>
      <c r="Z15" s="20">
        <f>IF(T15=0,0,X15/T15)</f>
        <v>-0.33373428407317374</v>
      </c>
    </row>
    <row r="16" spans="1:26" ht="15" customHeight="1" x14ac:dyDescent="0.25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25">
      <c r="A17" s="11"/>
      <c r="B17" s="28" t="s">
        <v>287</v>
      </c>
      <c r="C17" s="11"/>
      <c r="D17" s="5">
        <f>SUM(OSRRefD16x_0)</f>
        <v>70631.709999999992</v>
      </c>
      <c r="E17" s="5"/>
      <c r="F17" s="13">
        <f>IF(D$12=0,0,D17/D$12)</f>
        <v>0.20806596512359177</v>
      </c>
      <c r="G17" s="5"/>
      <c r="H17" s="5">
        <f>SUM(OSRRefH16x_0)</f>
        <v>25181.79</v>
      </c>
      <c r="I17" s="5"/>
      <c r="J17" s="13">
        <f>IF(H$12=0,0,H17/H$12)</f>
        <v>0.49754682199245631</v>
      </c>
      <c r="K17" s="5"/>
      <c r="L17" s="5">
        <f>+D17-H17</f>
        <v>45449.919999999991</v>
      </c>
      <c r="M17" s="5"/>
      <c r="N17" s="13">
        <f>IF(H17=0,0,L17/H17)</f>
        <v>1.8048724892074786</v>
      </c>
      <c r="O17" s="11"/>
      <c r="P17" s="5">
        <f>SUM(OSRRefP16x_0)</f>
        <v>1311437.1200000001</v>
      </c>
      <c r="Q17" s="5"/>
      <c r="R17" s="13">
        <f>IF(P$12=0,0,P17/P$12)</f>
        <v>0.22981657124428981</v>
      </c>
      <c r="S17" s="5"/>
      <c r="T17" s="5">
        <f>SUM(OSRRefT16x_0)</f>
        <v>415749.05</v>
      </c>
      <c r="U17" s="5"/>
      <c r="V17" s="13">
        <f>IF(T$12=0,0,T17/T$12)</f>
        <v>0.42934827890792299</v>
      </c>
      <c r="W17" s="5"/>
      <c r="X17" s="5">
        <f>+P17-T17</f>
        <v>895688.07000000007</v>
      </c>
      <c r="Y17" s="5"/>
      <c r="Z17" s="13">
        <f>IF(T17=0,0,X17/T17)</f>
        <v>2.1543959511152222</v>
      </c>
    </row>
    <row r="18" spans="1:26" s="69" customFormat="1" ht="15" hidden="1" customHeight="1" outlineLevel="1" x14ac:dyDescent="0.25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54596.71</v>
      </c>
      <c r="E18" s="3"/>
      <c r="F18" s="20">
        <f>IF(D$12=0,0,D18/D$12)</f>
        <v>0.16083027239072725</v>
      </c>
      <c r="G18" s="3"/>
      <c r="H18" s="3">
        <v>24078.79</v>
      </c>
      <c r="I18" s="3"/>
      <c r="J18" s="20">
        <f>IF(H$12=0,0,H18/H$12)</f>
        <v>0.47575352832041479</v>
      </c>
      <c r="K18" s="3"/>
      <c r="L18" s="3">
        <f>+D18-H18</f>
        <v>30517.919999999998</v>
      </c>
      <c r="M18" s="3"/>
      <c r="N18" s="20">
        <f>IF(H18=0,0,L18/H18)</f>
        <v>1.2674191684881175</v>
      </c>
      <c r="O18" s="12"/>
      <c r="P18" s="3">
        <v>1301005.1200000001</v>
      </c>
      <c r="Q18" s="3"/>
      <c r="R18" s="20">
        <f>IF(P$12=0,0,P18/P$12)</f>
        <v>0.22798846493659247</v>
      </c>
      <c r="S18" s="3"/>
      <c r="T18" s="3">
        <v>429337.75</v>
      </c>
      <c r="U18" s="3"/>
      <c r="V18" s="20">
        <f>IF(T$12=0,0,T18/T$12)</f>
        <v>0.44338146781742527</v>
      </c>
      <c r="W18" s="3"/>
      <c r="X18" s="3">
        <f>+P18-T18</f>
        <v>871667.37000000011</v>
      </c>
      <c r="Y18" s="3"/>
      <c r="Z18" s="20">
        <f>IF(T18=0,0,X18/T18)</f>
        <v>2.0302602554748566</v>
      </c>
    </row>
    <row r="19" spans="1:26" s="69" customFormat="1" ht="15" hidden="1" customHeight="1" outlineLevel="1" x14ac:dyDescent="0.25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16035</v>
      </c>
      <c r="E19" s="3"/>
      <c r="F19" s="20">
        <f>IF(D$12=0,0,D19/D$12)</f>
        <v>4.7235692732864522E-2</v>
      </c>
      <c r="G19" s="3"/>
      <c r="H19" s="3">
        <v>1103</v>
      </c>
      <c r="I19" s="3"/>
      <c r="J19" s="20">
        <f>IF(H$12=0,0,H19/H$12)</f>
        <v>2.1793293672041556E-2</v>
      </c>
      <c r="K19" s="3"/>
      <c r="L19" s="3">
        <f>+D19-H19</f>
        <v>14932</v>
      </c>
      <c r="M19" s="3"/>
      <c r="N19" s="20">
        <f>IF(H19=0,0,L19/H19)</f>
        <v>13.537624660018132</v>
      </c>
      <c r="O19" s="12"/>
      <c r="P19" s="3">
        <v>10432</v>
      </c>
      <c r="Q19" s="3"/>
      <c r="R19" s="20">
        <f>IF(P$12=0,0,P19/P$12)</f>
        <v>1.8281063076973382E-3</v>
      </c>
      <c r="S19" s="3"/>
      <c r="T19" s="3">
        <v>-13588.7</v>
      </c>
      <c r="U19" s="3"/>
      <c r="V19" s="20">
        <f>IF(T$12=0,0,T19/T$12)</f>
        <v>-1.4033188909502245E-2</v>
      </c>
      <c r="W19" s="3"/>
      <c r="X19" s="3">
        <f>+P19-T19</f>
        <v>24020.7</v>
      </c>
      <c r="Y19" s="3"/>
      <c r="Z19" s="20">
        <f>IF(T19=0,0,X19/T19)</f>
        <v>-1.7676966891608468</v>
      </c>
    </row>
    <row r="20" spans="1:26" ht="15" customHeight="1" x14ac:dyDescent="0.25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25">
      <c r="A21" s="11"/>
      <c r="B21" s="27" t="s">
        <v>288</v>
      </c>
      <c r="C21" s="27"/>
      <c r="D21" s="22">
        <f>D12-D17</f>
        <v>268836.16000000003</v>
      </c>
      <c r="E21" s="15"/>
      <c r="F21" s="23">
        <f>IF(D$12=0,0,D21/D$12)</f>
        <v>0.79193403487640812</v>
      </c>
      <c r="G21" s="15"/>
      <c r="H21" s="22">
        <f>H12-H17</f>
        <v>25430.11</v>
      </c>
      <c r="I21" s="15"/>
      <c r="J21" s="23">
        <f>IF(H$12=0,0,H21/H$12)</f>
        <v>0.50245317800754363</v>
      </c>
      <c r="K21" s="16"/>
      <c r="L21" s="22">
        <f>+D21-H21</f>
        <v>243406.05000000005</v>
      </c>
      <c r="M21" s="16"/>
      <c r="N21" s="23">
        <f>IF(H21=0,0,L21/H21)</f>
        <v>9.5715689000165565</v>
      </c>
      <c r="O21" s="28"/>
      <c r="P21" s="22">
        <f>P12-P17</f>
        <v>4395014.3899999997</v>
      </c>
      <c r="Q21" s="15"/>
      <c r="R21" s="23">
        <f>IF(P$12=0,0,P21/P$12)</f>
        <v>0.77018342875571022</v>
      </c>
      <c r="S21" s="15"/>
      <c r="T21" s="22">
        <f>T12-T17</f>
        <v>552576.83000000007</v>
      </c>
      <c r="U21" s="15"/>
      <c r="V21" s="23">
        <f>IF(T$12=0,0,T21/T$12)</f>
        <v>0.57065172109207707</v>
      </c>
      <c r="W21" s="16"/>
      <c r="X21" s="22">
        <f>+P21-T21</f>
        <v>3842437.5599999996</v>
      </c>
      <c r="Y21" s="16"/>
      <c r="Z21" s="23">
        <f>IF(T21=0,0,X21/T21)</f>
        <v>6.9536711483179614</v>
      </c>
    </row>
    <row r="22" spans="1:26" ht="15" customHeight="1" x14ac:dyDescent="0.25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25">
      <c r="A23" s="11"/>
      <c r="B23" s="28" t="s">
        <v>289</v>
      </c>
      <c r="C23" s="11"/>
      <c r="D23" s="21" cm="1">
        <f t="array" ref="D23">SUM(OSRRefD22x_0)</f>
        <v>139819.06000000003</v>
      </c>
      <c r="E23" s="21"/>
      <c r="F23" s="31">
        <f t="shared" ref="F23:F54" si="0">IF(D$12=0,0,D23/D$12)</f>
        <v>0.4118771534990926</v>
      </c>
      <c r="G23" s="21"/>
      <c r="H23" s="21" cm="1">
        <f t="array" ref="H23">SUM(OSRRefH22x_0)</f>
        <v>96436.47</v>
      </c>
      <c r="I23" s="21"/>
      <c r="J23" s="31">
        <f t="shared" ref="J23:J54" si="1">IF(H$12=0,0,H23/H$12)</f>
        <v>1.9054109804216004</v>
      </c>
      <c r="K23" s="5"/>
      <c r="L23" s="21">
        <f t="shared" ref="L23:L54" si="2">+D23-H23</f>
        <v>43382.590000000026</v>
      </c>
      <c r="M23" s="5"/>
      <c r="N23" s="31">
        <f t="shared" ref="N23:N54" si="3">IF(H23=0,0,L23/H23)</f>
        <v>0.44985667766561782</v>
      </c>
      <c r="O23" s="11"/>
      <c r="P23" s="21" cm="1">
        <f t="array" ref="P23">SUM(OSRRefP22x_0)</f>
        <v>2065309.84</v>
      </c>
      <c r="Q23" s="21"/>
      <c r="R23" s="31">
        <f t="shared" ref="R23:R54" si="4">IF(P$12=0,0,P23/P$12)</f>
        <v>0.36192541658870597</v>
      </c>
      <c r="S23" s="21"/>
      <c r="T23" s="21" cm="1">
        <f t="array" ref="T23">SUM(OSRRefT22x_0)</f>
        <v>1265237.3300000003</v>
      </c>
      <c r="U23" s="21"/>
      <c r="V23" s="31">
        <f t="shared" ref="V23:V54" si="5">IF(T$12=0,0,T23/T$12)</f>
        <v>1.3066234788643678</v>
      </c>
      <c r="W23" s="5"/>
      <c r="X23" s="21">
        <f t="shared" ref="X23:X54" si="6">+P23-T23</f>
        <v>800072.50999999978</v>
      </c>
      <c r="Y23" s="5"/>
      <c r="Z23" s="31">
        <f t="shared" ref="Z23:Z54" si="7">IF(T23=0,0,X23/T23)</f>
        <v>0.63234975054047737</v>
      </c>
    </row>
    <row r="24" spans="1:26" s="68" customFormat="1" ht="15" customHeight="1" outlineLevel="1" collapsed="1" x14ac:dyDescent="0.25">
      <c r="A24" s="26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29920.919999999995</v>
      </c>
      <c r="E24" s="2"/>
      <c r="F24" s="6">
        <f t="shared" si="0"/>
        <v>8.8140653782639258E-2</v>
      </c>
      <c r="G24" s="2"/>
      <c r="H24" s="2">
        <f>SUM(OSRRefH22_0x_0)</f>
        <v>30299.73</v>
      </c>
      <c r="I24" s="2"/>
      <c r="J24" s="6">
        <f t="shared" si="1"/>
        <v>0.59866809979471225</v>
      </c>
      <c r="K24" s="2"/>
      <c r="L24" s="2">
        <f t="shared" si="2"/>
        <v>-378.81000000000495</v>
      </c>
      <c r="M24" s="2"/>
      <c r="N24" s="6">
        <f t="shared" si="3"/>
        <v>-1.2502091602796623E-2</v>
      </c>
      <c r="O24" s="14"/>
      <c r="P24" s="2">
        <f>SUM(OSRRefP22_0x_0)</f>
        <v>332383.86</v>
      </c>
      <c r="Q24" s="2"/>
      <c r="R24" s="6">
        <f t="shared" si="4"/>
        <v>5.82470313499606E-2</v>
      </c>
      <c r="S24" s="2"/>
      <c r="T24" s="2">
        <f>SUM(OSRRefT22_0x_0)</f>
        <v>340970.93</v>
      </c>
      <c r="U24" s="2"/>
      <c r="V24" s="6">
        <f t="shared" si="5"/>
        <v>0.35212415266645564</v>
      </c>
      <c r="W24" s="2"/>
      <c r="X24" s="2">
        <f t="shared" si="6"/>
        <v>-8587.070000000007</v>
      </c>
      <c r="Y24" s="2"/>
      <c r="Z24" s="6">
        <f t="shared" si="7"/>
        <v>-2.518417039247307E-2</v>
      </c>
    </row>
    <row r="25" spans="1:26" s="69" customFormat="1" ht="15" hidden="1" customHeight="1" outlineLevel="2" x14ac:dyDescent="0.25">
      <c r="A25" s="25"/>
      <c r="B25" s="12" t="str">
        <f>CONCATENATE("          ","6111"," - ","F.I.C.A.")</f>
        <v xml:space="preserve">          6111 - F.I.C.A.</v>
      </c>
      <c r="C25" s="12"/>
      <c r="D25" s="7">
        <v>3712.38</v>
      </c>
      <c r="E25" s="3"/>
      <c r="F25" s="8">
        <f t="shared" si="0"/>
        <v>1.0935880323519276E-2</v>
      </c>
      <c r="G25" s="3"/>
      <c r="H25" s="7">
        <v>3110.81</v>
      </c>
      <c r="I25" s="3"/>
      <c r="J25" s="8">
        <f t="shared" si="1"/>
        <v>6.1464003524862726E-2</v>
      </c>
      <c r="K25" s="3"/>
      <c r="L25" s="7">
        <f t="shared" si="2"/>
        <v>601.57000000000016</v>
      </c>
      <c r="M25" s="3"/>
      <c r="N25" s="8">
        <f t="shared" si="3"/>
        <v>0.1933805021843186</v>
      </c>
      <c r="O25" s="12"/>
      <c r="P25" s="7">
        <v>51414.55</v>
      </c>
      <c r="Q25" s="3"/>
      <c r="R25" s="8">
        <f t="shared" si="4"/>
        <v>9.0098986927166589E-3</v>
      </c>
      <c r="S25" s="3"/>
      <c r="T25" s="7">
        <v>39529.370000000003</v>
      </c>
      <c r="U25" s="3"/>
      <c r="V25" s="8">
        <f t="shared" si="5"/>
        <v>4.0822383059719525E-2</v>
      </c>
      <c r="W25" s="3"/>
      <c r="X25" s="7">
        <f t="shared" si="6"/>
        <v>11885.18</v>
      </c>
      <c r="Y25" s="3"/>
      <c r="Z25" s="8">
        <f t="shared" si="7"/>
        <v>0.30066707362146172</v>
      </c>
    </row>
    <row r="26" spans="1:26" s="69" customFormat="1" ht="15" hidden="1" customHeight="1" outlineLevel="2" x14ac:dyDescent="0.25">
      <c r="A26" s="25"/>
      <c r="B26" s="12" t="str">
        <f>CONCATENATE("          ","6112"," - ","COMPENSATION INSURANCE")</f>
        <v xml:space="preserve">          6112 - COMPENSATION INSURANCE</v>
      </c>
      <c r="C26" s="12"/>
      <c r="D26" s="7">
        <v>4644.6099999999997</v>
      </c>
      <c r="E26" s="3"/>
      <c r="F26" s="8">
        <f t="shared" si="0"/>
        <v>1.3682031233176793E-2</v>
      </c>
      <c r="G26" s="3"/>
      <c r="H26" s="7">
        <v>3174.15</v>
      </c>
      <c r="I26" s="3"/>
      <c r="J26" s="8">
        <f t="shared" si="1"/>
        <v>6.2715487859574523E-2</v>
      </c>
      <c r="K26" s="3"/>
      <c r="L26" s="7">
        <f t="shared" si="2"/>
        <v>1470.4599999999996</v>
      </c>
      <c r="M26" s="3"/>
      <c r="N26" s="8">
        <f t="shared" si="3"/>
        <v>0.46326103051210543</v>
      </c>
      <c r="O26" s="12"/>
      <c r="P26" s="7">
        <v>35519.360000000001</v>
      </c>
      <c r="Q26" s="3"/>
      <c r="R26" s="8">
        <f t="shared" si="4"/>
        <v>6.2244215933064161E-3</v>
      </c>
      <c r="S26" s="3"/>
      <c r="T26" s="7">
        <v>27370.91</v>
      </c>
      <c r="U26" s="3"/>
      <c r="V26" s="8">
        <f t="shared" si="5"/>
        <v>2.8266217567168607E-2</v>
      </c>
      <c r="W26" s="3"/>
      <c r="X26" s="7">
        <f t="shared" si="6"/>
        <v>8148.4500000000007</v>
      </c>
      <c r="Y26" s="3"/>
      <c r="Z26" s="8">
        <f t="shared" si="7"/>
        <v>0.29770475296583127</v>
      </c>
    </row>
    <row r="27" spans="1:26" s="69" customFormat="1" ht="15" hidden="1" customHeight="1" outlineLevel="2" x14ac:dyDescent="0.25">
      <c r="A27" s="25"/>
      <c r="B27" s="12" t="str">
        <f>CONCATENATE("          ","6113"," - ","GROUP INSURANCE")</f>
        <v xml:space="preserve">          6113 - GROUP INSURANCE</v>
      </c>
      <c r="C27" s="12"/>
      <c r="D27" s="7">
        <v>14203.11</v>
      </c>
      <c r="E27" s="3"/>
      <c r="F27" s="8">
        <f t="shared" si="0"/>
        <v>4.1839335192458707E-2</v>
      </c>
      <c r="G27" s="3"/>
      <c r="H27" s="7">
        <v>17668.509999999998</v>
      </c>
      <c r="I27" s="3"/>
      <c r="J27" s="8">
        <f t="shared" si="1"/>
        <v>0.34909793941740969</v>
      </c>
      <c r="K27" s="3"/>
      <c r="L27" s="7">
        <f t="shared" si="2"/>
        <v>-3465.3999999999978</v>
      </c>
      <c r="M27" s="3"/>
      <c r="N27" s="8">
        <f t="shared" si="3"/>
        <v>-0.19613425240724872</v>
      </c>
      <c r="O27" s="12"/>
      <c r="P27" s="7">
        <v>158328.07</v>
      </c>
      <c r="Q27" s="3"/>
      <c r="R27" s="8">
        <f t="shared" si="4"/>
        <v>2.7745450867767037E-2</v>
      </c>
      <c r="S27" s="3"/>
      <c r="T27" s="7">
        <v>191438.63</v>
      </c>
      <c r="U27" s="3"/>
      <c r="V27" s="8">
        <f t="shared" si="5"/>
        <v>0.19770062326538251</v>
      </c>
      <c r="W27" s="3"/>
      <c r="X27" s="7">
        <f t="shared" si="6"/>
        <v>-33110.559999999998</v>
      </c>
      <c r="Y27" s="3"/>
      <c r="Z27" s="8">
        <f t="shared" si="7"/>
        <v>-0.17295652397846764</v>
      </c>
    </row>
    <row r="28" spans="1:26" s="69" customFormat="1" ht="15" hidden="1" customHeight="1" outlineLevel="2" x14ac:dyDescent="0.25">
      <c r="A28" s="25"/>
      <c r="B28" s="12" t="str">
        <f>CONCATENATE("          ","6114"," - ","STATE UNEMPLOYMENT INSURANCE")</f>
        <v xml:space="preserve">          6114 - STATE UNEMPLOYMENT INSURANCE</v>
      </c>
      <c r="C28" s="12"/>
      <c r="D28" s="7">
        <v>335.44</v>
      </c>
      <c r="E28" s="3"/>
      <c r="F28" s="8">
        <f t="shared" si="0"/>
        <v>9.8813475337150439E-4</v>
      </c>
      <c r="G28" s="3"/>
      <c r="H28" s="7">
        <v>192.38</v>
      </c>
      <c r="I28" s="3"/>
      <c r="J28" s="8">
        <f t="shared" si="1"/>
        <v>3.8010823541499133E-3</v>
      </c>
      <c r="K28" s="3"/>
      <c r="L28" s="7">
        <f t="shared" si="2"/>
        <v>143.06</v>
      </c>
      <c r="M28" s="3"/>
      <c r="N28" s="8">
        <f t="shared" si="3"/>
        <v>0.74363239421977334</v>
      </c>
      <c r="O28" s="12"/>
      <c r="P28" s="7">
        <v>2565.27</v>
      </c>
      <c r="Q28" s="3"/>
      <c r="R28" s="8">
        <f t="shared" si="4"/>
        <v>4.4953856096115327E-4</v>
      </c>
      <c r="S28" s="3"/>
      <c r="T28" s="7">
        <v>1738.62</v>
      </c>
      <c r="U28" s="3"/>
      <c r="V28" s="8">
        <f t="shared" si="5"/>
        <v>1.7954905842235672E-3</v>
      </c>
      <c r="W28" s="3"/>
      <c r="X28" s="7">
        <f t="shared" si="6"/>
        <v>826.65000000000009</v>
      </c>
      <c r="Y28" s="3"/>
      <c r="Z28" s="8">
        <f t="shared" si="7"/>
        <v>0.47546329847810342</v>
      </c>
    </row>
    <row r="29" spans="1:26" s="69" customFormat="1" ht="15" hidden="1" customHeight="1" outlineLevel="2" x14ac:dyDescent="0.25">
      <c r="A29" s="25"/>
      <c r="B29" s="12" t="str">
        <f>CONCATENATE("          ","6115"," - ","P.E.R.S.")</f>
        <v xml:space="preserve">          6115 - P.E.R.S.</v>
      </c>
      <c r="C29" s="12"/>
      <c r="D29" s="7">
        <v>1163.51</v>
      </c>
      <c r="E29" s="3"/>
      <c r="F29" s="8">
        <f t="shared" si="0"/>
        <v>3.427452500880274E-3</v>
      </c>
      <c r="G29" s="3"/>
      <c r="H29" s="7">
        <v>1457.53</v>
      </c>
      <c r="I29" s="3"/>
      <c r="J29" s="8">
        <f t="shared" si="1"/>
        <v>2.8798168019774004E-2</v>
      </c>
      <c r="K29" s="3"/>
      <c r="L29" s="7">
        <f t="shared" si="2"/>
        <v>-294.02</v>
      </c>
      <c r="M29" s="3"/>
      <c r="N29" s="8">
        <f t="shared" si="3"/>
        <v>-0.20172483585243528</v>
      </c>
      <c r="O29" s="12"/>
      <c r="P29" s="7">
        <v>15589.36</v>
      </c>
      <c r="Q29" s="3"/>
      <c r="R29" s="8">
        <f t="shared" si="4"/>
        <v>2.7318833731752854E-3</v>
      </c>
      <c r="S29" s="3"/>
      <c r="T29" s="7">
        <v>17556.59</v>
      </c>
      <c r="U29" s="3"/>
      <c r="V29" s="8">
        <f t="shared" si="5"/>
        <v>1.8130869330890961E-2</v>
      </c>
      <c r="W29" s="3"/>
      <c r="X29" s="7">
        <f t="shared" si="6"/>
        <v>-1967.2299999999996</v>
      </c>
      <c r="Y29" s="3"/>
      <c r="Z29" s="8">
        <f t="shared" si="7"/>
        <v>-0.11205080257612667</v>
      </c>
    </row>
    <row r="30" spans="1:26" s="69" customFormat="1" ht="15" hidden="1" customHeight="1" outlineLevel="2" x14ac:dyDescent="0.25">
      <c r="A30" s="25"/>
      <c r="B30" s="12" t="str">
        <f>CONCATENATE("          ","6117"," - ","RETIREMENT STAFF HOURLY")</f>
        <v xml:space="preserve">          6117 - RETIREMENT STAFF HOURLY</v>
      </c>
      <c r="C30" s="12"/>
      <c r="D30" s="7">
        <v>569.49</v>
      </c>
      <c r="E30" s="3"/>
      <c r="F30" s="8">
        <f t="shared" si="0"/>
        <v>1.6775961742712202E-3</v>
      </c>
      <c r="G30" s="3"/>
      <c r="H30" s="7">
        <v>559.57000000000005</v>
      </c>
      <c r="I30" s="3"/>
      <c r="J30" s="8">
        <f t="shared" si="1"/>
        <v>1.1056095503231455E-2</v>
      </c>
      <c r="K30" s="3"/>
      <c r="L30" s="7">
        <f t="shared" si="2"/>
        <v>9.9199999999999591</v>
      </c>
      <c r="M30" s="3"/>
      <c r="N30" s="8">
        <f t="shared" si="3"/>
        <v>1.7727898207552151E-2</v>
      </c>
      <c r="O30" s="12"/>
      <c r="P30" s="7">
        <v>5712.2</v>
      </c>
      <c r="Q30" s="3"/>
      <c r="R30" s="8">
        <f t="shared" si="4"/>
        <v>1.0010073668355766E-3</v>
      </c>
      <c r="S30" s="3"/>
      <c r="T30" s="7">
        <v>6027.67</v>
      </c>
      <c r="U30" s="3"/>
      <c r="V30" s="8">
        <f t="shared" si="5"/>
        <v>6.2248362090663112E-3</v>
      </c>
      <c r="W30" s="3"/>
      <c r="X30" s="7">
        <f t="shared" si="6"/>
        <v>-315.47000000000025</v>
      </c>
      <c r="Y30" s="3"/>
      <c r="Z30" s="8">
        <f t="shared" si="7"/>
        <v>-5.2336972661078035E-2</v>
      </c>
    </row>
    <row r="31" spans="1:26" s="69" customFormat="1" ht="15" hidden="1" customHeight="1" outlineLevel="2" x14ac:dyDescent="0.25">
      <c r="A31" s="25"/>
      <c r="B31" s="12" t="str">
        <f>CONCATENATE("          ","6118"," - ","VACATION")</f>
        <v xml:space="preserve">          6118 - VACATION</v>
      </c>
      <c r="C31" s="12"/>
      <c r="D31" s="7">
        <v>2400.62</v>
      </c>
      <c r="E31" s="3"/>
      <c r="F31" s="8">
        <f t="shared" si="0"/>
        <v>7.0717149166429193E-3</v>
      </c>
      <c r="G31" s="3"/>
      <c r="H31" s="7">
        <v>2340.3200000000002</v>
      </c>
      <c r="I31" s="3"/>
      <c r="J31" s="8">
        <f t="shared" si="1"/>
        <v>4.6240508655079143E-2</v>
      </c>
      <c r="K31" s="3"/>
      <c r="L31" s="7">
        <f t="shared" si="2"/>
        <v>60.299999999999727</v>
      </c>
      <c r="M31" s="3"/>
      <c r="N31" s="8">
        <f t="shared" si="3"/>
        <v>2.5765707253708775E-2</v>
      </c>
      <c r="O31" s="12"/>
      <c r="P31" s="7">
        <v>30871.279999999999</v>
      </c>
      <c r="Q31" s="3"/>
      <c r="R31" s="8">
        <f t="shared" si="4"/>
        <v>5.4098908833100732E-3</v>
      </c>
      <c r="S31" s="3"/>
      <c r="T31" s="7">
        <v>30104.58</v>
      </c>
      <c r="U31" s="3"/>
      <c r="V31" s="8">
        <f t="shared" si="5"/>
        <v>3.1089306422337901E-2</v>
      </c>
      <c r="W31" s="3"/>
      <c r="X31" s="7">
        <f t="shared" si="6"/>
        <v>766.69999999999709</v>
      </c>
      <c r="Y31" s="3"/>
      <c r="Z31" s="8">
        <f t="shared" si="7"/>
        <v>2.5467885617404297E-2</v>
      </c>
    </row>
    <row r="32" spans="1:26" s="69" customFormat="1" ht="15" hidden="1" customHeight="1" outlineLevel="2" x14ac:dyDescent="0.25">
      <c r="A32" s="25"/>
      <c r="B32" s="12" t="str">
        <f>CONCATENATE("          ","6119"," - ","SICK LEAVE")</f>
        <v xml:space="preserve">          6119 - SICK LEAVE</v>
      </c>
      <c r="C32" s="12"/>
      <c r="D32" s="7">
        <v>1790.48</v>
      </c>
      <c r="E32" s="3"/>
      <c r="F32" s="8">
        <f t="shared" si="0"/>
        <v>5.2743725054156072E-3</v>
      </c>
      <c r="G32" s="3"/>
      <c r="H32" s="7">
        <v>1500.08</v>
      </c>
      <c r="I32" s="3"/>
      <c r="J32" s="8">
        <f t="shared" si="1"/>
        <v>2.9638879393976515E-2</v>
      </c>
      <c r="K32" s="3"/>
      <c r="L32" s="7">
        <f t="shared" si="2"/>
        <v>290.40000000000009</v>
      </c>
      <c r="M32" s="3"/>
      <c r="N32" s="8">
        <f t="shared" si="3"/>
        <v>0.19358967521732182</v>
      </c>
      <c r="O32" s="12"/>
      <c r="P32" s="7">
        <v>21753.62</v>
      </c>
      <c r="Q32" s="3"/>
      <c r="R32" s="8">
        <f t="shared" si="4"/>
        <v>3.8121098482794256E-3</v>
      </c>
      <c r="S32" s="3"/>
      <c r="T32" s="7">
        <v>18915.330000000002</v>
      </c>
      <c r="U32" s="3"/>
      <c r="V32" s="8">
        <f t="shared" si="5"/>
        <v>1.9534053969516959E-2</v>
      </c>
      <c r="W32" s="3"/>
      <c r="X32" s="7">
        <f t="shared" si="6"/>
        <v>2838.2899999999972</v>
      </c>
      <c r="Y32" s="3"/>
      <c r="Z32" s="8">
        <f t="shared" si="7"/>
        <v>0.15005236493362775</v>
      </c>
    </row>
    <row r="33" spans="1:26" s="69" customFormat="1" ht="15" hidden="1" customHeight="1" outlineLevel="2" x14ac:dyDescent="0.25">
      <c r="A33" s="25"/>
      <c r="B33" s="12" t="str">
        <f>CONCATENATE("          ","6156"," - ","EMPLOYEE MEALS")</f>
        <v xml:space="preserve">          6156 - EMPLOYEE MEALS</v>
      </c>
      <c r="C33" s="12"/>
      <c r="D33" s="7">
        <v>1101.28</v>
      </c>
      <c r="E33" s="3"/>
      <c r="F33" s="8">
        <f t="shared" si="0"/>
        <v>3.2441361829029644E-3</v>
      </c>
      <c r="G33" s="3"/>
      <c r="H33" s="7">
        <v>296.38</v>
      </c>
      <c r="I33" s="3"/>
      <c r="J33" s="8">
        <f t="shared" si="1"/>
        <v>5.855935066654285E-3</v>
      </c>
      <c r="K33" s="3"/>
      <c r="L33" s="7">
        <f t="shared" si="2"/>
        <v>804.9</v>
      </c>
      <c r="M33" s="3"/>
      <c r="N33" s="8">
        <f t="shared" si="3"/>
        <v>2.7157702948916929</v>
      </c>
      <c r="O33" s="12"/>
      <c r="P33" s="7">
        <v>10630.15</v>
      </c>
      <c r="Q33" s="3"/>
      <c r="R33" s="8">
        <f t="shared" si="4"/>
        <v>1.8628301636089781E-3</v>
      </c>
      <c r="S33" s="3"/>
      <c r="T33" s="7">
        <v>8289.23</v>
      </c>
      <c r="U33" s="3"/>
      <c r="V33" s="8">
        <f t="shared" si="5"/>
        <v>8.560372258149292E-3</v>
      </c>
      <c r="W33" s="3"/>
      <c r="X33" s="7">
        <f t="shared" si="6"/>
        <v>2340.92</v>
      </c>
      <c r="Y33" s="3"/>
      <c r="Z33" s="8">
        <f t="shared" si="7"/>
        <v>0.28240500022318121</v>
      </c>
    </row>
    <row r="34" spans="1:26" s="68" customFormat="1" ht="15" customHeight="1" outlineLevel="1" collapsed="1" x14ac:dyDescent="0.25">
      <c r="A34" s="26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70355.920000000013</v>
      </c>
      <c r="E34" s="2"/>
      <c r="F34" s="6">
        <f t="shared" si="0"/>
        <v>0.20725354655802919</v>
      </c>
      <c r="G34" s="2"/>
      <c r="H34" s="2">
        <f>SUM(OSRRefH22_1x_0)</f>
        <v>41921.839999999997</v>
      </c>
      <c r="I34" s="2"/>
      <c r="J34" s="6">
        <f t="shared" si="1"/>
        <v>0.82830006381898313</v>
      </c>
      <c r="K34" s="2"/>
      <c r="L34" s="2">
        <f t="shared" si="2"/>
        <v>28434.080000000016</v>
      </c>
      <c r="M34" s="2"/>
      <c r="N34" s="6">
        <f t="shared" si="3"/>
        <v>0.6782641219946457</v>
      </c>
      <c r="O34" s="14"/>
      <c r="P34" s="2">
        <f>SUM(OSRRefP22_1x_0)</f>
        <v>1018892.0800000001</v>
      </c>
      <c r="Q34" s="2"/>
      <c r="R34" s="6">
        <f t="shared" si="4"/>
        <v>0.17855090474605648</v>
      </c>
      <c r="S34" s="2"/>
      <c r="T34" s="2">
        <f>SUM(OSRRefT22_1x_0)</f>
        <v>589643.54999999993</v>
      </c>
      <c r="U34" s="2"/>
      <c r="V34" s="6">
        <f t="shared" si="5"/>
        <v>0.60893090041133668</v>
      </c>
      <c r="W34" s="2"/>
      <c r="X34" s="2">
        <f t="shared" si="6"/>
        <v>429248.53000000014</v>
      </c>
      <c r="Y34" s="2"/>
      <c r="Z34" s="6">
        <f t="shared" si="7"/>
        <v>0.72797969213773339</v>
      </c>
    </row>
    <row r="35" spans="1:26" s="69" customFormat="1" ht="15" hidden="1" customHeight="1" outlineLevel="2" x14ac:dyDescent="0.25">
      <c r="A35" s="25"/>
      <c r="B35" s="12" t="str">
        <f>CONCATENATE("          ","6002"," - ","STAFF SALARIES")</f>
        <v xml:space="preserve">          6002 - STAFF SALARIES</v>
      </c>
      <c r="C35" s="12"/>
      <c r="D35" s="7">
        <v>11102.3</v>
      </c>
      <c r="E35" s="3"/>
      <c r="F35" s="8">
        <f t="shared" si="0"/>
        <v>3.270500975541514E-2</v>
      </c>
      <c r="G35" s="3"/>
      <c r="H35" s="7">
        <v>14341.53</v>
      </c>
      <c r="I35" s="3"/>
      <c r="J35" s="8">
        <f t="shared" si="1"/>
        <v>0.28336280598041175</v>
      </c>
      <c r="K35" s="3"/>
      <c r="L35" s="7">
        <f t="shared" si="2"/>
        <v>-3239.2300000000014</v>
      </c>
      <c r="M35" s="3"/>
      <c r="N35" s="8">
        <f t="shared" si="3"/>
        <v>-0.22586362821818881</v>
      </c>
      <c r="O35" s="12"/>
      <c r="P35" s="7">
        <v>163261.14000000001</v>
      </c>
      <c r="Q35" s="3"/>
      <c r="R35" s="8">
        <f t="shared" si="4"/>
        <v>2.8609923297148988E-2</v>
      </c>
      <c r="S35" s="3"/>
      <c r="T35" s="7">
        <v>168846.79</v>
      </c>
      <c r="U35" s="3"/>
      <c r="V35" s="8">
        <f t="shared" si="5"/>
        <v>0.17436979996858085</v>
      </c>
      <c r="W35" s="3"/>
      <c r="X35" s="7">
        <f t="shared" si="6"/>
        <v>-5585.6499999999942</v>
      </c>
      <c r="Y35" s="3"/>
      <c r="Z35" s="8">
        <f t="shared" si="7"/>
        <v>-3.3081173767058256E-2</v>
      </c>
    </row>
    <row r="36" spans="1:26" s="69" customFormat="1" ht="15" hidden="1" customHeight="1" outlineLevel="2" x14ac:dyDescent="0.25">
      <c r="A36" s="25"/>
      <c r="B36" s="12" t="str">
        <f>CONCATENATE("          ","6004"," - ","STAFF HOURLY")</f>
        <v xml:space="preserve">          6004 - STAFF HOURLY</v>
      </c>
      <c r="C36" s="12"/>
      <c r="D36" s="7">
        <v>27584.99</v>
      </c>
      <c r="E36" s="3"/>
      <c r="F36" s="8">
        <f t="shared" si="0"/>
        <v>8.1259501819715654E-2</v>
      </c>
      <c r="G36" s="3"/>
      <c r="H36" s="7">
        <v>15665.42</v>
      </c>
      <c r="I36" s="3"/>
      <c r="J36" s="8">
        <f t="shared" si="1"/>
        <v>0.30952048826461759</v>
      </c>
      <c r="K36" s="3"/>
      <c r="L36" s="7">
        <f t="shared" si="2"/>
        <v>11919.570000000002</v>
      </c>
      <c r="M36" s="3"/>
      <c r="N36" s="8">
        <f t="shared" si="3"/>
        <v>0.76088416397389924</v>
      </c>
      <c r="O36" s="12"/>
      <c r="P36" s="7">
        <v>317254.34000000003</v>
      </c>
      <c r="Q36" s="3"/>
      <c r="R36" s="8">
        <f t="shared" si="4"/>
        <v>5.5595730454213572E-2</v>
      </c>
      <c r="S36" s="3"/>
      <c r="T36" s="7">
        <v>184635.81</v>
      </c>
      <c r="U36" s="3"/>
      <c r="V36" s="8">
        <f t="shared" si="5"/>
        <v>0.19067528175535287</v>
      </c>
      <c r="W36" s="3"/>
      <c r="X36" s="7">
        <f t="shared" si="6"/>
        <v>132618.53000000003</v>
      </c>
      <c r="Y36" s="3"/>
      <c r="Z36" s="8">
        <f t="shared" si="7"/>
        <v>0.71827090313628772</v>
      </c>
    </row>
    <row r="37" spans="1:26" s="69" customFormat="1" ht="15" hidden="1" customHeight="1" outlineLevel="2" x14ac:dyDescent="0.25">
      <c r="A37" s="25"/>
      <c r="B37" s="12" t="str">
        <f>CONCATENATE("          ","6005"," - ","TEMPORARY WAGES-HOURLY")</f>
        <v xml:space="preserve">          6005 - TEMPORARY WAGES-HOURLY</v>
      </c>
      <c r="C37" s="12"/>
      <c r="D37" s="7">
        <v>5999.01</v>
      </c>
      <c r="E37" s="3"/>
      <c r="F37" s="8">
        <f t="shared" si="0"/>
        <v>1.7671804992914351E-2</v>
      </c>
      <c r="G37" s="3"/>
      <c r="H37" s="7">
        <v>6092.92</v>
      </c>
      <c r="I37" s="3"/>
      <c r="J37" s="8">
        <f t="shared" si="1"/>
        <v>0.1203851268180013</v>
      </c>
      <c r="K37" s="3"/>
      <c r="L37" s="7">
        <f t="shared" si="2"/>
        <v>-93.909999999999854</v>
      </c>
      <c r="M37" s="3"/>
      <c r="N37" s="8">
        <f t="shared" si="3"/>
        <v>-1.5412971120579272E-2</v>
      </c>
      <c r="O37" s="12"/>
      <c r="P37" s="7">
        <v>177793.29</v>
      </c>
      <c r="Q37" s="3"/>
      <c r="R37" s="8">
        <f t="shared" si="4"/>
        <v>3.1156540923625586E-2</v>
      </c>
      <c r="S37" s="3"/>
      <c r="T37" s="7">
        <v>106066.99</v>
      </c>
      <c r="U37" s="3"/>
      <c r="V37" s="8">
        <f t="shared" si="5"/>
        <v>0.10953646101041935</v>
      </c>
      <c r="W37" s="3"/>
      <c r="X37" s="7">
        <f t="shared" si="6"/>
        <v>71726.3</v>
      </c>
      <c r="Y37" s="3"/>
      <c r="Z37" s="8">
        <f t="shared" si="7"/>
        <v>0.67623583925592679</v>
      </c>
    </row>
    <row r="38" spans="1:26" s="69" customFormat="1" ht="15" hidden="1" customHeight="1" outlineLevel="2" x14ac:dyDescent="0.25">
      <c r="A38" s="25"/>
      <c r="B38" s="12" t="str">
        <f>CONCATENATE("          ","6006"," - ","TEMPORARY PART TIME")</f>
        <v xml:space="preserve">          6006 - TEMPORARY PART TIME</v>
      </c>
      <c r="C38" s="12"/>
      <c r="D38" s="7">
        <v>788.8</v>
      </c>
      <c r="E38" s="3"/>
      <c r="F38" s="8">
        <f t="shared" si="0"/>
        <v>2.3236366964567217E-3</v>
      </c>
      <c r="G38" s="3"/>
      <c r="H38" s="7">
        <v>252.7</v>
      </c>
      <c r="I38" s="3"/>
      <c r="J38" s="8">
        <f t="shared" si="1"/>
        <v>4.9928969274024484E-3</v>
      </c>
      <c r="K38" s="3"/>
      <c r="L38" s="7">
        <f t="shared" si="2"/>
        <v>536.09999999999991</v>
      </c>
      <c r="M38" s="3"/>
      <c r="N38" s="8">
        <f t="shared" si="3"/>
        <v>2.1214879303521958</v>
      </c>
      <c r="O38" s="12"/>
      <c r="P38" s="7">
        <v>4022.72</v>
      </c>
      <c r="Q38" s="3"/>
      <c r="R38" s="8">
        <f t="shared" si="4"/>
        <v>7.049424660755594E-4</v>
      </c>
      <c r="S38" s="3"/>
      <c r="T38" s="7">
        <v>2427.2199999999998</v>
      </c>
      <c r="U38" s="3"/>
      <c r="V38" s="8">
        <f t="shared" si="5"/>
        <v>2.5066148185567444E-3</v>
      </c>
      <c r="W38" s="3"/>
      <c r="X38" s="7">
        <f t="shared" si="6"/>
        <v>1595.5</v>
      </c>
      <c r="Y38" s="3"/>
      <c r="Z38" s="8">
        <f t="shared" si="7"/>
        <v>0.65733637659544675</v>
      </c>
    </row>
    <row r="39" spans="1:26" s="69" customFormat="1" ht="15" hidden="1" customHeight="1" outlineLevel="2" x14ac:dyDescent="0.25">
      <c r="A39" s="25"/>
      <c r="B39" s="12" t="str">
        <f>CONCATENATE("          ","6007"," - ","STUDENT HOURLY")</f>
        <v xml:space="preserve">          6007 - STUDENT HOURLY</v>
      </c>
      <c r="C39" s="12"/>
      <c r="D39" s="7">
        <v>16229.27</v>
      </c>
      <c r="E39" s="3"/>
      <c r="F39" s="8">
        <f t="shared" si="0"/>
        <v>4.7807970751399823E-2</v>
      </c>
      <c r="G39" s="3"/>
      <c r="H39" s="7">
        <v>5569.27</v>
      </c>
      <c r="I39" s="3"/>
      <c r="J39" s="8">
        <f t="shared" si="1"/>
        <v>0.11003874582855021</v>
      </c>
      <c r="K39" s="3"/>
      <c r="L39" s="7">
        <f t="shared" si="2"/>
        <v>10660</v>
      </c>
      <c r="M39" s="3"/>
      <c r="N39" s="8">
        <f t="shared" si="3"/>
        <v>1.9140749146656562</v>
      </c>
      <c r="O39" s="12"/>
      <c r="P39" s="7">
        <v>247798.41</v>
      </c>
      <c r="Q39" s="3"/>
      <c r="R39" s="8">
        <f t="shared" si="4"/>
        <v>4.3424255785886809E-2</v>
      </c>
      <c r="S39" s="3"/>
      <c r="T39" s="7">
        <v>117035.86</v>
      </c>
      <c r="U39" s="3"/>
      <c r="V39" s="8">
        <f t="shared" si="5"/>
        <v>0.12086412479236845</v>
      </c>
      <c r="W39" s="3"/>
      <c r="X39" s="7">
        <f t="shared" si="6"/>
        <v>130762.55</v>
      </c>
      <c r="Y39" s="3"/>
      <c r="Z39" s="8">
        <f t="shared" si="7"/>
        <v>1.1172861890364201</v>
      </c>
    </row>
    <row r="40" spans="1:26" s="69" customFormat="1" ht="15" hidden="1" customHeight="1" outlineLevel="2" x14ac:dyDescent="0.25">
      <c r="A40" s="25"/>
      <c r="B40" s="12" t="str">
        <f>CONCATENATE("          ","6008"," - ","STUDENT HOURLY-FICA EXEMPT")</f>
        <v xml:space="preserve">          6008 - STUDENT HOURLY-FICA EXEMPT</v>
      </c>
      <c r="C40" s="12"/>
      <c r="D40" s="7">
        <v>8651.5499999999993</v>
      </c>
      <c r="E40" s="3"/>
      <c r="F40" s="8">
        <f t="shared" si="0"/>
        <v>2.5485622542127471E-2</v>
      </c>
      <c r="G40" s="3"/>
      <c r="H40" s="7"/>
      <c r="I40" s="3"/>
      <c r="J40" s="8">
        <f t="shared" si="1"/>
        <v>0</v>
      </c>
      <c r="K40" s="3"/>
      <c r="L40" s="7">
        <f t="shared" si="2"/>
        <v>8651.5499999999993</v>
      </c>
      <c r="M40" s="3"/>
      <c r="N40" s="8">
        <f t="shared" si="3"/>
        <v>0</v>
      </c>
      <c r="O40" s="12"/>
      <c r="P40" s="7">
        <v>108762.18</v>
      </c>
      <c r="Q40" s="3"/>
      <c r="R40" s="8">
        <f t="shared" si="4"/>
        <v>1.9059511819105951E-2</v>
      </c>
      <c r="S40" s="3"/>
      <c r="T40" s="7">
        <v>10630.88</v>
      </c>
      <c r="U40" s="3"/>
      <c r="V40" s="8">
        <f t="shared" si="5"/>
        <v>1.0978618066058505E-2</v>
      </c>
      <c r="W40" s="3"/>
      <c r="X40" s="7">
        <f t="shared" si="6"/>
        <v>98131.299999999988</v>
      </c>
      <c r="Y40" s="3"/>
      <c r="Z40" s="8">
        <f t="shared" si="7"/>
        <v>9.2307786373282354</v>
      </c>
    </row>
    <row r="41" spans="1:26" s="68" customFormat="1" ht="15" customHeight="1" outlineLevel="1" collapsed="1" x14ac:dyDescent="0.25">
      <c r="A41" s="26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452.08</v>
      </c>
      <c r="E41" s="2"/>
      <c r="F41" s="6">
        <f t="shared" si="0"/>
        <v>1.3317313358698717E-3</v>
      </c>
      <c r="G41" s="2"/>
      <c r="H41" s="2">
        <f>SUM(OSRRefH22_2x_0)</f>
        <v>0</v>
      </c>
      <c r="I41" s="2"/>
      <c r="J41" s="6">
        <f t="shared" si="1"/>
        <v>0</v>
      </c>
      <c r="K41" s="2"/>
      <c r="L41" s="2">
        <f t="shared" si="2"/>
        <v>452.08</v>
      </c>
      <c r="M41" s="2"/>
      <c r="N41" s="6">
        <f t="shared" si="3"/>
        <v>0</v>
      </c>
      <c r="O41" s="14"/>
      <c r="P41" s="2">
        <f>SUM(OSRRefP22_2x_0)</f>
        <v>1538.89</v>
      </c>
      <c r="Q41" s="2"/>
      <c r="R41" s="6">
        <f t="shared" si="4"/>
        <v>2.6967547122817842E-4</v>
      </c>
      <c r="S41" s="2"/>
      <c r="T41" s="2">
        <f>SUM(OSRRefT22_2x_0)</f>
        <v>1363.18</v>
      </c>
      <c r="U41" s="2"/>
      <c r="V41" s="6">
        <f t="shared" si="5"/>
        <v>1.4077698718534715E-3</v>
      </c>
      <c r="W41" s="2"/>
      <c r="X41" s="2">
        <f t="shared" si="6"/>
        <v>175.71000000000004</v>
      </c>
      <c r="Y41" s="2"/>
      <c r="Z41" s="6">
        <f t="shared" si="7"/>
        <v>0.12889713757537524</v>
      </c>
    </row>
    <row r="42" spans="1:26" s="69" customFormat="1" ht="15" hidden="1" customHeight="1" outlineLevel="2" x14ac:dyDescent="0.25">
      <c r="A42" s="25"/>
      <c r="B42" s="12" t="str">
        <f>CONCATENATE("          ","6362"," - ","ADVERTISING EXPENSE")</f>
        <v xml:space="preserve">          6362 - ADVERTISING EXPENSE</v>
      </c>
      <c r="C42" s="12"/>
      <c r="D42" s="7">
        <v>452.08</v>
      </c>
      <c r="E42" s="3"/>
      <c r="F42" s="8">
        <f t="shared" si="0"/>
        <v>1.3317313358698717E-3</v>
      </c>
      <c r="G42" s="3"/>
      <c r="H42" s="7"/>
      <c r="I42" s="3"/>
      <c r="J42" s="8">
        <f t="shared" si="1"/>
        <v>0</v>
      </c>
      <c r="K42" s="3"/>
      <c r="L42" s="7">
        <f t="shared" si="2"/>
        <v>452.08</v>
      </c>
      <c r="M42" s="3"/>
      <c r="N42" s="8">
        <f t="shared" si="3"/>
        <v>0</v>
      </c>
      <c r="O42" s="12"/>
      <c r="P42" s="7">
        <v>1538.89</v>
      </c>
      <c r="Q42" s="3"/>
      <c r="R42" s="8">
        <f t="shared" si="4"/>
        <v>2.6967547122817842E-4</v>
      </c>
      <c r="S42" s="3"/>
      <c r="T42" s="7">
        <v>1363.18</v>
      </c>
      <c r="U42" s="3"/>
      <c r="V42" s="8">
        <f t="shared" si="5"/>
        <v>1.4077698718534715E-3</v>
      </c>
      <c r="W42" s="3"/>
      <c r="X42" s="7">
        <f t="shared" si="6"/>
        <v>175.71000000000004</v>
      </c>
      <c r="Y42" s="3"/>
      <c r="Z42" s="8">
        <f t="shared" si="7"/>
        <v>0.12889713757537524</v>
      </c>
    </row>
    <row r="43" spans="1:26" s="68" customFormat="1" ht="15" customHeight="1" outlineLevel="1" collapsed="1" x14ac:dyDescent="0.25">
      <c r="A43" s="26"/>
      <c r="B43" s="14" t="str">
        <f>CONCATENATE("     ","Bad Debts/Over/Short                              ")</f>
        <v xml:space="preserve">     Bad Debts/Over/Short                              </v>
      </c>
      <c r="C43" s="14"/>
      <c r="D43" s="2">
        <f>SUM(OSRRefD22_3x_0)</f>
        <v>0</v>
      </c>
      <c r="E43" s="2"/>
      <c r="F43" s="6">
        <f t="shared" si="0"/>
        <v>0</v>
      </c>
      <c r="G43" s="2"/>
      <c r="H43" s="2">
        <f>SUM(OSRRefH22_3x_0)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SUM(OSRRefP22_3x_0)</f>
        <v>0</v>
      </c>
      <c r="Q43" s="2"/>
      <c r="R43" s="6">
        <f t="shared" si="4"/>
        <v>0</v>
      </c>
      <c r="S43" s="2"/>
      <c r="T43" s="2">
        <f>SUM(OSRRefT22_3x_0)</f>
        <v>23.8</v>
      </c>
      <c r="U43" s="2"/>
      <c r="V43" s="6">
        <f t="shared" si="5"/>
        <v>2.4578502435564359E-5</v>
      </c>
      <c r="W43" s="2"/>
      <c r="X43" s="2">
        <f t="shared" si="6"/>
        <v>-23.8</v>
      </c>
      <c r="Y43" s="2"/>
      <c r="Z43" s="6">
        <f t="shared" si="7"/>
        <v>-1</v>
      </c>
    </row>
    <row r="44" spans="1:26" s="69" customFormat="1" ht="15" hidden="1" customHeight="1" outlineLevel="2" x14ac:dyDescent="0.25">
      <c r="A44" s="25"/>
      <c r="B44" s="12" t="str">
        <f>CONCATENATE("          ","6272"," - ","CASH (OVER/SHORT)")</f>
        <v xml:space="preserve">          6272 - CASH (OVER/SHORT)</v>
      </c>
      <c r="C44" s="12"/>
      <c r="D44" s="7"/>
      <c r="E44" s="3"/>
      <c r="F44" s="8">
        <f t="shared" si="0"/>
        <v>0</v>
      </c>
      <c r="G44" s="3"/>
      <c r="H44" s="7"/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0</v>
      </c>
      <c r="Q44" s="3"/>
      <c r="R44" s="8">
        <f t="shared" si="4"/>
        <v>0</v>
      </c>
      <c r="S44" s="3"/>
      <c r="T44" s="7">
        <v>23.8</v>
      </c>
      <c r="U44" s="3"/>
      <c r="V44" s="8">
        <f t="shared" si="5"/>
        <v>2.4578502435564359E-5</v>
      </c>
      <c r="W44" s="3"/>
      <c r="X44" s="7">
        <f t="shared" si="6"/>
        <v>-23.8</v>
      </c>
      <c r="Y44" s="3"/>
      <c r="Z44" s="8">
        <f t="shared" si="7"/>
        <v>-1</v>
      </c>
    </row>
    <row r="45" spans="1:26" s="68" customFormat="1" ht="15" customHeight="1" outlineLevel="1" collapsed="1" x14ac:dyDescent="0.25">
      <c r="A45" s="26"/>
      <c r="B45" s="14" t="str">
        <f>CONCATENATE("     ","Bank/card Fees                                    ")</f>
        <v xml:space="preserve">     Bank/card Fees                                    </v>
      </c>
      <c r="C45" s="14"/>
      <c r="D45" s="2">
        <f>SUM(OSRRefD22_4x_0)</f>
        <v>45.69</v>
      </c>
      <c r="E45" s="2"/>
      <c r="F45" s="6">
        <f t="shared" si="0"/>
        <v>1.3459300286651574E-4</v>
      </c>
      <c r="G45" s="2"/>
      <c r="H45" s="2">
        <f>SUM(OSRRefH22_4x_0)</f>
        <v>77.19</v>
      </c>
      <c r="I45" s="2"/>
      <c r="J45" s="6">
        <f t="shared" si="1"/>
        <v>1.5251353930597349E-3</v>
      </c>
      <c r="K45" s="2"/>
      <c r="L45" s="2">
        <f t="shared" si="2"/>
        <v>-31.5</v>
      </c>
      <c r="M45" s="2"/>
      <c r="N45" s="6">
        <f t="shared" si="3"/>
        <v>-0.4080839486980179</v>
      </c>
      <c r="O45" s="14"/>
      <c r="P45" s="2">
        <f>SUM(OSRRefP22_4x_0)</f>
        <v>610.96</v>
      </c>
      <c r="Q45" s="2"/>
      <c r="R45" s="6">
        <f t="shared" si="4"/>
        <v>1.0706478429359336E-4</v>
      </c>
      <c r="S45" s="2"/>
      <c r="T45" s="2">
        <f>SUM(OSRRefT22_4x_0)</f>
        <v>423.53</v>
      </c>
      <c r="U45" s="2"/>
      <c r="V45" s="6">
        <f t="shared" si="5"/>
        <v>4.3738374523254501E-4</v>
      </c>
      <c r="W45" s="2"/>
      <c r="X45" s="2">
        <f t="shared" si="6"/>
        <v>187.43000000000006</v>
      </c>
      <c r="Y45" s="2"/>
      <c r="Z45" s="6">
        <f t="shared" si="7"/>
        <v>0.44254244091327671</v>
      </c>
    </row>
    <row r="46" spans="1:26" s="69" customFormat="1" ht="15" hidden="1" customHeight="1" outlineLevel="2" x14ac:dyDescent="0.25">
      <c r="A46" s="25"/>
      <c r="B46" s="12" t="str">
        <f>CONCATENATE("          ","6381"," - ","BANK/CREDIT CARD FEES")</f>
        <v xml:space="preserve">          6381 - BANK/CREDIT CARD FEES</v>
      </c>
      <c r="C46" s="12"/>
      <c r="D46" s="7">
        <v>45.69</v>
      </c>
      <c r="E46" s="3"/>
      <c r="F46" s="8">
        <f t="shared" si="0"/>
        <v>1.3459300286651574E-4</v>
      </c>
      <c r="G46" s="3"/>
      <c r="H46" s="7">
        <v>77.19</v>
      </c>
      <c r="I46" s="3"/>
      <c r="J46" s="8">
        <f t="shared" si="1"/>
        <v>1.5251353930597349E-3</v>
      </c>
      <c r="K46" s="3"/>
      <c r="L46" s="7">
        <f t="shared" si="2"/>
        <v>-31.5</v>
      </c>
      <c r="M46" s="3"/>
      <c r="N46" s="8">
        <f t="shared" si="3"/>
        <v>-0.4080839486980179</v>
      </c>
      <c r="O46" s="12"/>
      <c r="P46" s="7">
        <v>610.96</v>
      </c>
      <c r="Q46" s="3"/>
      <c r="R46" s="8">
        <f t="shared" si="4"/>
        <v>1.0706478429359336E-4</v>
      </c>
      <c r="S46" s="3"/>
      <c r="T46" s="7">
        <v>423.53</v>
      </c>
      <c r="U46" s="3"/>
      <c r="V46" s="8">
        <f t="shared" si="5"/>
        <v>4.3738374523254501E-4</v>
      </c>
      <c r="W46" s="3"/>
      <c r="X46" s="7">
        <f t="shared" si="6"/>
        <v>187.43000000000006</v>
      </c>
      <c r="Y46" s="3"/>
      <c r="Z46" s="8">
        <f t="shared" si="7"/>
        <v>0.44254244091327671</v>
      </c>
    </row>
    <row r="47" spans="1:26" s="68" customFormat="1" ht="15" customHeight="1" outlineLevel="1" collapsed="1" x14ac:dyDescent="0.25">
      <c r="A47" s="26"/>
      <c r="B47" s="14" t="str">
        <f>CONCATENATE("     ","Depreciation                                      ")</f>
        <v xml:space="preserve">     Depreciation                                      </v>
      </c>
      <c r="C47" s="14"/>
      <c r="D47" s="2">
        <f>SUM(OSRRefD22_5x_0)</f>
        <v>273.51</v>
      </c>
      <c r="E47" s="2"/>
      <c r="F47" s="6">
        <f t="shared" si="0"/>
        <v>8.0570217146029154E-4</v>
      </c>
      <c r="G47" s="2"/>
      <c r="H47" s="2">
        <f>SUM(OSRRefH22_5x_0)</f>
        <v>272.74</v>
      </c>
      <c r="I47" s="2"/>
      <c r="J47" s="6">
        <f t="shared" si="1"/>
        <v>5.3888512385427143E-3</v>
      </c>
      <c r="K47" s="2"/>
      <c r="L47" s="2">
        <f t="shared" si="2"/>
        <v>0.76999999999998181</v>
      </c>
      <c r="M47" s="2"/>
      <c r="N47" s="6">
        <f t="shared" si="3"/>
        <v>2.8232015839260165E-3</v>
      </c>
      <c r="O47" s="14"/>
      <c r="P47" s="2">
        <f>SUM(OSRRefP22_5x_0)</f>
        <v>3008.61</v>
      </c>
      <c r="Q47" s="2"/>
      <c r="R47" s="6">
        <f t="shared" si="4"/>
        <v>5.2722957423325236E-4</v>
      </c>
      <c r="S47" s="2"/>
      <c r="T47" s="2">
        <f>SUM(OSRRefT22_5x_0)</f>
        <v>2735.92</v>
      </c>
      <c r="U47" s="2"/>
      <c r="V47" s="6">
        <f t="shared" si="5"/>
        <v>2.8254124530886233E-3</v>
      </c>
      <c r="W47" s="2"/>
      <c r="X47" s="2">
        <f t="shared" si="6"/>
        <v>272.69000000000005</v>
      </c>
      <c r="Y47" s="2"/>
      <c r="Z47" s="6">
        <f t="shared" si="7"/>
        <v>9.9670311997426847E-2</v>
      </c>
    </row>
    <row r="48" spans="1:26" s="69" customFormat="1" ht="15" hidden="1" customHeight="1" outlineLevel="2" x14ac:dyDescent="0.25">
      <c r="A48" s="25"/>
      <c r="B48" s="12" t="str">
        <f>CONCATENATE("          ","6322"," - ","EQUIPMENT DEPRECIATION EXPENSE")</f>
        <v xml:space="preserve">          6322 - EQUIPMENT DEPRECIATION EXPENSE</v>
      </c>
      <c r="C48" s="12"/>
      <c r="D48" s="7">
        <v>273.51</v>
      </c>
      <c r="E48" s="3"/>
      <c r="F48" s="8">
        <f t="shared" si="0"/>
        <v>8.0570217146029154E-4</v>
      </c>
      <c r="G48" s="3"/>
      <c r="H48" s="7">
        <v>272.74</v>
      </c>
      <c r="I48" s="3"/>
      <c r="J48" s="8">
        <f t="shared" si="1"/>
        <v>5.3888512385427143E-3</v>
      </c>
      <c r="K48" s="3"/>
      <c r="L48" s="7">
        <f t="shared" si="2"/>
        <v>0.76999999999998181</v>
      </c>
      <c r="M48" s="3"/>
      <c r="N48" s="8">
        <f t="shared" si="3"/>
        <v>2.8232015839260165E-3</v>
      </c>
      <c r="O48" s="12"/>
      <c r="P48" s="7">
        <v>3008.61</v>
      </c>
      <c r="Q48" s="3"/>
      <c r="R48" s="8">
        <f t="shared" si="4"/>
        <v>5.2722957423325236E-4</v>
      </c>
      <c r="S48" s="3"/>
      <c r="T48" s="7">
        <v>2735.92</v>
      </c>
      <c r="U48" s="3"/>
      <c r="V48" s="8">
        <f t="shared" si="5"/>
        <v>2.8254124530886233E-3</v>
      </c>
      <c r="W48" s="3"/>
      <c r="X48" s="7">
        <f t="shared" si="6"/>
        <v>272.69000000000005</v>
      </c>
      <c r="Y48" s="3"/>
      <c r="Z48" s="8">
        <f t="shared" si="7"/>
        <v>9.9670311997426847E-2</v>
      </c>
    </row>
    <row r="49" spans="1:26" s="68" customFormat="1" ht="15" customHeight="1" outlineLevel="1" collapsed="1" x14ac:dyDescent="0.25">
      <c r="A49" s="26"/>
      <c r="B49" s="14" t="str">
        <f>CONCATENATE("     ","Donations                                         ")</f>
        <v xml:space="preserve">     Donations                                         </v>
      </c>
      <c r="C49" s="14"/>
      <c r="D49" s="2">
        <f>SUM(OSRRefD22_6x_0)</f>
        <v>1198.31</v>
      </c>
      <c r="E49" s="2"/>
      <c r="F49" s="6">
        <f t="shared" si="0"/>
        <v>3.5299658845474825E-3</v>
      </c>
      <c r="G49" s="2"/>
      <c r="H49" s="2">
        <f>SUM(OSRRefH22_6x_0)</f>
        <v>3603.41</v>
      </c>
      <c r="I49" s="2"/>
      <c r="J49" s="6">
        <f t="shared" si="1"/>
        <v>7.1196892430436309E-2</v>
      </c>
      <c r="K49" s="2"/>
      <c r="L49" s="2">
        <f t="shared" si="2"/>
        <v>-2405.1</v>
      </c>
      <c r="M49" s="2"/>
      <c r="N49" s="6">
        <f t="shared" si="3"/>
        <v>-0.66745110881082081</v>
      </c>
      <c r="O49" s="14"/>
      <c r="P49" s="2">
        <f>SUM(OSRRefP22_6x_0)</f>
        <v>22921.86</v>
      </c>
      <c r="Q49" s="2"/>
      <c r="R49" s="6">
        <f t="shared" si="4"/>
        <v>4.0168325201452564E-3</v>
      </c>
      <c r="S49" s="2"/>
      <c r="T49" s="2">
        <f>SUM(OSRRefT22_6x_0)</f>
        <v>61909.05</v>
      </c>
      <c r="U49" s="2"/>
      <c r="V49" s="6">
        <f t="shared" si="5"/>
        <v>6.3934106563381332E-2</v>
      </c>
      <c r="W49" s="2"/>
      <c r="X49" s="2">
        <f t="shared" si="6"/>
        <v>-38987.19</v>
      </c>
      <c r="Y49" s="2"/>
      <c r="Z49" s="6">
        <f t="shared" si="7"/>
        <v>-0.62974944697100022</v>
      </c>
    </row>
    <row r="50" spans="1:26" s="69" customFormat="1" ht="15" hidden="1" customHeight="1" outlineLevel="2" x14ac:dyDescent="0.25">
      <c r="A50" s="25"/>
      <c r="B50" s="12" t="str">
        <f>CONCATENATE("          ","6399"," - ","DONATION-ON CAMPUS")</f>
        <v xml:space="preserve">          6399 - DONATION-ON CAMPUS</v>
      </c>
      <c r="C50" s="12"/>
      <c r="D50" s="7">
        <v>1198.31</v>
      </c>
      <c r="E50" s="3"/>
      <c r="F50" s="8">
        <f t="shared" si="0"/>
        <v>3.5299658845474825E-3</v>
      </c>
      <c r="G50" s="3"/>
      <c r="H50" s="7">
        <v>3603.41</v>
      </c>
      <c r="I50" s="3"/>
      <c r="J50" s="8">
        <f t="shared" si="1"/>
        <v>7.1196892430436309E-2</v>
      </c>
      <c r="K50" s="3"/>
      <c r="L50" s="7">
        <f t="shared" si="2"/>
        <v>-2405.1</v>
      </c>
      <c r="M50" s="3"/>
      <c r="N50" s="8">
        <f t="shared" si="3"/>
        <v>-0.66745110881082081</v>
      </c>
      <c r="O50" s="12"/>
      <c r="P50" s="7">
        <v>22921.86</v>
      </c>
      <c r="Q50" s="3"/>
      <c r="R50" s="8">
        <f t="shared" si="4"/>
        <v>4.0168325201452564E-3</v>
      </c>
      <c r="S50" s="3"/>
      <c r="T50" s="7">
        <v>61909.05</v>
      </c>
      <c r="U50" s="3"/>
      <c r="V50" s="8">
        <f t="shared" si="5"/>
        <v>6.3934106563381332E-2</v>
      </c>
      <c r="W50" s="3"/>
      <c r="X50" s="7">
        <f t="shared" si="6"/>
        <v>-38987.19</v>
      </c>
      <c r="Y50" s="3"/>
      <c r="Z50" s="8">
        <f t="shared" si="7"/>
        <v>-0.62974944697100022</v>
      </c>
    </row>
    <row r="51" spans="1:26" s="68" customFormat="1" ht="15" customHeight="1" outlineLevel="1" collapsed="1" x14ac:dyDescent="0.25">
      <c r="A51" s="26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SUM(OSRRefD22_7x_0)</f>
        <v>0</v>
      </c>
      <c r="E51" s="2"/>
      <c r="F51" s="6">
        <f t="shared" si="0"/>
        <v>0</v>
      </c>
      <c r="G51" s="2"/>
      <c r="H51" s="2">
        <f>SUM(OSRRefH22_7x_0)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SUM(OSRRefP22_7x_0)</f>
        <v>200.77</v>
      </c>
      <c r="Q51" s="2"/>
      <c r="R51" s="6">
        <f t="shared" si="4"/>
        <v>3.5182985371586907E-5</v>
      </c>
      <c r="S51" s="2"/>
      <c r="T51" s="2">
        <f>SUM(OSRRefT22_7x_0)</f>
        <v>0</v>
      </c>
      <c r="U51" s="2"/>
      <c r="V51" s="6">
        <f t="shared" si="5"/>
        <v>0</v>
      </c>
      <c r="W51" s="2"/>
      <c r="X51" s="2">
        <f t="shared" si="6"/>
        <v>200.77</v>
      </c>
      <c r="Y51" s="2"/>
      <c r="Z51" s="6">
        <f t="shared" si="7"/>
        <v>0</v>
      </c>
    </row>
    <row r="52" spans="1:26" s="69" customFormat="1" ht="15" hidden="1" customHeight="1" outlineLevel="2" x14ac:dyDescent="0.25">
      <c r="A52" s="25"/>
      <c r="B52" s="12" t="str">
        <f>CONCATENATE("          ","6277"," - ","EMPLOYEE APPRECIATION")</f>
        <v xml:space="preserve">          6277 - EMPLOYEE APPRECIATION</v>
      </c>
      <c r="C52" s="12"/>
      <c r="D52" s="7"/>
      <c r="E52" s="3"/>
      <c r="F52" s="8">
        <f t="shared" si="0"/>
        <v>0</v>
      </c>
      <c r="G52" s="3"/>
      <c r="H52" s="7"/>
      <c r="I52" s="3"/>
      <c r="J52" s="8">
        <f t="shared" si="1"/>
        <v>0</v>
      </c>
      <c r="K52" s="3"/>
      <c r="L52" s="7">
        <f t="shared" si="2"/>
        <v>0</v>
      </c>
      <c r="M52" s="3"/>
      <c r="N52" s="8">
        <f t="shared" si="3"/>
        <v>0</v>
      </c>
      <c r="O52" s="12"/>
      <c r="P52" s="7">
        <v>200.77</v>
      </c>
      <c r="Q52" s="3"/>
      <c r="R52" s="8">
        <f t="shared" si="4"/>
        <v>3.5182985371586907E-5</v>
      </c>
      <c r="S52" s="3"/>
      <c r="T52" s="7"/>
      <c r="U52" s="3"/>
      <c r="V52" s="8">
        <f t="shared" si="5"/>
        <v>0</v>
      </c>
      <c r="W52" s="3"/>
      <c r="X52" s="7">
        <f t="shared" si="6"/>
        <v>200.77</v>
      </c>
      <c r="Y52" s="3"/>
      <c r="Z52" s="8">
        <f t="shared" si="7"/>
        <v>0</v>
      </c>
    </row>
    <row r="53" spans="1:26" s="68" customFormat="1" ht="15" customHeight="1" outlineLevel="1" collapsed="1" x14ac:dyDescent="0.25">
      <c r="A53" s="26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SUM(OSRRefD22_8x_0)</f>
        <v>253.74</v>
      </c>
      <c r="E53" s="2"/>
      <c r="F53" s="6">
        <f t="shared" si="0"/>
        <v>7.4746396470452413E-4</v>
      </c>
      <c r="G53" s="2"/>
      <c r="H53" s="2">
        <f>SUM(OSRRefH22_8x_0)</f>
        <v>404.02</v>
      </c>
      <c r="I53" s="2"/>
      <c r="J53" s="6">
        <f t="shared" si="1"/>
        <v>7.982707624096308E-3</v>
      </c>
      <c r="K53" s="2"/>
      <c r="L53" s="2">
        <f t="shared" si="2"/>
        <v>-150.27999999999997</v>
      </c>
      <c r="M53" s="2"/>
      <c r="N53" s="6">
        <f t="shared" si="3"/>
        <v>-0.3719617840700955</v>
      </c>
      <c r="O53" s="14"/>
      <c r="P53" s="2">
        <f>SUM(OSRRefP22_8x_0)</f>
        <v>3624.48</v>
      </c>
      <c r="Q53" s="2"/>
      <c r="R53" s="6">
        <f t="shared" si="4"/>
        <v>6.3515478816361659E-4</v>
      </c>
      <c r="S53" s="2"/>
      <c r="T53" s="2">
        <f>SUM(OSRRefT22_8x_0)</f>
        <v>3574.85</v>
      </c>
      <c r="U53" s="2"/>
      <c r="V53" s="6">
        <f t="shared" si="5"/>
        <v>3.6917840097385394E-3</v>
      </c>
      <c r="W53" s="2"/>
      <c r="X53" s="2">
        <f t="shared" si="6"/>
        <v>49.630000000000109</v>
      </c>
      <c r="Y53" s="2"/>
      <c r="Z53" s="6">
        <f t="shared" si="7"/>
        <v>1.388309999020941E-2</v>
      </c>
    </row>
    <row r="54" spans="1:26" s="69" customFormat="1" ht="15" hidden="1" customHeight="1" outlineLevel="2" x14ac:dyDescent="0.25">
      <c r="A54" s="25"/>
      <c r="B54" s="12" t="str">
        <f>CONCATENATE("          ","6351"," - ","EQUIPMENT RENTAL")</f>
        <v xml:space="preserve">          6351 - EQUIPMENT RENTAL</v>
      </c>
      <c r="C54" s="12"/>
      <c r="D54" s="7">
        <v>253.74</v>
      </c>
      <c r="E54" s="3"/>
      <c r="F54" s="8">
        <f t="shared" si="0"/>
        <v>7.4746396470452413E-4</v>
      </c>
      <c r="G54" s="3"/>
      <c r="H54" s="7">
        <v>404.02</v>
      </c>
      <c r="I54" s="3"/>
      <c r="J54" s="8">
        <f t="shared" si="1"/>
        <v>7.982707624096308E-3</v>
      </c>
      <c r="K54" s="3"/>
      <c r="L54" s="7">
        <f t="shared" si="2"/>
        <v>-150.27999999999997</v>
      </c>
      <c r="M54" s="3"/>
      <c r="N54" s="8">
        <f t="shared" si="3"/>
        <v>-0.3719617840700955</v>
      </c>
      <c r="O54" s="12"/>
      <c r="P54" s="7">
        <v>3624.48</v>
      </c>
      <c r="Q54" s="3"/>
      <c r="R54" s="8">
        <f t="shared" si="4"/>
        <v>6.3515478816361659E-4</v>
      </c>
      <c r="S54" s="3"/>
      <c r="T54" s="7">
        <v>3574.85</v>
      </c>
      <c r="U54" s="3"/>
      <c r="V54" s="8">
        <f t="shared" si="5"/>
        <v>3.6917840097385394E-3</v>
      </c>
      <c r="W54" s="3"/>
      <c r="X54" s="7">
        <f t="shared" si="6"/>
        <v>49.630000000000109</v>
      </c>
      <c r="Y54" s="3"/>
      <c r="Z54" s="8">
        <f t="shared" si="7"/>
        <v>1.388309999020941E-2</v>
      </c>
    </row>
    <row r="55" spans="1:26" s="68" customFormat="1" ht="15" customHeight="1" outlineLevel="1" collapsed="1" x14ac:dyDescent="0.25">
      <c r="A55" s="26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SUM(OSRRefD22_9x_0)</f>
        <v>0</v>
      </c>
      <c r="E55" s="2"/>
      <c r="F55" s="6">
        <f t="shared" ref="F55:F83" si="8">IF(D$12=0,0,D55/D$12)</f>
        <v>0</v>
      </c>
      <c r="G55" s="2"/>
      <c r="H55" s="2">
        <f>SUM(OSRRefH22_9x_0)</f>
        <v>0</v>
      </c>
      <c r="I55" s="2"/>
      <c r="J55" s="6">
        <f t="shared" ref="J55:J83" si="9">IF(H$12=0,0,H55/H$12)</f>
        <v>0</v>
      </c>
      <c r="K55" s="2"/>
      <c r="L55" s="2">
        <f t="shared" ref="L55:L83" si="10">+D55-H55</f>
        <v>0</v>
      </c>
      <c r="M55" s="2"/>
      <c r="N55" s="6">
        <f t="shared" ref="N55:N83" si="11">IF(H55=0,0,L55/H55)</f>
        <v>0</v>
      </c>
      <c r="O55" s="14"/>
      <c r="P55" s="2">
        <f>SUM(OSRRefP22_9x_0)</f>
        <v>4060.62</v>
      </c>
      <c r="Q55" s="2"/>
      <c r="R55" s="6">
        <f t="shared" ref="R55:R83" si="12">IF(P$12=0,0,P55/P$12)</f>
        <v>7.1158407162212091E-4</v>
      </c>
      <c r="S55" s="2"/>
      <c r="T55" s="2">
        <f>SUM(OSRRefT22_9x_0)</f>
        <v>1888.78</v>
      </c>
      <c r="U55" s="2"/>
      <c r="V55" s="6">
        <f t="shared" ref="V55:V83" si="13">IF(T$12=0,0,T55/T$12)</f>
        <v>1.9505623458086238E-3</v>
      </c>
      <c r="W55" s="2"/>
      <c r="X55" s="2">
        <f t="shared" ref="X55:X83" si="14">+P55-T55</f>
        <v>2171.84</v>
      </c>
      <c r="Y55" s="2"/>
      <c r="Z55" s="6">
        <f t="shared" ref="Z55:Z83" si="15">IF(T55=0,0,X55/T55)</f>
        <v>1.1498639333326275</v>
      </c>
    </row>
    <row r="56" spans="1:26" s="69" customFormat="1" ht="15" hidden="1" customHeight="1" outlineLevel="2" x14ac:dyDescent="0.25">
      <c r="A56" s="25"/>
      <c r="B56" s="12" t="str">
        <f>CONCATENATE("          ","6279"," - ","GENERAL EXPENSE")</f>
        <v xml:space="preserve">          6279 - GENERAL EXPENSE</v>
      </c>
      <c r="C56" s="12"/>
      <c r="D56" s="7"/>
      <c r="E56" s="3"/>
      <c r="F56" s="8">
        <f t="shared" si="8"/>
        <v>0</v>
      </c>
      <c r="G56" s="3"/>
      <c r="H56" s="7"/>
      <c r="I56" s="3"/>
      <c r="J56" s="8">
        <f t="shared" si="9"/>
        <v>0</v>
      </c>
      <c r="K56" s="3"/>
      <c r="L56" s="7">
        <f t="shared" si="10"/>
        <v>0</v>
      </c>
      <c r="M56" s="3"/>
      <c r="N56" s="8">
        <f t="shared" si="11"/>
        <v>0</v>
      </c>
      <c r="O56" s="12"/>
      <c r="P56" s="7">
        <v>4060.62</v>
      </c>
      <c r="Q56" s="3"/>
      <c r="R56" s="8">
        <f t="shared" si="12"/>
        <v>7.1158407162212091E-4</v>
      </c>
      <c r="S56" s="3"/>
      <c r="T56" s="7">
        <v>1888.78</v>
      </c>
      <c r="U56" s="3"/>
      <c r="V56" s="8">
        <f t="shared" si="13"/>
        <v>1.9505623458086238E-3</v>
      </c>
      <c r="W56" s="3"/>
      <c r="X56" s="7">
        <f t="shared" si="14"/>
        <v>2171.84</v>
      </c>
      <c r="Y56" s="3"/>
      <c r="Z56" s="8">
        <f t="shared" si="15"/>
        <v>1.1498639333326275</v>
      </c>
    </row>
    <row r="57" spans="1:26" s="68" customFormat="1" ht="15" customHeight="1" outlineLevel="1" collapsed="1" x14ac:dyDescent="0.25">
      <c r="A57" s="26"/>
      <c r="B57" s="14" t="str">
        <f>CONCATENATE("     ","R/H Commissions                                   ")</f>
        <v xml:space="preserve">     R/H Commissions                                   </v>
      </c>
      <c r="C57" s="14"/>
      <c r="D57" s="2">
        <f>SUM(OSRRefD22_10x_0)</f>
        <v>27427.91</v>
      </c>
      <c r="E57" s="2"/>
      <c r="F57" s="6">
        <f t="shared" si="8"/>
        <v>8.0796777615507451E-2</v>
      </c>
      <c r="G57" s="2"/>
      <c r="H57" s="2">
        <f>SUM(OSRRefH22_10x_0)</f>
        <v>3760.68</v>
      </c>
      <c r="I57" s="2"/>
      <c r="J57" s="6">
        <f t="shared" si="9"/>
        <v>7.4304264412124413E-2</v>
      </c>
      <c r="K57" s="2"/>
      <c r="L57" s="2">
        <f t="shared" si="10"/>
        <v>23667.23</v>
      </c>
      <c r="M57" s="2"/>
      <c r="N57" s="6">
        <f t="shared" si="11"/>
        <v>6.293337906974271</v>
      </c>
      <c r="O57" s="14"/>
      <c r="P57" s="2">
        <f>SUM(OSRRefP22_10x_0)</f>
        <v>451062.64</v>
      </c>
      <c r="Q57" s="2"/>
      <c r="R57" s="6">
        <f t="shared" si="12"/>
        <v>7.9044330650940728E-2</v>
      </c>
      <c r="S57" s="2"/>
      <c r="T57" s="2">
        <f>SUM(OSRRefT22_10x_0)</f>
        <v>67501.119999999995</v>
      </c>
      <c r="U57" s="2"/>
      <c r="V57" s="6">
        <f t="shared" si="13"/>
        <v>6.9709094215265624E-2</v>
      </c>
      <c r="W57" s="2"/>
      <c r="X57" s="2">
        <f t="shared" si="14"/>
        <v>383561.52</v>
      </c>
      <c r="Y57" s="2"/>
      <c r="Z57" s="6">
        <f t="shared" si="15"/>
        <v>5.6822986048231501</v>
      </c>
    </row>
    <row r="58" spans="1:26" s="69" customFormat="1" ht="15" hidden="1" customHeight="1" outlineLevel="2" x14ac:dyDescent="0.25">
      <c r="A58" s="25"/>
      <c r="B58" s="12" t="str">
        <f>CONCATENATE("          ","6387"," - ","COMMISSION DUE HOUSING")</f>
        <v xml:space="preserve">          6387 - COMMISSION DUE HOUSING</v>
      </c>
      <c r="C58" s="12"/>
      <c r="D58" s="7">
        <v>27427.91</v>
      </c>
      <c r="E58" s="3"/>
      <c r="F58" s="8">
        <f t="shared" si="8"/>
        <v>8.0796777615507451E-2</v>
      </c>
      <c r="G58" s="3"/>
      <c r="H58" s="7">
        <v>3760.68</v>
      </c>
      <c r="I58" s="3"/>
      <c r="J58" s="8">
        <f t="shared" si="9"/>
        <v>7.4304264412124413E-2</v>
      </c>
      <c r="K58" s="3"/>
      <c r="L58" s="7">
        <f t="shared" si="10"/>
        <v>23667.23</v>
      </c>
      <c r="M58" s="3"/>
      <c r="N58" s="8">
        <f t="shared" si="11"/>
        <v>6.293337906974271</v>
      </c>
      <c r="O58" s="12"/>
      <c r="P58" s="7">
        <v>451062.64</v>
      </c>
      <c r="Q58" s="3"/>
      <c r="R58" s="8">
        <f t="shared" si="12"/>
        <v>7.9044330650940728E-2</v>
      </c>
      <c r="S58" s="3"/>
      <c r="T58" s="7">
        <v>67501.119999999995</v>
      </c>
      <c r="U58" s="3"/>
      <c r="V58" s="8">
        <f t="shared" si="13"/>
        <v>6.9709094215265624E-2</v>
      </c>
      <c r="W58" s="3"/>
      <c r="X58" s="7">
        <f t="shared" si="14"/>
        <v>383561.52</v>
      </c>
      <c r="Y58" s="3"/>
      <c r="Z58" s="8">
        <f t="shared" si="15"/>
        <v>5.6822986048231501</v>
      </c>
    </row>
    <row r="59" spans="1:26" s="68" customFormat="1" ht="15" customHeight="1" outlineLevel="1" collapsed="1" x14ac:dyDescent="0.25">
      <c r="A59" s="26"/>
      <c r="B59" s="14" t="str">
        <f>CONCATENATE("     ","Repair and Maintenance                            ")</f>
        <v xml:space="preserve">     Repair and Maintenance                            </v>
      </c>
      <c r="C59" s="14"/>
      <c r="D59" s="2">
        <f>SUM(OSRRefD22_11x_0)</f>
        <v>165.77</v>
      </c>
      <c r="E59" s="2"/>
      <c r="F59" s="6">
        <f t="shared" si="8"/>
        <v>4.8832309225612421E-4</v>
      </c>
      <c r="G59" s="2"/>
      <c r="H59" s="2">
        <f>SUM(OSRRefH22_11x_0)</f>
        <v>15.290000000000001</v>
      </c>
      <c r="I59" s="2"/>
      <c r="J59" s="6">
        <f t="shared" si="9"/>
        <v>3.0210286513646003E-4</v>
      </c>
      <c r="K59" s="2"/>
      <c r="L59" s="2">
        <f t="shared" si="10"/>
        <v>150.48000000000002</v>
      </c>
      <c r="M59" s="2"/>
      <c r="N59" s="6">
        <f t="shared" si="11"/>
        <v>9.841726618705037</v>
      </c>
      <c r="O59" s="14"/>
      <c r="P59" s="2">
        <f>SUM(OSRRefP22_11x_0)</f>
        <v>6090.4400000000005</v>
      </c>
      <c r="Q59" s="2"/>
      <c r="R59" s="6">
        <f t="shared" si="12"/>
        <v>1.0672902397097562E-3</v>
      </c>
      <c r="S59" s="2"/>
      <c r="T59" s="2">
        <f>SUM(OSRRefT22_11x_0)</f>
        <v>3515.0299999999997</v>
      </c>
      <c r="U59" s="2"/>
      <c r="V59" s="6">
        <f t="shared" si="13"/>
        <v>3.6300072863899905E-3</v>
      </c>
      <c r="W59" s="2"/>
      <c r="X59" s="2">
        <f t="shared" si="14"/>
        <v>2575.4100000000008</v>
      </c>
      <c r="Y59" s="2"/>
      <c r="Z59" s="6">
        <f t="shared" si="15"/>
        <v>0.73268506954421464</v>
      </c>
    </row>
    <row r="60" spans="1:26" s="69" customFormat="1" ht="15" hidden="1" customHeight="1" outlineLevel="2" x14ac:dyDescent="0.25">
      <c r="A60" s="25"/>
      <c r="B60" s="12" t="str">
        <f>CONCATENATE("          ","6373"," - ","MAINTENANCE CONTRACTS")</f>
        <v xml:space="preserve">          6373 - MAINTENANCE CONTRACTS</v>
      </c>
      <c r="C60" s="12"/>
      <c r="D60" s="7">
        <v>5.77</v>
      </c>
      <c r="E60" s="3"/>
      <c r="F60" s="8">
        <f t="shared" si="8"/>
        <v>1.6997190337925054E-5</v>
      </c>
      <c r="G60" s="3"/>
      <c r="H60" s="7">
        <v>10.89</v>
      </c>
      <c r="I60" s="3"/>
      <c r="J60" s="8">
        <f t="shared" si="9"/>
        <v>2.1516678883819814E-4</v>
      </c>
      <c r="K60" s="3"/>
      <c r="L60" s="7">
        <f t="shared" si="10"/>
        <v>-5.120000000000001</v>
      </c>
      <c r="M60" s="3"/>
      <c r="N60" s="8">
        <f t="shared" si="11"/>
        <v>-0.47015610651974293</v>
      </c>
      <c r="O60" s="12"/>
      <c r="P60" s="7">
        <v>3992.41</v>
      </c>
      <c r="Q60" s="3"/>
      <c r="R60" s="8">
        <f t="shared" si="12"/>
        <v>6.9963093404082919E-4</v>
      </c>
      <c r="S60" s="3"/>
      <c r="T60" s="7">
        <v>1707.06</v>
      </c>
      <c r="U60" s="3"/>
      <c r="V60" s="8">
        <f t="shared" si="13"/>
        <v>1.7628982507417853E-3</v>
      </c>
      <c r="W60" s="3"/>
      <c r="X60" s="7">
        <f t="shared" si="14"/>
        <v>2285.35</v>
      </c>
      <c r="Y60" s="3"/>
      <c r="Z60" s="8">
        <f t="shared" si="15"/>
        <v>1.3387637224233477</v>
      </c>
    </row>
    <row r="61" spans="1:26" s="69" customFormat="1" ht="15" hidden="1" customHeight="1" outlineLevel="2" x14ac:dyDescent="0.25">
      <c r="A61" s="25"/>
      <c r="B61" s="12" t="str">
        <f>CONCATENATE("          ","6375"," - ","OUTSIDE REPAIRS &amp; MAINTENANCE")</f>
        <v xml:space="preserve">          6375 - OUTSIDE REPAIRS &amp; MAINTENANCE</v>
      </c>
      <c r="C61" s="12"/>
      <c r="D61" s="7">
        <v>160</v>
      </c>
      <c r="E61" s="3"/>
      <c r="F61" s="8">
        <f t="shared" si="8"/>
        <v>4.7132590191819912E-4</v>
      </c>
      <c r="G61" s="3"/>
      <c r="H61" s="7">
        <v>4.4000000000000004</v>
      </c>
      <c r="I61" s="3"/>
      <c r="J61" s="8">
        <f t="shared" si="9"/>
        <v>8.693607629826188E-5</v>
      </c>
      <c r="K61" s="3"/>
      <c r="L61" s="7">
        <f t="shared" si="10"/>
        <v>155.6</v>
      </c>
      <c r="M61" s="3"/>
      <c r="N61" s="8">
        <f t="shared" si="11"/>
        <v>35.36363636363636</v>
      </c>
      <c r="O61" s="12"/>
      <c r="P61" s="7">
        <v>2098.0300000000002</v>
      </c>
      <c r="Q61" s="3"/>
      <c r="R61" s="8">
        <f t="shared" si="12"/>
        <v>3.6765930566892702E-4</v>
      </c>
      <c r="S61" s="3"/>
      <c r="T61" s="7">
        <v>1807.97</v>
      </c>
      <c r="U61" s="3"/>
      <c r="V61" s="8">
        <f t="shared" si="13"/>
        <v>1.8671090356482056E-3</v>
      </c>
      <c r="W61" s="3"/>
      <c r="X61" s="7">
        <f t="shared" si="14"/>
        <v>290.06000000000017</v>
      </c>
      <c r="Y61" s="3"/>
      <c r="Z61" s="8">
        <f t="shared" si="15"/>
        <v>0.16043407799908194</v>
      </c>
    </row>
    <row r="62" spans="1:26" s="68" customFormat="1" ht="15" customHeight="1" outlineLevel="1" collapsed="1" x14ac:dyDescent="0.25">
      <c r="A62" s="26"/>
      <c r="B62" s="14" t="str">
        <f>CONCATENATE("     ","Services                                          ")</f>
        <v xml:space="preserve">     Services                                          </v>
      </c>
      <c r="C62" s="14"/>
      <c r="D62" s="2">
        <f>SUM(OSRRefD22_12x_0)</f>
        <v>3929.4300000000003</v>
      </c>
      <c r="E62" s="2"/>
      <c r="F62" s="6">
        <f t="shared" si="8"/>
        <v>1.1575263367340183E-2</v>
      </c>
      <c r="G62" s="2"/>
      <c r="H62" s="2">
        <f>SUM(OSRRefH22_12x_0)</f>
        <v>5960.22</v>
      </c>
      <c r="I62" s="2"/>
      <c r="J62" s="6">
        <f t="shared" si="9"/>
        <v>0.11776321378964236</v>
      </c>
      <c r="K62" s="2"/>
      <c r="L62" s="2">
        <f t="shared" si="10"/>
        <v>-2030.79</v>
      </c>
      <c r="M62" s="2"/>
      <c r="N62" s="6">
        <f t="shared" si="11"/>
        <v>-0.3407240001208009</v>
      </c>
      <c r="O62" s="14"/>
      <c r="P62" s="2">
        <f>SUM(OSRRefP22_12x_0)</f>
        <v>71349.210000000006</v>
      </c>
      <c r="Q62" s="2"/>
      <c r="R62" s="6">
        <f t="shared" si="12"/>
        <v>1.2503253532421588E-2</v>
      </c>
      <c r="S62" s="2"/>
      <c r="T62" s="2">
        <f>SUM(OSRRefT22_12x_0)</f>
        <v>59359.009999999995</v>
      </c>
      <c r="U62" s="2"/>
      <c r="V62" s="6">
        <f t="shared" si="13"/>
        <v>6.1300654279734829E-2</v>
      </c>
      <c r="W62" s="2"/>
      <c r="X62" s="2">
        <f t="shared" si="14"/>
        <v>11990.200000000012</v>
      </c>
      <c r="Y62" s="2"/>
      <c r="Z62" s="6">
        <f t="shared" si="15"/>
        <v>0.20199460873757855</v>
      </c>
    </row>
    <row r="63" spans="1:26" s="69" customFormat="1" ht="15" hidden="1" customHeight="1" outlineLevel="2" x14ac:dyDescent="0.25">
      <c r="A63" s="25"/>
      <c r="B63" s="12" t="str">
        <f>CONCATENATE("          ","6282"," - ","JANITORIAL/EXTERMINATOR EXPENS")</f>
        <v xml:space="preserve">          6282 - JANITORIAL/EXTERMINATOR EXPENS</v>
      </c>
      <c r="C63" s="12"/>
      <c r="D63" s="7">
        <v>459.25</v>
      </c>
      <c r="E63" s="3"/>
      <c r="F63" s="8">
        <f t="shared" si="8"/>
        <v>1.352852627849581E-3</v>
      </c>
      <c r="G63" s="3"/>
      <c r="H63" s="7">
        <v>421.34</v>
      </c>
      <c r="I63" s="3"/>
      <c r="J63" s="8">
        <f t="shared" si="9"/>
        <v>8.3249196335249218E-3</v>
      </c>
      <c r="K63" s="3"/>
      <c r="L63" s="7">
        <f t="shared" si="10"/>
        <v>37.910000000000025</v>
      </c>
      <c r="M63" s="3"/>
      <c r="N63" s="8">
        <f t="shared" si="11"/>
        <v>8.9974842170218894E-2</v>
      </c>
      <c r="O63" s="12"/>
      <c r="P63" s="7">
        <v>5955.3</v>
      </c>
      <c r="Q63" s="3"/>
      <c r="R63" s="8">
        <f t="shared" si="12"/>
        <v>1.0436082720695896E-3</v>
      </c>
      <c r="S63" s="3"/>
      <c r="T63" s="7">
        <v>4502.78</v>
      </c>
      <c r="U63" s="3"/>
      <c r="V63" s="8">
        <f t="shared" si="13"/>
        <v>4.6500667729752303E-3</v>
      </c>
      <c r="W63" s="3"/>
      <c r="X63" s="7">
        <f t="shared" si="14"/>
        <v>1452.5200000000004</v>
      </c>
      <c r="Y63" s="3"/>
      <c r="Z63" s="8">
        <f t="shared" si="15"/>
        <v>0.32258293765185075</v>
      </c>
    </row>
    <row r="64" spans="1:26" s="69" customFormat="1" ht="15" hidden="1" customHeight="1" outlineLevel="2" x14ac:dyDescent="0.25">
      <c r="A64" s="25"/>
      <c r="B64" s="12" t="str">
        <f>CONCATENATE("          ","6284"," - ","TRASH REMOVAL EXPENSE")</f>
        <v xml:space="preserve">          6284 - TRASH REMOVAL EXPENSE</v>
      </c>
      <c r="C64" s="12"/>
      <c r="D64" s="7"/>
      <c r="E64" s="3"/>
      <c r="F64" s="8">
        <f t="shared" si="8"/>
        <v>0</v>
      </c>
      <c r="G64" s="3"/>
      <c r="H64" s="7"/>
      <c r="I64" s="3"/>
      <c r="J64" s="8">
        <f t="shared" si="9"/>
        <v>0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/>
      <c r="Q64" s="3"/>
      <c r="R64" s="8">
        <f t="shared" si="12"/>
        <v>0</v>
      </c>
      <c r="S64" s="3"/>
      <c r="T64" s="7">
        <v>282.75</v>
      </c>
      <c r="U64" s="3"/>
      <c r="V64" s="8">
        <f t="shared" si="13"/>
        <v>2.9199880519562276E-4</v>
      </c>
      <c r="W64" s="3"/>
      <c r="X64" s="7">
        <f t="shared" si="14"/>
        <v>-282.75</v>
      </c>
      <c r="Y64" s="3"/>
      <c r="Z64" s="8">
        <f t="shared" si="15"/>
        <v>-1</v>
      </c>
    </row>
    <row r="65" spans="1:26" s="69" customFormat="1" ht="15" hidden="1" customHeight="1" outlineLevel="2" x14ac:dyDescent="0.25">
      <c r="A65" s="25"/>
      <c r="B65" s="12" t="str">
        <f>CONCATENATE("          ","6285"," - ","JANITORIAL SERVICES")</f>
        <v xml:space="preserve">          6285 - JANITORIAL SERVICES</v>
      </c>
      <c r="C65" s="12"/>
      <c r="D65" s="7">
        <v>2151.42</v>
      </c>
      <c r="E65" s="3"/>
      <c r="F65" s="8">
        <f t="shared" si="8"/>
        <v>6.3376248244053253E-3</v>
      </c>
      <c r="G65" s="3"/>
      <c r="H65" s="7">
        <v>4468.33</v>
      </c>
      <c r="I65" s="3"/>
      <c r="J65" s="8">
        <f t="shared" si="9"/>
        <v>8.8286154046775561E-2</v>
      </c>
      <c r="K65" s="3"/>
      <c r="L65" s="7">
        <f t="shared" si="10"/>
        <v>-2316.91</v>
      </c>
      <c r="M65" s="3"/>
      <c r="N65" s="8">
        <f t="shared" si="11"/>
        <v>-0.51851810407915255</v>
      </c>
      <c r="O65" s="12"/>
      <c r="P65" s="7">
        <v>51454.46</v>
      </c>
      <c r="Q65" s="3"/>
      <c r="R65" s="8">
        <f t="shared" si="12"/>
        <v>9.0168925311695149E-3</v>
      </c>
      <c r="S65" s="3"/>
      <c r="T65" s="7">
        <v>45623.27</v>
      </c>
      <c r="U65" s="3"/>
      <c r="V65" s="8">
        <f t="shared" si="13"/>
        <v>4.7115615664428998E-2</v>
      </c>
      <c r="W65" s="3"/>
      <c r="X65" s="7">
        <f t="shared" si="14"/>
        <v>5831.1900000000023</v>
      </c>
      <c r="Y65" s="3"/>
      <c r="Z65" s="8">
        <f t="shared" si="15"/>
        <v>0.12781175045103085</v>
      </c>
    </row>
    <row r="66" spans="1:26" s="69" customFormat="1" ht="15" hidden="1" customHeight="1" outlineLevel="2" x14ac:dyDescent="0.25">
      <c r="A66" s="25"/>
      <c r="B66" s="12" t="str">
        <f>CONCATENATE("          ","6286"," - ","LAUNDRY EXPENSE")</f>
        <v xml:space="preserve">          6286 - LAUNDRY EXPENSE</v>
      </c>
      <c r="C66" s="12"/>
      <c r="D66" s="7">
        <v>1318.76</v>
      </c>
      <c r="E66" s="3"/>
      <c r="F66" s="8">
        <f t="shared" si="8"/>
        <v>3.8847859150852766E-3</v>
      </c>
      <c r="G66" s="3"/>
      <c r="H66" s="7">
        <v>1070.55</v>
      </c>
      <c r="I66" s="3"/>
      <c r="J66" s="8">
        <f t="shared" si="9"/>
        <v>2.1152140109341872E-2</v>
      </c>
      <c r="K66" s="3"/>
      <c r="L66" s="7">
        <f t="shared" si="10"/>
        <v>248.21000000000004</v>
      </c>
      <c r="M66" s="3"/>
      <c r="N66" s="8">
        <f t="shared" si="11"/>
        <v>0.23185278595114664</v>
      </c>
      <c r="O66" s="12"/>
      <c r="P66" s="7">
        <v>13939.45</v>
      </c>
      <c r="Q66" s="3"/>
      <c r="R66" s="8">
        <f t="shared" si="12"/>
        <v>2.4427527291824829E-3</v>
      </c>
      <c r="S66" s="3"/>
      <c r="T66" s="7">
        <v>8950.2099999999991</v>
      </c>
      <c r="U66" s="3"/>
      <c r="V66" s="8">
        <f t="shared" si="13"/>
        <v>9.2429730371349772E-3</v>
      </c>
      <c r="W66" s="3"/>
      <c r="X66" s="7">
        <f t="shared" si="14"/>
        <v>4989.2400000000016</v>
      </c>
      <c r="Y66" s="3"/>
      <c r="Z66" s="8">
        <f t="shared" si="15"/>
        <v>0.55744390355086659</v>
      </c>
    </row>
    <row r="67" spans="1:26" s="68" customFormat="1" ht="15" customHeight="1" outlineLevel="1" collapsed="1" x14ac:dyDescent="0.25">
      <c r="A67" s="26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2">
        <f>SUM(OSRRefD22_13x_0)</f>
        <v>0</v>
      </c>
      <c r="E67" s="2"/>
      <c r="F67" s="6">
        <f t="shared" si="8"/>
        <v>0</v>
      </c>
      <c r="G67" s="2"/>
      <c r="H67" s="2">
        <f>SUM(OSRRefH22_13x_0)</f>
        <v>0</v>
      </c>
      <c r="I67" s="2"/>
      <c r="J67" s="6">
        <f t="shared" si="9"/>
        <v>0</v>
      </c>
      <c r="K67" s="2"/>
      <c r="L67" s="2">
        <f t="shared" si="10"/>
        <v>0</v>
      </c>
      <c r="M67" s="2"/>
      <c r="N67" s="6">
        <f t="shared" si="11"/>
        <v>0</v>
      </c>
      <c r="O67" s="14"/>
      <c r="P67" s="2">
        <f>SUM(OSRRefP22_13x_0)</f>
        <v>0</v>
      </c>
      <c r="Q67" s="2"/>
      <c r="R67" s="6">
        <f t="shared" si="12"/>
        <v>0</v>
      </c>
      <c r="S67" s="2"/>
      <c r="T67" s="2">
        <f>SUM(OSRRefT22_13x_0)</f>
        <v>795</v>
      </c>
      <c r="U67" s="2"/>
      <c r="V67" s="6">
        <f t="shared" si="13"/>
        <v>8.2100459816275898E-4</v>
      </c>
      <c r="W67" s="2"/>
      <c r="X67" s="2">
        <f t="shared" si="14"/>
        <v>-795</v>
      </c>
      <c r="Y67" s="2"/>
      <c r="Z67" s="6">
        <f t="shared" si="15"/>
        <v>-1</v>
      </c>
    </row>
    <row r="68" spans="1:26" s="69" customFormat="1" ht="15" hidden="1" customHeight="1" outlineLevel="2" x14ac:dyDescent="0.25">
      <c r="A68" s="25"/>
      <c r="B68" s="12" t="str">
        <f>CONCATENATE("          ","6258"," - ","MEMBERSHIP DUES")</f>
        <v xml:space="preserve">          6258 - MEMBERSHIP DUES</v>
      </c>
      <c r="C68" s="12"/>
      <c r="D68" s="7"/>
      <c r="E68" s="3"/>
      <c r="F68" s="8">
        <f t="shared" si="8"/>
        <v>0</v>
      </c>
      <c r="G68" s="3"/>
      <c r="H68" s="7"/>
      <c r="I68" s="3"/>
      <c r="J68" s="8">
        <f t="shared" si="9"/>
        <v>0</v>
      </c>
      <c r="K68" s="3"/>
      <c r="L68" s="7">
        <f t="shared" si="10"/>
        <v>0</v>
      </c>
      <c r="M68" s="3"/>
      <c r="N68" s="8">
        <f t="shared" si="11"/>
        <v>0</v>
      </c>
      <c r="O68" s="12"/>
      <c r="P68" s="7"/>
      <c r="Q68" s="3"/>
      <c r="R68" s="8">
        <f t="shared" si="12"/>
        <v>0</v>
      </c>
      <c r="S68" s="3"/>
      <c r="T68" s="7">
        <v>795</v>
      </c>
      <c r="U68" s="3"/>
      <c r="V68" s="8">
        <f t="shared" si="13"/>
        <v>8.2100459816275898E-4</v>
      </c>
      <c r="W68" s="3"/>
      <c r="X68" s="7">
        <f t="shared" si="14"/>
        <v>-795</v>
      </c>
      <c r="Y68" s="3"/>
      <c r="Z68" s="8">
        <f t="shared" si="15"/>
        <v>-1</v>
      </c>
    </row>
    <row r="69" spans="1:26" s="68" customFormat="1" ht="15" customHeight="1" outlineLevel="1" collapsed="1" x14ac:dyDescent="0.25">
      <c r="A69" s="26"/>
      <c r="B69" s="14" t="str">
        <f>CONCATENATE("     ","Supplies                                          ")</f>
        <v xml:space="preserve">     Supplies                                          </v>
      </c>
      <c r="C69" s="14"/>
      <c r="D69" s="2">
        <f>SUM(OSRRefD22_14x_0)</f>
        <v>4873.99</v>
      </c>
      <c r="E69" s="2"/>
      <c r="F69" s="6">
        <f t="shared" si="8"/>
        <v>1.435773582931427E-2</v>
      </c>
      <c r="G69" s="2"/>
      <c r="H69" s="2">
        <f>SUM(OSRRefH22_14x_0)</f>
        <v>9812.35</v>
      </c>
      <c r="I69" s="2"/>
      <c r="J69" s="6">
        <f t="shared" si="9"/>
        <v>0.19387436551482951</v>
      </c>
      <c r="K69" s="2"/>
      <c r="L69" s="2">
        <f t="shared" si="10"/>
        <v>-4938.3600000000006</v>
      </c>
      <c r="M69" s="2"/>
      <c r="N69" s="6">
        <f t="shared" si="11"/>
        <v>-0.50328005014089394</v>
      </c>
      <c r="O69" s="14"/>
      <c r="P69" s="2">
        <f>SUM(OSRRefP22_14x_0)</f>
        <v>144938.63</v>
      </c>
      <c r="Q69" s="2"/>
      <c r="R69" s="6">
        <f t="shared" si="12"/>
        <v>2.5399082029525562E-2</v>
      </c>
      <c r="S69" s="2"/>
      <c r="T69" s="2">
        <f>SUM(OSRRefT22_14x_0)</f>
        <v>127988.28</v>
      </c>
      <c r="U69" s="2"/>
      <c r="V69" s="6">
        <f t="shared" si="13"/>
        <v>0.13217480049175181</v>
      </c>
      <c r="W69" s="2"/>
      <c r="X69" s="2">
        <f t="shared" si="14"/>
        <v>16950.350000000006</v>
      </c>
      <c r="Y69" s="2"/>
      <c r="Z69" s="6">
        <f t="shared" si="15"/>
        <v>0.13243673561360467</v>
      </c>
    </row>
    <row r="70" spans="1:26" s="69" customFormat="1" ht="15" hidden="1" customHeight="1" outlineLevel="2" x14ac:dyDescent="0.25">
      <c r="A70" s="25"/>
      <c r="B70" s="12" t="str">
        <f>CONCATENATE("          ","6234"," - ","EXPENDABLE SUPPLIES &amp; EQUIPMEN")</f>
        <v xml:space="preserve">          6234 - EXPENDABLE SUPPLIES &amp; EQUIPMEN</v>
      </c>
      <c r="C70" s="12"/>
      <c r="D70" s="7"/>
      <c r="E70" s="3"/>
      <c r="F70" s="8">
        <f t="shared" si="8"/>
        <v>0</v>
      </c>
      <c r="G70" s="3"/>
      <c r="H70" s="7"/>
      <c r="I70" s="3"/>
      <c r="J70" s="8">
        <f t="shared" si="9"/>
        <v>0</v>
      </c>
      <c r="K70" s="3"/>
      <c r="L70" s="7">
        <f t="shared" si="10"/>
        <v>0</v>
      </c>
      <c r="M70" s="3"/>
      <c r="N70" s="8">
        <f t="shared" si="11"/>
        <v>0</v>
      </c>
      <c r="O70" s="12"/>
      <c r="P70" s="7">
        <v>315</v>
      </c>
      <c r="Q70" s="3"/>
      <c r="R70" s="8">
        <f t="shared" si="12"/>
        <v>5.5200679344772006E-5</v>
      </c>
      <c r="S70" s="3"/>
      <c r="T70" s="7"/>
      <c r="U70" s="3"/>
      <c r="V70" s="8">
        <f t="shared" si="13"/>
        <v>0</v>
      </c>
      <c r="W70" s="3"/>
      <c r="X70" s="7">
        <f t="shared" si="14"/>
        <v>315</v>
      </c>
      <c r="Y70" s="3"/>
      <c r="Z70" s="8">
        <f t="shared" si="15"/>
        <v>0</v>
      </c>
    </row>
    <row r="71" spans="1:26" s="69" customFormat="1" ht="15" hidden="1" customHeight="1" outlineLevel="2" x14ac:dyDescent="0.25">
      <c r="A71" s="25"/>
      <c r="B71" s="12" t="str">
        <f>CONCATENATE("          ","6235"," - ","COVID-19 EXPENSES")</f>
        <v xml:space="preserve">          6235 - COVID-19 EXPENSES</v>
      </c>
      <c r="C71" s="12"/>
      <c r="D71" s="7"/>
      <c r="E71" s="3"/>
      <c r="F71" s="8">
        <f t="shared" si="8"/>
        <v>0</v>
      </c>
      <c r="G71" s="3"/>
      <c r="H71" s="7">
        <v>2921.2</v>
      </c>
      <c r="I71" s="3"/>
      <c r="J71" s="8">
        <f t="shared" si="9"/>
        <v>5.7717651382382398E-2</v>
      </c>
      <c r="K71" s="3"/>
      <c r="L71" s="7">
        <f t="shared" si="10"/>
        <v>-2921.2</v>
      </c>
      <c r="M71" s="3"/>
      <c r="N71" s="8">
        <f t="shared" si="11"/>
        <v>-1</v>
      </c>
      <c r="O71" s="12"/>
      <c r="P71" s="7">
        <v>158.76</v>
      </c>
      <c r="Q71" s="3"/>
      <c r="R71" s="8">
        <f t="shared" si="12"/>
        <v>2.7821142389765089E-5</v>
      </c>
      <c r="S71" s="3"/>
      <c r="T71" s="7">
        <v>53097.67</v>
      </c>
      <c r="U71" s="3"/>
      <c r="V71" s="8">
        <f t="shared" si="13"/>
        <v>5.483450468141985E-2</v>
      </c>
      <c r="W71" s="3"/>
      <c r="X71" s="7">
        <f t="shared" si="14"/>
        <v>-52938.909999999996</v>
      </c>
      <c r="Y71" s="3"/>
      <c r="Z71" s="8">
        <f t="shared" si="15"/>
        <v>-0.99701003829358237</v>
      </c>
    </row>
    <row r="72" spans="1:26" s="69" customFormat="1" ht="15" hidden="1" customHeight="1" outlineLevel="2" x14ac:dyDescent="0.25">
      <c r="A72" s="25"/>
      <c r="B72" s="12" t="str">
        <f>CONCATENATE("          ","6237"," - ","JANITORIAL SUPPLIES")</f>
        <v xml:space="preserve">          6237 - JANITORIAL SUPPLIES</v>
      </c>
      <c r="C72" s="12"/>
      <c r="D72" s="7">
        <v>2153.61</v>
      </c>
      <c r="E72" s="3"/>
      <c r="F72" s="8">
        <f t="shared" si="8"/>
        <v>6.3440760976878306E-3</v>
      </c>
      <c r="G72" s="3"/>
      <c r="H72" s="7">
        <v>1425.01</v>
      </c>
      <c r="I72" s="3"/>
      <c r="J72" s="8">
        <f t="shared" si="9"/>
        <v>2.8155631383133213E-2</v>
      </c>
      <c r="K72" s="3"/>
      <c r="L72" s="7">
        <f t="shared" si="10"/>
        <v>728.60000000000014</v>
      </c>
      <c r="M72" s="3"/>
      <c r="N72" s="8">
        <f t="shared" si="11"/>
        <v>0.5112946575813504</v>
      </c>
      <c r="O72" s="12"/>
      <c r="P72" s="7">
        <v>29852.23</v>
      </c>
      <c r="Q72" s="3"/>
      <c r="R72" s="8">
        <f t="shared" si="12"/>
        <v>5.2313123046234386E-3</v>
      </c>
      <c r="S72" s="3"/>
      <c r="T72" s="7">
        <v>18476.8</v>
      </c>
      <c r="U72" s="3"/>
      <c r="V72" s="8">
        <f t="shared" si="13"/>
        <v>1.9081179571488888E-2</v>
      </c>
      <c r="W72" s="3"/>
      <c r="X72" s="7">
        <f t="shared" si="14"/>
        <v>11375.43</v>
      </c>
      <c r="Y72" s="3"/>
      <c r="Z72" s="8">
        <f t="shared" si="15"/>
        <v>0.61566017925181848</v>
      </c>
    </row>
    <row r="73" spans="1:26" s="69" customFormat="1" ht="15" hidden="1" customHeight="1" outlineLevel="2" x14ac:dyDescent="0.25">
      <c r="A73" s="25"/>
      <c r="B73" s="12" t="str">
        <f>CONCATENATE("          ","6239"," - ","KITCHEN SUPPLIES")</f>
        <v xml:space="preserve">          6239 - KITCHEN SUPPLIES</v>
      </c>
      <c r="C73" s="12"/>
      <c r="D73" s="7"/>
      <c r="E73" s="3"/>
      <c r="F73" s="8">
        <f t="shared" si="8"/>
        <v>0</v>
      </c>
      <c r="G73" s="3"/>
      <c r="H73" s="7">
        <v>618.89</v>
      </c>
      <c r="I73" s="3"/>
      <c r="J73" s="8">
        <f t="shared" si="9"/>
        <v>1.2228151877325292E-2</v>
      </c>
      <c r="K73" s="3"/>
      <c r="L73" s="7">
        <f t="shared" si="10"/>
        <v>-618.89</v>
      </c>
      <c r="M73" s="3"/>
      <c r="N73" s="8">
        <f t="shared" si="11"/>
        <v>-1</v>
      </c>
      <c r="O73" s="12"/>
      <c r="P73" s="7">
        <v>10926.64</v>
      </c>
      <c r="Q73" s="3"/>
      <c r="R73" s="8">
        <f t="shared" si="12"/>
        <v>1.9147871458913002E-3</v>
      </c>
      <c r="S73" s="3"/>
      <c r="T73" s="7">
        <v>6835.2</v>
      </c>
      <c r="U73" s="3"/>
      <c r="V73" s="8">
        <f t="shared" si="13"/>
        <v>7.0587806658642645E-3</v>
      </c>
      <c r="W73" s="3"/>
      <c r="X73" s="7">
        <f t="shared" si="14"/>
        <v>4091.4399999999996</v>
      </c>
      <c r="Y73" s="3"/>
      <c r="Z73" s="8">
        <f t="shared" si="15"/>
        <v>0.59858380149812729</v>
      </c>
    </row>
    <row r="74" spans="1:26" s="69" customFormat="1" ht="15" hidden="1" customHeight="1" outlineLevel="2" x14ac:dyDescent="0.25">
      <c r="A74" s="25"/>
      <c r="B74" s="12" t="str">
        <f>CONCATENATE("          ","6241"," - ","OFFICE EXPENSE")</f>
        <v xml:space="preserve">          6241 - OFFICE EXPENSE</v>
      </c>
      <c r="C74" s="12"/>
      <c r="D74" s="7">
        <v>64.239999999999995</v>
      </c>
      <c r="E74" s="3"/>
      <c r="F74" s="8">
        <f t="shared" si="8"/>
        <v>1.8923734962015694E-4</v>
      </c>
      <c r="G74" s="3"/>
      <c r="H74" s="7">
        <v>1504.3</v>
      </c>
      <c r="I74" s="3"/>
      <c r="J74" s="8">
        <f t="shared" si="9"/>
        <v>2.9722258994426209E-2</v>
      </c>
      <c r="K74" s="3"/>
      <c r="L74" s="7">
        <f t="shared" si="10"/>
        <v>-1440.06</v>
      </c>
      <c r="M74" s="3"/>
      <c r="N74" s="8">
        <f t="shared" si="11"/>
        <v>-0.95729575217709229</v>
      </c>
      <c r="O74" s="12"/>
      <c r="P74" s="7">
        <v>4075.31</v>
      </c>
      <c r="Q74" s="3"/>
      <c r="R74" s="8">
        <f t="shared" si="12"/>
        <v>7.1415835092235812E-4</v>
      </c>
      <c r="S74" s="3"/>
      <c r="T74" s="7">
        <v>9368.7000000000007</v>
      </c>
      <c r="U74" s="3"/>
      <c r="V74" s="8">
        <f t="shared" si="13"/>
        <v>9.6751519230282267E-3</v>
      </c>
      <c r="W74" s="3"/>
      <c r="X74" s="7">
        <f t="shared" si="14"/>
        <v>-5293.3900000000012</v>
      </c>
      <c r="Y74" s="3"/>
      <c r="Z74" s="8">
        <f t="shared" si="15"/>
        <v>-0.56500795201041776</v>
      </c>
    </row>
    <row r="75" spans="1:26" s="69" customFormat="1" ht="15" hidden="1" customHeight="1" outlineLevel="2" x14ac:dyDescent="0.25">
      <c r="A75" s="25"/>
      <c r="B75" s="12" t="str">
        <f>CONCATENATE("          ","6243"," - ","PAPER SUPPLIES")</f>
        <v xml:space="preserve">          6243 - PAPER SUPPLIES</v>
      </c>
      <c r="C75" s="12"/>
      <c r="D75" s="7">
        <v>2656.14</v>
      </c>
      <c r="E75" s="3"/>
      <c r="F75" s="8">
        <f t="shared" si="8"/>
        <v>7.8244223820062835E-3</v>
      </c>
      <c r="G75" s="3"/>
      <c r="H75" s="7">
        <v>3342.95</v>
      </c>
      <c r="I75" s="3"/>
      <c r="J75" s="8">
        <f t="shared" si="9"/>
        <v>6.6050671877562389E-2</v>
      </c>
      <c r="K75" s="3"/>
      <c r="L75" s="7">
        <f t="shared" si="10"/>
        <v>-686.81</v>
      </c>
      <c r="M75" s="3"/>
      <c r="N75" s="8">
        <f t="shared" si="11"/>
        <v>-0.20545027595387308</v>
      </c>
      <c r="O75" s="12"/>
      <c r="P75" s="7">
        <v>96348.61</v>
      </c>
      <c r="Q75" s="3"/>
      <c r="R75" s="8">
        <f t="shared" si="12"/>
        <v>1.6884154685474582E-2</v>
      </c>
      <c r="S75" s="3"/>
      <c r="T75" s="7">
        <v>35709.32</v>
      </c>
      <c r="U75" s="3"/>
      <c r="V75" s="8">
        <f t="shared" si="13"/>
        <v>3.6877378512283489E-2</v>
      </c>
      <c r="W75" s="3"/>
      <c r="X75" s="7">
        <f t="shared" si="14"/>
        <v>60639.29</v>
      </c>
      <c r="Y75" s="3"/>
      <c r="Z75" s="8">
        <f t="shared" si="15"/>
        <v>1.6981362288612609</v>
      </c>
    </row>
    <row r="76" spans="1:26" s="69" customFormat="1" ht="15" hidden="1" customHeight="1" outlineLevel="2" x14ac:dyDescent="0.25">
      <c r="A76" s="25"/>
      <c r="B76" s="12" t="str">
        <f>CONCATENATE("          ","6247"," - ","STORE SUPPLIES")</f>
        <v xml:space="preserve">          6247 - STORE SUPPLIES</v>
      </c>
      <c r="C76" s="12"/>
      <c r="D76" s="7"/>
      <c r="E76" s="3"/>
      <c r="F76" s="8">
        <f t="shared" si="8"/>
        <v>0</v>
      </c>
      <c r="G76" s="3"/>
      <c r="H76" s="7"/>
      <c r="I76" s="3"/>
      <c r="J76" s="8">
        <f t="shared" si="9"/>
        <v>0</v>
      </c>
      <c r="K76" s="3"/>
      <c r="L76" s="7">
        <f t="shared" si="10"/>
        <v>0</v>
      </c>
      <c r="M76" s="3"/>
      <c r="N76" s="8">
        <f t="shared" si="11"/>
        <v>0</v>
      </c>
      <c r="O76" s="12"/>
      <c r="P76" s="7">
        <v>459.51</v>
      </c>
      <c r="Q76" s="3"/>
      <c r="R76" s="8">
        <f t="shared" si="12"/>
        <v>8.0524648145130736E-5</v>
      </c>
      <c r="S76" s="3"/>
      <c r="T76" s="7"/>
      <c r="U76" s="3"/>
      <c r="V76" s="8">
        <f t="shared" si="13"/>
        <v>0</v>
      </c>
      <c r="W76" s="3"/>
      <c r="X76" s="7">
        <f t="shared" si="14"/>
        <v>459.51</v>
      </c>
      <c r="Y76" s="3"/>
      <c r="Z76" s="8">
        <f t="shared" si="15"/>
        <v>0</v>
      </c>
    </row>
    <row r="77" spans="1:26" s="69" customFormat="1" ht="15" hidden="1" customHeight="1" outlineLevel="2" x14ac:dyDescent="0.25">
      <c r="A77" s="25"/>
      <c r="B77" s="12" t="str">
        <f>CONCATENATE("          ","6248"," - ","UNIFORMS")</f>
        <v xml:space="preserve">          6248 - UNIFORMS</v>
      </c>
      <c r="C77" s="12"/>
      <c r="D77" s="7"/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0</v>
      </c>
      <c r="M77" s="3"/>
      <c r="N77" s="8">
        <f t="shared" si="11"/>
        <v>0</v>
      </c>
      <c r="O77" s="12"/>
      <c r="P77" s="7">
        <v>2802.57</v>
      </c>
      <c r="Q77" s="3"/>
      <c r="R77" s="8">
        <f t="shared" si="12"/>
        <v>4.9112307273421491E-4</v>
      </c>
      <c r="S77" s="3"/>
      <c r="T77" s="7">
        <v>4500.59</v>
      </c>
      <c r="U77" s="3"/>
      <c r="V77" s="8">
        <f t="shared" si="13"/>
        <v>4.647805137667084E-3</v>
      </c>
      <c r="W77" s="3"/>
      <c r="X77" s="7">
        <f t="shared" si="14"/>
        <v>-1698.02</v>
      </c>
      <c r="Y77" s="3"/>
      <c r="Z77" s="8">
        <f t="shared" si="15"/>
        <v>-0.37728831108810179</v>
      </c>
    </row>
    <row r="78" spans="1:26" s="68" customFormat="1" ht="15" customHeight="1" outlineLevel="1" collapsed="1" x14ac:dyDescent="0.25">
      <c r="A78" s="26"/>
      <c r="B78" s="14" t="str">
        <f>CONCATENATE("     ","Telephone/Data Lines                              ")</f>
        <v xml:space="preserve">     Telephone/Data Lines                              </v>
      </c>
      <c r="C78" s="14"/>
      <c r="D78" s="2">
        <f>SUM(OSRRefD22_15x_0)</f>
        <v>309</v>
      </c>
      <c r="E78" s="2"/>
      <c r="F78" s="6">
        <f t="shared" si="8"/>
        <v>9.1024814807952206E-4</v>
      </c>
      <c r="G78" s="2"/>
      <c r="H78" s="2">
        <f>SUM(OSRRefH22_15x_0)</f>
        <v>309</v>
      </c>
      <c r="I78" s="2"/>
      <c r="J78" s="6">
        <f t="shared" si="9"/>
        <v>6.1052835400370268E-3</v>
      </c>
      <c r="K78" s="2"/>
      <c r="L78" s="2">
        <f t="shared" si="10"/>
        <v>0</v>
      </c>
      <c r="M78" s="2"/>
      <c r="N78" s="6">
        <f t="shared" si="11"/>
        <v>0</v>
      </c>
      <c r="O78" s="14"/>
      <c r="P78" s="2">
        <f>SUM(OSRRefP22_15x_0)</f>
        <v>3457</v>
      </c>
      <c r="Q78" s="2"/>
      <c r="R78" s="6">
        <f t="shared" si="12"/>
        <v>6.0580555077738676E-4</v>
      </c>
      <c r="S78" s="2"/>
      <c r="T78" s="2">
        <f>SUM(OSRRefT22_15x_0)</f>
        <v>2650</v>
      </c>
      <c r="U78" s="2"/>
      <c r="V78" s="6">
        <f t="shared" si="13"/>
        <v>2.7366819938758635E-3</v>
      </c>
      <c r="W78" s="2"/>
      <c r="X78" s="2">
        <f t="shared" si="14"/>
        <v>807</v>
      </c>
      <c r="Y78" s="2"/>
      <c r="Z78" s="6">
        <f t="shared" si="15"/>
        <v>0.30452830188679247</v>
      </c>
    </row>
    <row r="79" spans="1:26" s="69" customFormat="1" ht="15" hidden="1" customHeight="1" outlineLevel="2" x14ac:dyDescent="0.25">
      <c r="A79" s="25"/>
      <c r="B79" s="12" t="str">
        <f>CONCATENATE("          ","6309"," - ","TELEPHONE")</f>
        <v xml:space="preserve">          6309 - TELEPHONE</v>
      </c>
      <c r="C79" s="12"/>
      <c r="D79" s="7">
        <v>309</v>
      </c>
      <c r="E79" s="3"/>
      <c r="F79" s="8">
        <f t="shared" si="8"/>
        <v>9.1024814807952206E-4</v>
      </c>
      <c r="G79" s="3"/>
      <c r="H79" s="7">
        <v>309</v>
      </c>
      <c r="I79" s="3"/>
      <c r="J79" s="8">
        <f t="shared" si="9"/>
        <v>6.1052835400370268E-3</v>
      </c>
      <c r="K79" s="3"/>
      <c r="L79" s="7">
        <f t="shared" si="10"/>
        <v>0</v>
      </c>
      <c r="M79" s="3"/>
      <c r="N79" s="8">
        <f t="shared" si="11"/>
        <v>0</v>
      </c>
      <c r="O79" s="12"/>
      <c r="P79" s="7">
        <v>3457</v>
      </c>
      <c r="Q79" s="3"/>
      <c r="R79" s="8">
        <f t="shared" si="12"/>
        <v>6.0580555077738676E-4</v>
      </c>
      <c r="S79" s="3"/>
      <c r="T79" s="7">
        <v>2650</v>
      </c>
      <c r="U79" s="3"/>
      <c r="V79" s="8">
        <f t="shared" si="13"/>
        <v>2.7366819938758635E-3</v>
      </c>
      <c r="W79" s="3"/>
      <c r="X79" s="7">
        <f t="shared" si="14"/>
        <v>807</v>
      </c>
      <c r="Y79" s="3"/>
      <c r="Z79" s="8">
        <f t="shared" si="15"/>
        <v>0.30452830188679247</v>
      </c>
    </row>
    <row r="80" spans="1:26" s="68" customFormat="1" ht="15" customHeight="1" outlineLevel="1" collapsed="1" x14ac:dyDescent="0.25">
      <c r="A80" s="26"/>
      <c r="B80" s="14" t="str">
        <f>CONCATENATE("     ","Training                                          ")</f>
        <v xml:space="preserve">     Training                                          </v>
      </c>
      <c r="C80" s="14"/>
      <c r="D80" s="2">
        <f>SUM(OSRRefD22_16x_0)</f>
        <v>612.79</v>
      </c>
      <c r="E80" s="2"/>
      <c r="F80" s="6">
        <f t="shared" si="8"/>
        <v>1.8051487464778328E-3</v>
      </c>
      <c r="G80" s="2"/>
      <c r="H80" s="2">
        <f>SUM(OSRRefH22_16x_0)</f>
        <v>0</v>
      </c>
      <c r="I80" s="2"/>
      <c r="J80" s="6">
        <f t="shared" si="9"/>
        <v>0</v>
      </c>
      <c r="K80" s="2"/>
      <c r="L80" s="2">
        <f t="shared" si="10"/>
        <v>612.79</v>
      </c>
      <c r="M80" s="2"/>
      <c r="N80" s="6">
        <f t="shared" si="11"/>
        <v>0</v>
      </c>
      <c r="O80" s="14"/>
      <c r="P80" s="2">
        <f>SUM(OSRRefP22_16x_0)</f>
        <v>1169.79</v>
      </c>
      <c r="Q80" s="2"/>
      <c r="R80" s="6">
        <f t="shared" si="12"/>
        <v>2.0499429425625663E-4</v>
      </c>
      <c r="S80" s="2"/>
      <c r="T80" s="2">
        <f>SUM(OSRRefT22_16x_0)</f>
        <v>735</v>
      </c>
      <c r="U80" s="2"/>
      <c r="V80" s="6">
        <f t="shared" si="13"/>
        <v>7.5904198698066399E-4</v>
      </c>
      <c r="W80" s="2"/>
      <c r="X80" s="2">
        <f t="shared" si="14"/>
        <v>434.78999999999996</v>
      </c>
      <c r="Y80" s="2"/>
      <c r="Z80" s="6">
        <f t="shared" si="15"/>
        <v>0.59155102040816321</v>
      </c>
    </row>
    <row r="81" spans="1:26" s="69" customFormat="1" ht="15" hidden="1" customHeight="1" outlineLevel="2" x14ac:dyDescent="0.25">
      <c r="A81" s="25"/>
      <c r="B81" s="12" t="str">
        <f>CONCATENATE("          ","6376"," - ","TRAINING")</f>
        <v xml:space="preserve">          6376 - TRAINING</v>
      </c>
      <c r="C81" s="12"/>
      <c r="D81" s="7">
        <v>612.79</v>
      </c>
      <c r="E81" s="3"/>
      <c r="F81" s="8">
        <f t="shared" si="8"/>
        <v>1.8051487464778328E-3</v>
      </c>
      <c r="G81" s="3"/>
      <c r="H81" s="7"/>
      <c r="I81" s="3"/>
      <c r="J81" s="8">
        <f t="shared" si="9"/>
        <v>0</v>
      </c>
      <c r="K81" s="3"/>
      <c r="L81" s="7">
        <f t="shared" si="10"/>
        <v>612.79</v>
      </c>
      <c r="M81" s="3"/>
      <c r="N81" s="8">
        <f t="shared" si="11"/>
        <v>0</v>
      </c>
      <c r="O81" s="12"/>
      <c r="P81" s="7">
        <v>1169.79</v>
      </c>
      <c r="Q81" s="3"/>
      <c r="R81" s="8">
        <f t="shared" si="12"/>
        <v>2.0499429425625663E-4</v>
      </c>
      <c r="S81" s="3"/>
      <c r="T81" s="7">
        <v>735</v>
      </c>
      <c r="U81" s="3"/>
      <c r="V81" s="8">
        <f t="shared" si="13"/>
        <v>7.5904198698066399E-4</v>
      </c>
      <c r="W81" s="3"/>
      <c r="X81" s="7">
        <f t="shared" si="14"/>
        <v>434.78999999999996</v>
      </c>
      <c r="Y81" s="3"/>
      <c r="Z81" s="8">
        <f t="shared" si="15"/>
        <v>0.59155102040816321</v>
      </c>
    </row>
    <row r="82" spans="1:26" s="68" customFormat="1" ht="15" customHeight="1" outlineLevel="1" collapsed="1" x14ac:dyDescent="0.25">
      <c r="A82" s="26"/>
      <c r="B82" s="14" t="str">
        <f>CONCATENATE("     ","Travel                                            ")</f>
        <v xml:space="preserve">     Travel                                            </v>
      </c>
      <c r="C82" s="14"/>
      <c r="D82" s="2">
        <f>SUM(OSRRefD22_17x_0)</f>
        <v>0</v>
      </c>
      <c r="E82" s="2"/>
      <c r="F82" s="6">
        <f t="shared" si="8"/>
        <v>0</v>
      </c>
      <c r="G82" s="2"/>
      <c r="H82" s="2">
        <f>SUM(OSRRefH22_17x_0)</f>
        <v>0</v>
      </c>
      <c r="I82" s="2"/>
      <c r="J82" s="6">
        <f t="shared" si="9"/>
        <v>0</v>
      </c>
      <c r="K82" s="2"/>
      <c r="L82" s="2">
        <f t="shared" si="10"/>
        <v>0</v>
      </c>
      <c r="M82" s="2"/>
      <c r="N82" s="6">
        <f t="shared" si="11"/>
        <v>0</v>
      </c>
      <c r="O82" s="14"/>
      <c r="P82" s="2">
        <f>SUM(OSRRefP22_17x_0)</f>
        <v>0</v>
      </c>
      <c r="Q82" s="2"/>
      <c r="R82" s="6">
        <f t="shared" si="12"/>
        <v>0</v>
      </c>
      <c r="S82" s="2"/>
      <c r="T82" s="2">
        <f>SUM(OSRRefT22_17x_0)</f>
        <v>160.30000000000001</v>
      </c>
      <c r="U82" s="2"/>
      <c r="V82" s="6">
        <f t="shared" si="13"/>
        <v>1.6554344287483054E-4</v>
      </c>
      <c r="W82" s="2"/>
      <c r="X82" s="2">
        <f t="shared" si="14"/>
        <v>-160.30000000000001</v>
      </c>
      <c r="Y82" s="2"/>
      <c r="Z82" s="6">
        <f t="shared" si="15"/>
        <v>-1</v>
      </c>
    </row>
    <row r="83" spans="1:26" s="69" customFormat="1" ht="15" hidden="1" customHeight="1" outlineLevel="2" x14ac:dyDescent="0.25">
      <c r="A83" s="25"/>
      <c r="B83" s="12" t="str">
        <f>CONCATENATE("          ","6294"," - ","TRAVEL OPERATIONAL")</f>
        <v xml:space="preserve">          6294 - TRAVEL OPERATIONAL</v>
      </c>
      <c r="C83" s="12"/>
      <c r="D83" s="7"/>
      <c r="E83" s="3"/>
      <c r="F83" s="8">
        <f t="shared" si="8"/>
        <v>0</v>
      </c>
      <c r="G83" s="3"/>
      <c r="H83" s="7"/>
      <c r="I83" s="3"/>
      <c r="J83" s="8">
        <f t="shared" si="9"/>
        <v>0</v>
      </c>
      <c r="K83" s="3"/>
      <c r="L83" s="7">
        <f t="shared" si="10"/>
        <v>0</v>
      </c>
      <c r="M83" s="3"/>
      <c r="N83" s="8">
        <f t="shared" si="11"/>
        <v>0</v>
      </c>
      <c r="O83" s="12"/>
      <c r="P83" s="7"/>
      <c r="Q83" s="3"/>
      <c r="R83" s="8">
        <f t="shared" si="12"/>
        <v>0</v>
      </c>
      <c r="S83" s="3"/>
      <c r="T83" s="7">
        <v>160.30000000000001</v>
      </c>
      <c r="U83" s="3"/>
      <c r="V83" s="8">
        <f t="shared" si="13"/>
        <v>1.6554344287483054E-4</v>
      </c>
      <c r="W83" s="3"/>
      <c r="X83" s="7">
        <f t="shared" si="14"/>
        <v>-160.30000000000001</v>
      </c>
      <c r="Y83" s="3"/>
      <c r="Z83" s="8">
        <f t="shared" si="15"/>
        <v>-1</v>
      </c>
    </row>
    <row r="84" spans="1:26" s="64" customFormat="1" ht="15" customHeight="1" x14ac:dyDescent="0.25">
      <c r="A84" s="36"/>
      <c r="B84" s="36"/>
      <c r="C84" s="36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3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62" customFormat="1" ht="15" customHeight="1" x14ac:dyDescent="0.25">
      <c r="A85" s="11"/>
      <c r="B85" s="28" t="s">
        <v>290</v>
      </c>
      <c r="C85" s="11"/>
      <c r="D85" s="5">
        <f>SUM(0)</f>
        <v>0</v>
      </c>
      <c r="E85" s="5"/>
      <c r="F85" s="13">
        <f>IF(D$12=0,0,D85/D$12)</f>
        <v>0</v>
      </c>
      <c r="G85" s="5"/>
      <c r="H85" s="5">
        <f>SUM(0)</f>
        <v>0</v>
      </c>
      <c r="I85" s="5"/>
      <c r="J85" s="13">
        <f>IF(H$12=0,0,H85/H$12)</f>
        <v>0</v>
      </c>
      <c r="K85" s="5"/>
      <c r="L85" s="5">
        <f>+D85-H85</f>
        <v>0</v>
      </c>
      <c r="M85" s="5"/>
      <c r="N85" s="13">
        <f>IF(H85=0,0,L85/H85)</f>
        <v>0</v>
      </c>
      <c r="O85" s="11"/>
      <c r="P85" s="5">
        <f>SUM(0)</f>
        <v>0</v>
      </c>
      <c r="Q85" s="5"/>
      <c r="R85" s="13">
        <f>IF(P$12=0,0,P85/P$12)</f>
        <v>0</v>
      </c>
      <c r="S85" s="5"/>
      <c r="T85" s="5">
        <f>SUM(0)</f>
        <v>0</v>
      </c>
      <c r="U85" s="5"/>
      <c r="V85" s="13">
        <f>IF(T$12=0,0,T85/T$12)</f>
        <v>0</v>
      </c>
      <c r="W85" s="5"/>
      <c r="X85" s="5">
        <f>+P85-T85</f>
        <v>0</v>
      </c>
      <c r="Y85" s="5"/>
      <c r="Z85" s="13">
        <f>IF(T85=0,0,X85/T85)</f>
        <v>0</v>
      </c>
    </row>
    <row r="86" spans="1:26" ht="15" customHeight="1" x14ac:dyDescent="0.25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25">
      <c r="A87" s="11"/>
      <c r="B87" s="27" t="s">
        <v>291</v>
      </c>
      <c r="C87" s="27"/>
      <c r="D87" s="22">
        <f>+D21-D23+D85</f>
        <v>129017.1</v>
      </c>
      <c r="E87" s="15"/>
      <c r="F87" s="23">
        <f>IF(D$12=0,0,D87/D$12)</f>
        <v>0.38005688137731558</v>
      </c>
      <c r="G87" s="15"/>
      <c r="H87" s="22">
        <f>+H21-H23+H85</f>
        <v>-71006.36</v>
      </c>
      <c r="I87" s="15"/>
      <c r="J87" s="23">
        <f>IF(H$12=0,0,H87/H$12)</f>
        <v>-1.4029578024140568</v>
      </c>
      <c r="K87" s="16"/>
      <c r="L87" s="22">
        <f>+D87-H87</f>
        <v>200023.46000000002</v>
      </c>
      <c r="M87" s="16"/>
      <c r="N87" s="23">
        <f>IF(H87=0,0,L87/H87)</f>
        <v>-2.8169794931045615</v>
      </c>
      <c r="O87" s="28"/>
      <c r="P87" s="22">
        <f>+P21-P23+P85</f>
        <v>2329704.5499999998</v>
      </c>
      <c r="Q87" s="15"/>
      <c r="R87" s="23">
        <f>IF(P$12=0,0,P87/P$12)</f>
        <v>0.40825801216700425</v>
      </c>
      <c r="S87" s="15"/>
      <c r="T87" s="22">
        <f>+T21-T23+T85</f>
        <v>-712660.50000000023</v>
      </c>
      <c r="U87" s="15"/>
      <c r="V87" s="23">
        <f>IF(T$12=0,0,T87/T$12)</f>
        <v>-0.73597175777229074</v>
      </c>
      <c r="W87" s="16"/>
      <c r="X87" s="22">
        <f>+P87-T87</f>
        <v>3042365.05</v>
      </c>
      <c r="Y87" s="16"/>
      <c r="Z87" s="23">
        <f>IF(T87=0,0,X87/T87)</f>
        <v>-4.2690243811744848</v>
      </c>
    </row>
    <row r="88" spans="1:26" ht="15" customHeight="1" x14ac:dyDescent="0.25">
      <c r="A88" s="10"/>
      <c r="B88" s="11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25">
      <c r="A89" s="48"/>
      <c r="B89" s="11" t="s">
        <v>292</v>
      </c>
      <c r="C89" s="11"/>
      <c r="D89" s="5">
        <v>33557.1</v>
      </c>
      <c r="E89" s="5"/>
      <c r="F89" s="13">
        <f>IF(D$12=0,0,D89/D$12)</f>
        <v>9.8852065145369997E-2</v>
      </c>
      <c r="G89" s="5"/>
      <c r="H89" s="5">
        <v>14932.58</v>
      </c>
      <c r="I89" s="5"/>
      <c r="J89" s="13">
        <f>IF(H$12=0,0,H89/H$12)</f>
        <v>0.29504088959315888</v>
      </c>
      <c r="K89" s="5"/>
      <c r="L89" s="5">
        <f>+D89-H89</f>
        <v>18624.519999999997</v>
      </c>
      <c r="M89" s="5"/>
      <c r="N89" s="13">
        <f>IF(H89=0,0,L89/H89)</f>
        <v>1.2472405974051368</v>
      </c>
      <c r="O89" s="11"/>
      <c r="P89" s="5">
        <v>641549.82999999996</v>
      </c>
      <c r="Q89" s="5"/>
      <c r="R89" s="13">
        <f>IF(P$12=0,0,P89/P$12)</f>
        <v>0.11242535380800948</v>
      </c>
      <c r="S89" s="5"/>
      <c r="T89" s="5">
        <v>206922.06</v>
      </c>
      <c r="U89" s="5"/>
      <c r="V89" s="13">
        <f>IF(T$12=0,0,T89/T$12)</f>
        <v>0.21369051914630227</v>
      </c>
      <c r="W89" s="5"/>
      <c r="X89" s="5">
        <f>+P89-T89</f>
        <v>434627.76999999996</v>
      </c>
      <c r="Y89" s="5"/>
      <c r="Z89" s="13">
        <f>IF(T89=0,0,X89/T89)</f>
        <v>2.1004419248484187</v>
      </c>
    </row>
    <row r="90" spans="1:26" ht="15" customHeight="1" x14ac:dyDescent="0.25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25">
      <c r="A91" s="11"/>
      <c r="B91" s="27" t="s">
        <v>293</v>
      </c>
      <c r="C91" s="27"/>
      <c r="D91" s="35">
        <f>+D87-D89</f>
        <v>95460</v>
      </c>
      <c r="E91" s="15"/>
      <c r="F91" s="30">
        <f>IF(D$12=0,0,D91/D$12)</f>
        <v>0.28120481623194554</v>
      </c>
      <c r="G91" s="15"/>
      <c r="H91" s="35">
        <f>+H87-H89</f>
        <v>-85938.94</v>
      </c>
      <c r="I91" s="15"/>
      <c r="J91" s="30">
        <f>IF(H$12=0,0,H91/H$12)</f>
        <v>-1.6979986920072156</v>
      </c>
      <c r="K91" s="16"/>
      <c r="L91" s="35">
        <f>D91-H91</f>
        <v>181398.94</v>
      </c>
      <c r="M91" s="16"/>
      <c r="N91" s="30">
        <f>IF(H91=0,0,L91/H91)</f>
        <v>-2.1107886599485632</v>
      </c>
      <c r="O91" s="28"/>
      <c r="P91" s="35">
        <f>+P87-P89</f>
        <v>1688154.7199999997</v>
      </c>
      <c r="Q91" s="15"/>
      <c r="R91" s="30">
        <f>IF(P$12=0,0,P91/P$12)</f>
        <v>0.29583265835899475</v>
      </c>
      <c r="S91" s="15"/>
      <c r="T91" s="35">
        <f>+T87-T89</f>
        <v>-919582.56000000029</v>
      </c>
      <c r="U91" s="15"/>
      <c r="V91" s="30">
        <f>IF(T$12=0,0,T91/T$12)</f>
        <v>-0.94966227691859306</v>
      </c>
      <c r="W91" s="16"/>
      <c r="X91" s="35">
        <f>P91-T91</f>
        <v>2607737.2800000003</v>
      </c>
      <c r="Y91" s="16"/>
      <c r="Z91" s="30">
        <f>IF(T91=0,0,X91/T91)</f>
        <v>-2.8357837495308735</v>
      </c>
    </row>
    <row r="92" spans="1:26" ht="15" customHeight="1" x14ac:dyDescent="0.25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ht="15" customHeight="1" x14ac:dyDescent="0.25">
      <c r="A93" s="10"/>
      <c r="B93" s="10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2" customFormat="1" ht="15" customHeight="1" x14ac:dyDescent="0.25">
      <c r="A94" s="11"/>
      <c r="B94" s="27" t="s">
        <v>296</v>
      </c>
      <c r="C94" s="27"/>
      <c r="D94" s="32">
        <f>SUM(D91:D93)</f>
        <v>95460</v>
      </c>
      <c r="E94" s="15"/>
      <c r="F94" s="34">
        <f>IF(D$12=0,0,D94/D$12)</f>
        <v>0.28120481623194554</v>
      </c>
      <c r="G94" s="15"/>
      <c r="H94" s="32">
        <f>SUM(H91:H93)</f>
        <v>-85938.94</v>
      </c>
      <c r="I94" s="15"/>
      <c r="J94" s="34">
        <f>IF(H$12=0,0,H94/H$12)</f>
        <v>-1.6979986920072156</v>
      </c>
      <c r="K94" s="16"/>
      <c r="L94" s="32">
        <f>+D94-H94</f>
        <v>181398.94</v>
      </c>
      <c r="M94" s="16"/>
      <c r="N94" s="34">
        <f>IF(H94=0,0,L94/H94)</f>
        <v>-2.1107886599485632</v>
      </c>
      <c r="O94" s="28"/>
      <c r="P94" s="32">
        <f>SUM(P91:P93)</f>
        <v>1688154.7199999997</v>
      </c>
      <c r="Q94" s="15"/>
      <c r="R94" s="34">
        <f>IF(P$12=0,0,P94/P$12)</f>
        <v>0.29583265835899475</v>
      </c>
      <c r="S94" s="15"/>
      <c r="T94" s="32">
        <f>SUM(T91:T93)</f>
        <v>-919582.56000000029</v>
      </c>
      <c r="U94" s="15"/>
      <c r="V94" s="34">
        <f>IF(T$12=0,0,T94/T$12)</f>
        <v>-0.94966227691859306</v>
      </c>
      <c r="W94" s="16"/>
      <c r="X94" s="32">
        <f>+P94-T94</f>
        <v>2607737.2800000003</v>
      </c>
      <c r="Y94" s="16"/>
      <c r="Z94" s="34">
        <f>IF(T94=0,0,X94/T94)</f>
        <v>-2.8357837495308735</v>
      </c>
    </row>
    <row r="95" spans="1:26" ht="15" customHeight="1" x14ac:dyDescent="0.25">
      <c r="A95" s="10"/>
      <c r="C95" s="10"/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  <row r="96" spans="1:26" ht="15" customHeight="1" x14ac:dyDescent="0.25">
      <c r="A96" s="10"/>
      <c r="B96" s="50">
        <v>44727.879654085649</v>
      </c>
      <c r="D96" s="18"/>
      <c r="E96" s="18"/>
      <c r="G96" s="18"/>
      <c r="H96" s="18"/>
      <c r="I96" s="18"/>
      <c r="J96" s="41"/>
      <c r="K96" s="18"/>
      <c r="L96" s="18"/>
      <c r="M96" s="18"/>
      <c r="P96" s="18"/>
      <c r="Q96" s="18"/>
      <c r="R96" s="41"/>
      <c r="S96" s="18"/>
      <c r="T96" s="18"/>
      <c r="U96" s="18"/>
      <c r="V96" s="41"/>
      <c r="W96" s="18"/>
      <c r="X96" s="18"/>
    </row>
    <row r="97" spans="1:24" ht="15" customHeight="1" x14ac:dyDescent="0.25">
      <c r="A97" s="10"/>
      <c r="B97" s="53" t="s">
        <v>297</v>
      </c>
      <c r="D97" s="18"/>
      <c r="E97" s="18"/>
      <c r="G97" s="18"/>
      <c r="H97" s="18"/>
      <c r="I97" s="18"/>
      <c r="J97" s="41"/>
      <c r="K97" s="18"/>
      <c r="L97" s="18"/>
      <c r="M97" s="18"/>
      <c r="P97" s="18"/>
      <c r="Q97" s="18"/>
      <c r="R97" s="41"/>
      <c r="S97" s="18"/>
      <c r="T97" s="18"/>
      <c r="U97" s="18"/>
      <c r="V97" s="41"/>
      <c r="W97" s="18"/>
      <c r="X97" s="18"/>
    </row>
    <row r="98" spans="1:24" ht="15" customHeight="1" x14ac:dyDescent="0.25">
      <c r="A98" s="10"/>
      <c r="B98" s="55"/>
      <c r="D98" s="18"/>
      <c r="E98" s="18"/>
      <c r="G98" s="18"/>
      <c r="H98" s="18"/>
      <c r="I98" s="18"/>
      <c r="J98" s="41"/>
      <c r="K98" s="18"/>
      <c r="L98" s="18"/>
      <c r="M98" s="18"/>
      <c r="P98" s="18"/>
      <c r="Q98" s="18"/>
      <c r="R98" s="41"/>
      <c r="S98" s="18"/>
      <c r="T98" s="18"/>
      <c r="U98" s="18"/>
      <c r="V98" s="41"/>
      <c r="W98" s="18"/>
      <c r="X98" s="18"/>
    </row>
    <row r="99" spans="1:24" ht="15" customHeight="1" x14ac:dyDescent="0.25">
      <c r="D99" s="18"/>
      <c r="E99" s="18"/>
      <c r="G99" s="18"/>
      <c r="H99" s="18"/>
      <c r="I99" s="18"/>
      <c r="J99" s="41"/>
      <c r="K99" s="18"/>
      <c r="L99" s="18"/>
      <c r="M99" s="18"/>
      <c r="P99" s="18"/>
      <c r="Q99" s="18"/>
      <c r="R99" s="41"/>
      <c r="S99" s="18"/>
      <c r="T99" s="18"/>
      <c r="U99" s="18"/>
      <c r="V99" s="41"/>
      <c r="W99" s="18"/>
      <c r="X9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1DA0A-4E16-65D9-F8B2-418C087FF691}">
  <sheetPr>
    <tabColor rgb="FF92D050"/>
    <outlinePr summaryBelow="0" summaryRight="0"/>
  </sheetPr>
  <dimension ref="A2:Z9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","450"," - ","Beachside Dining Hall")</f>
        <v>Department 450 - Beachside Dining Hall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127613.42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127613.42</v>
      </c>
      <c r="M12" s="5"/>
      <c r="N12" s="13">
        <f>IF(H12=0,0,L12/H12)</f>
        <v>0</v>
      </c>
      <c r="O12" s="11"/>
      <c r="P12" s="5">
        <f>SUM(OSRRefP13x_0)</f>
        <v>1977098.7000000002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1977098.7000000002</v>
      </c>
      <c r="Y12" s="5"/>
      <c r="Z12" s="13">
        <f>IF(T12=0,0,X12/T12)</f>
        <v>0</v>
      </c>
    </row>
    <row r="13" spans="1:26" s="69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--354.32</f>
        <v>354.32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354.32</v>
      </c>
      <c r="Y13" s="3"/>
      <c r="Z13" s="20">
        <f>IF(T13=0,0,X13/T13)</f>
        <v>0</v>
      </c>
    </row>
    <row r="14" spans="1:26" s="69" customFormat="1" ht="15" hidden="1" customHeight="1" outlineLevel="1" x14ac:dyDescent="0.25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--127002.42</f>
        <v>127002.42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127002.42</v>
      </c>
      <c r="M14" s="3"/>
      <c r="N14" s="20">
        <f>IF(H14=0,0,L14/H14)</f>
        <v>0</v>
      </c>
      <c r="O14" s="12"/>
      <c r="P14" s="3">
        <f>--1967496.07</f>
        <v>1967496.07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1967496.07</v>
      </c>
      <c r="Y14" s="3"/>
      <c r="Z14" s="20">
        <f>IF(T14=0,0,X14/T14)</f>
        <v>0</v>
      </c>
    </row>
    <row r="15" spans="1:26" s="69" customFormat="1" ht="15" hidden="1" customHeight="1" outlineLevel="1" x14ac:dyDescent="0.25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--611</f>
        <v>611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611</v>
      </c>
      <c r="M15" s="3"/>
      <c r="N15" s="20">
        <f>IF(H15=0,0,L15/H15)</f>
        <v>0</v>
      </c>
      <c r="O15" s="12"/>
      <c r="P15" s="3">
        <f>--9248.31</f>
        <v>9248.31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9248.31</v>
      </c>
      <c r="Y15" s="3"/>
      <c r="Z15" s="20">
        <f>IF(T15=0,0,X15/T15)</f>
        <v>0</v>
      </c>
    </row>
    <row r="16" spans="1:26" ht="15" customHeight="1" x14ac:dyDescent="0.25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25">
      <c r="A17" s="11"/>
      <c r="B17" s="28" t="s">
        <v>287</v>
      </c>
      <c r="C17" s="11"/>
      <c r="D17" s="5">
        <f>SUM(OSRRefD16x_0)</f>
        <v>35140.910000000003</v>
      </c>
      <c r="E17" s="5"/>
      <c r="F17" s="13">
        <f>IF(D$12=0,0,D17/D$12)</f>
        <v>0.27537001986154752</v>
      </c>
      <c r="G17" s="5"/>
      <c r="H17" s="5">
        <f>SUM(OSRRefH16x_0)</f>
        <v>0</v>
      </c>
      <c r="I17" s="5"/>
      <c r="J17" s="13">
        <f>IF(H$12=0,0,H17/H$12)</f>
        <v>0</v>
      </c>
      <c r="K17" s="5"/>
      <c r="L17" s="5">
        <f>+D17-H17</f>
        <v>35140.910000000003</v>
      </c>
      <c r="M17" s="5"/>
      <c r="N17" s="13">
        <f>IF(H17=0,0,L17/H17)</f>
        <v>0</v>
      </c>
      <c r="O17" s="11"/>
      <c r="P17" s="5">
        <f>SUM(OSRRefP16x_0)</f>
        <v>467685.56</v>
      </c>
      <c r="Q17" s="5"/>
      <c r="R17" s="13">
        <f>IF(P$12=0,0,P17/P$12)</f>
        <v>0.23655144783616516</v>
      </c>
      <c r="S17" s="5"/>
      <c r="T17" s="5">
        <f>SUM(OSRRefT16x_0)</f>
        <v>0</v>
      </c>
      <c r="U17" s="5"/>
      <c r="V17" s="13">
        <f>IF(T$12=0,0,T17/T$12)</f>
        <v>0</v>
      </c>
      <c r="W17" s="5"/>
      <c r="X17" s="5">
        <f>+P17-T17</f>
        <v>467685.56</v>
      </c>
      <c r="Y17" s="5"/>
      <c r="Z17" s="13">
        <f>IF(T17=0,0,X17/T17)</f>
        <v>0</v>
      </c>
    </row>
    <row r="18" spans="1:26" s="69" customFormat="1" ht="15" hidden="1" customHeight="1" outlineLevel="1" x14ac:dyDescent="0.25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28313.91</v>
      </c>
      <c r="E18" s="3"/>
      <c r="F18" s="20">
        <f>IF(D$12=0,0,D18/D$12)</f>
        <v>0.22187251152739265</v>
      </c>
      <c r="G18" s="3"/>
      <c r="H18" s="3"/>
      <c r="I18" s="3"/>
      <c r="J18" s="20">
        <f>IF(H$12=0,0,H18/H$12)</f>
        <v>0</v>
      </c>
      <c r="K18" s="3"/>
      <c r="L18" s="3">
        <f>+D18-H18</f>
        <v>28313.91</v>
      </c>
      <c r="M18" s="3"/>
      <c r="N18" s="20">
        <f>IF(H18=0,0,L18/H18)</f>
        <v>0</v>
      </c>
      <c r="O18" s="12"/>
      <c r="P18" s="3">
        <v>475124.62</v>
      </c>
      <c r="Q18" s="3"/>
      <c r="R18" s="20">
        <f>IF(P$12=0,0,P18/P$12)</f>
        <v>0.24031406221651957</v>
      </c>
      <c r="S18" s="3"/>
      <c r="T18" s="3"/>
      <c r="U18" s="3"/>
      <c r="V18" s="20">
        <f>IF(T$12=0,0,T18/T$12)</f>
        <v>0</v>
      </c>
      <c r="W18" s="3"/>
      <c r="X18" s="3">
        <f>+P18-T18</f>
        <v>475124.62</v>
      </c>
      <c r="Y18" s="3"/>
      <c r="Z18" s="20">
        <f>IF(T18=0,0,X18/T18)</f>
        <v>0</v>
      </c>
    </row>
    <row r="19" spans="1:26" s="69" customFormat="1" ht="15" hidden="1" customHeight="1" outlineLevel="1" x14ac:dyDescent="0.25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6827</v>
      </c>
      <c r="E19" s="3"/>
      <c r="F19" s="20">
        <f>IF(D$12=0,0,D19/D$12)</f>
        <v>5.3497508334154828E-2</v>
      </c>
      <c r="G19" s="3"/>
      <c r="H19" s="3"/>
      <c r="I19" s="3"/>
      <c r="J19" s="20">
        <f>IF(H$12=0,0,H19/H$12)</f>
        <v>0</v>
      </c>
      <c r="K19" s="3"/>
      <c r="L19" s="3">
        <f>+D19-H19</f>
        <v>6827</v>
      </c>
      <c r="M19" s="3"/>
      <c r="N19" s="20">
        <f>IF(H19=0,0,L19/H19)</f>
        <v>0</v>
      </c>
      <c r="O19" s="12"/>
      <c r="P19" s="3">
        <v>-7439.06</v>
      </c>
      <c r="Q19" s="3"/>
      <c r="R19" s="20">
        <f>IF(P$12=0,0,P19/P$12)</f>
        <v>-3.7626143803544052E-3</v>
      </c>
      <c r="S19" s="3"/>
      <c r="T19" s="3"/>
      <c r="U19" s="3"/>
      <c r="V19" s="20">
        <f>IF(T$12=0,0,T19/T$12)</f>
        <v>0</v>
      </c>
      <c r="W19" s="3"/>
      <c r="X19" s="3">
        <f>+P19-T19</f>
        <v>-7439.06</v>
      </c>
      <c r="Y19" s="3"/>
      <c r="Z19" s="20">
        <f>IF(T19=0,0,X19/T19)</f>
        <v>0</v>
      </c>
    </row>
    <row r="20" spans="1:26" ht="15" customHeight="1" x14ac:dyDescent="0.25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25">
      <c r="A21" s="11"/>
      <c r="B21" s="27" t="s">
        <v>288</v>
      </c>
      <c r="C21" s="27"/>
      <c r="D21" s="22">
        <f>D12-D17</f>
        <v>92472.51</v>
      </c>
      <c r="E21" s="15"/>
      <c r="F21" s="23">
        <f>IF(D$12=0,0,D21/D$12)</f>
        <v>0.72462998013845248</v>
      </c>
      <c r="G21" s="15"/>
      <c r="H21" s="22">
        <f>H12-H17</f>
        <v>0</v>
      </c>
      <c r="I21" s="15"/>
      <c r="J21" s="23">
        <f>IF(H$12=0,0,H21/H$12)</f>
        <v>0</v>
      </c>
      <c r="K21" s="16"/>
      <c r="L21" s="22">
        <f>+D21-H21</f>
        <v>92472.51</v>
      </c>
      <c r="M21" s="16"/>
      <c r="N21" s="23">
        <f>IF(H21=0,0,L21/H21)</f>
        <v>0</v>
      </c>
      <c r="O21" s="28"/>
      <c r="P21" s="22">
        <f>P12-P17</f>
        <v>1509413.1400000001</v>
      </c>
      <c r="Q21" s="15"/>
      <c r="R21" s="23">
        <f>IF(P$12=0,0,P21/P$12)</f>
        <v>0.76344855216383478</v>
      </c>
      <c r="S21" s="15"/>
      <c r="T21" s="22">
        <f>T12-T17</f>
        <v>0</v>
      </c>
      <c r="U21" s="15"/>
      <c r="V21" s="23">
        <f>IF(T$12=0,0,T21/T$12)</f>
        <v>0</v>
      </c>
      <c r="W21" s="16"/>
      <c r="X21" s="22">
        <f>+P21-T21</f>
        <v>1509413.1400000001</v>
      </c>
      <c r="Y21" s="16"/>
      <c r="Z21" s="23">
        <f>IF(T21=0,0,X21/T21)</f>
        <v>0</v>
      </c>
    </row>
    <row r="22" spans="1:26" ht="15" customHeight="1" x14ac:dyDescent="0.25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25">
      <c r="A23" s="11"/>
      <c r="B23" s="28" t="s">
        <v>289</v>
      </c>
      <c r="C23" s="11"/>
      <c r="D23" s="21" cm="1">
        <f t="array" ref="D23">SUM(OSRRefD22x_0)</f>
        <v>96640.01</v>
      </c>
      <c r="E23" s="21"/>
      <c r="F23" s="31">
        <f t="shared" ref="F23:F54" si="0">IF(D$12=0,0,D23/D$12)</f>
        <v>0.75728720380662151</v>
      </c>
      <c r="G23" s="21"/>
      <c r="H23" s="21" cm="1">
        <f t="array" ref="H23">SUM(OSRRefH22x_0)</f>
        <v>37944.54</v>
      </c>
      <c r="I23" s="21"/>
      <c r="J23" s="31">
        <f t="shared" ref="J23:J54" si="1">IF(H$12=0,0,H23/H$12)</f>
        <v>0</v>
      </c>
      <c r="K23" s="5"/>
      <c r="L23" s="21">
        <f t="shared" ref="L23:L54" si="2">+D23-H23</f>
        <v>58695.469999999994</v>
      </c>
      <c r="M23" s="5"/>
      <c r="N23" s="31">
        <f t="shared" ref="N23:N54" si="3">IF(H23=0,0,L23/H23)</f>
        <v>1.5468752553068239</v>
      </c>
      <c r="O23" s="11"/>
      <c r="P23" s="21" cm="1">
        <f t="array" ref="P23">SUM(OSRRefP22x_0)</f>
        <v>1270769.7799999998</v>
      </c>
      <c r="Q23" s="21"/>
      <c r="R23" s="31">
        <f t="shared" ref="R23:R54" si="4">IF(P$12=0,0,P23/P$12)</f>
        <v>0.64274473499982554</v>
      </c>
      <c r="S23" s="21"/>
      <c r="T23" s="21" cm="1">
        <f t="array" ref="T23">SUM(OSRRefT22x_0)</f>
        <v>449111.68999999994</v>
      </c>
      <c r="U23" s="21"/>
      <c r="V23" s="31">
        <f t="shared" ref="V23:V54" si="5">IF(T$12=0,0,T23/T$12)</f>
        <v>0</v>
      </c>
      <c r="W23" s="5"/>
      <c r="X23" s="21">
        <f t="shared" ref="X23:X54" si="6">+P23-T23</f>
        <v>821658.08999999985</v>
      </c>
      <c r="Y23" s="5"/>
      <c r="Z23" s="31">
        <f t="shared" ref="Z23:Z54" si="7">IF(T23=0,0,X23/T23)</f>
        <v>1.829518376598035</v>
      </c>
    </row>
    <row r="24" spans="1:26" s="68" customFormat="1" ht="15" customHeight="1" outlineLevel="1" collapsed="1" x14ac:dyDescent="0.25">
      <c r="A24" s="26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26385.83</v>
      </c>
      <c r="E24" s="2"/>
      <c r="F24" s="6">
        <f t="shared" si="0"/>
        <v>0.2067637557241237</v>
      </c>
      <c r="G24" s="2"/>
      <c r="H24" s="2">
        <f>SUM(OSRRefH22_0x_0)</f>
        <v>19228.07</v>
      </c>
      <c r="I24" s="2"/>
      <c r="J24" s="6">
        <f t="shared" si="1"/>
        <v>0</v>
      </c>
      <c r="K24" s="2"/>
      <c r="L24" s="2">
        <f t="shared" si="2"/>
        <v>7157.760000000002</v>
      </c>
      <c r="M24" s="2"/>
      <c r="N24" s="6">
        <f t="shared" si="3"/>
        <v>0.37225576981985203</v>
      </c>
      <c r="O24" s="14"/>
      <c r="P24" s="2">
        <f>SUM(OSRRefP22_0x_0)</f>
        <v>269193.98000000004</v>
      </c>
      <c r="Q24" s="2"/>
      <c r="R24" s="6">
        <f t="shared" si="4"/>
        <v>0.13615606545085485</v>
      </c>
      <c r="S24" s="2"/>
      <c r="T24" s="2">
        <f>SUM(OSRRefT22_0x_0)</f>
        <v>214031.3</v>
      </c>
      <c r="U24" s="2"/>
      <c r="V24" s="6">
        <f t="shared" si="5"/>
        <v>0</v>
      </c>
      <c r="W24" s="2"/>
      <c r="X24" s="2">
        <f t="shared" si="6"/>
        <v>55162.680000000051</v>
      </c>
      <c r="Y24" s="2"/>
      <c r="Z24" s="6">
        <f t="shared" si="7"/>
        <v>0.25773183641831848</v>
      </c>
    </row>
    <row r="25" spans="1:26" s="69" customFormat="1" ht="15" hidden="1" customHeight="1" outlineLevel="2" x14ac:dyDescent="0.25">
      <c r="A25" s="25"/>
      <c r="B25" s="12" t="str">
        <f>CONCATENATE("          ","6111"," - ","F.I.C.A.")</f>
        <v xml:space="preserve">          6111 - F.I.C.A.</v>
      </c>
      <c r="C25" s="12"/>
      <c r="D25" s="7">
        <v>3256.18</v>
      </c>
      <c r="E25" s="3"/>
      <c r="F25" s="8">
        <f t="shared" si="0"/>
        <v>2.5515968461624176E-2</v>
      </c>
      <c r="G25" s="3"/>
      <c r="H25" s="7">
        <v>1481.26</v>
      </c>
      <c r="I25" s="3"/>
      <c r="J25" s="8">
        <f t="shared" si="1"/>
        <v>0</v>
      </c>
      <c r="K25" s="3"/>
      <c r="L25" s="7">
        <f t="shared" si="2"/>
        <v>1774.9199999999998</v>
      </c>
      <c r="M25" s="3"/>
      <c r="N25" s="8">
        <f t="shared" si="3"/>
        <v>1.1982501383956901</v>
      </c>
      <c r="O25" s="12"/>
      <c r="P25" s="7">
        <v>36297.370000000003</v>
      </c>
      <c r="Q25" s="3"/>
      <c r="R25" s="8">
        <f t="shared" si="4"/>
        <v>1.8358906411703169E-2</v>
      </c>
      <c r="S25" s="3"/>
      <c r="T25" s="7">
        <v>18761.3</v>
      </c>
      <c r="U25" s="3"/>
      <c r="V25" s="8">
        <f t="shared" si="5"/>
        <v>0</v>
      </c>
      <c r="W25" s="3"/>
      <c r="X25" s="7">
        <f t="shared" si="6"/>
        <v>17536.070000000003</v>
      </c>
      <c r="Y25" s="3"/>
      <c r="Z25" s="8">
        <f t="shared" si="7"/>
        <v>0.93469375789524201</v>
      </c>
    </row>
    <row r="26" spans="1:26" s="69" customFormat="1" ht="15" hidden="1" customHeight="1" outlineLevel="2" x14ac:dyDescent="0.25">
      <c r="A26" s="25"/>
      <c r="B26" s="12" t="str">
        <f>CONCATENATE("          ","6112"," - ","COMPENSATION INSURANCE")</f>
        <v xml:space="preserve">          6112 - COMPENSATION INSURANCE</v>
      </c>
      <c r="C26" s="12"/>
      <c r="D26" s="7">
        <v>3267.98</v>
      </c>
      <c r="E26" s="3"/>
      <c r="F26" s="8">
        <f t="shared" si="0"/>
        <v>2.5608435225699618E-2</v>
      </c>
      <c r="G26" s="3"/>
      <c r="H26" s="7">
        <v>1264.07</v>
      </c>
      <c r="I26" s="3"/>
      <c r="J26" s="8">
        <f t="shared" si="1"/>
        <v>0</v>
      </c>
      <c r="K26" s="3"/>
      <c r="L26" s="7">
        <f t="shared" si="2"/>
        <v>2003.91</v>
      </c>
      <c r="M26" s="3"/>
      <c r="N26" s="8">
        <f t="shared" si="3"/>
        <v>1.5852840428140849</v>
      </c>
      <c r="O26" s="12"/>
      <c r="P26" s="7">
        <v>23737.19</v>
      </c>
      <c r="Q26" s="3"/>
      <c r="R26" s="8">
        <f t="shared" si="4"/>
        <v>1.2006072332150133E-2</v>
      </c>
      <c r="S26" s="3"/>
      <c r="T26" s="7">
        <v>10450.27</v>
      </c>
      <c r="U26" s="3"/>
      <c r="V26" s="8">
        <f t="shared" si="5"/>
        <v>0</v>
      </c>
      <c r="W26" s="3"/>
      <c r="X26" s="7">
        <f t="shared" si="6"/>
        <v>13286.919999999998</v>
      </c>
      <c r="Y26" s="3"/>
      <c r="Z26" s="8">
        <f t="shared" si="7"/>
        <v>1.2714427474122676</v>
      </c>
    </row>
    <row r="27" spans="1:26" s="69" customFormat="1" ht="15" hidden="1" customHeight="1" outlineLevel="2" x14ac:dyDescent="0.25">
      <c r="A27" s="25"/>
      <c r="B27" s="12" t="str">
        <f>CONCATENATE("          ","6113"," - ","GROUP INSURANCE")</f>
        <v xml:space="preserve">          6113 - GROUP INSURANCE</v>
      </c>
      <c r="C27" s="12"/>
      <c r="D27" s="7">
        <v>12774.24</v>
      </c>
      <c r="E27" s="3"/>
      <c r="F27" s="8">
        <f t="shared" si="0"/>
        <v>0.10010107087483433</v>
      </c>
      <c r="G27" s="3"/>
      <c r="H27" s="7">
        <v>12477.9</v>
      </c>
      <c r="I27" s="3"/>
      <c r="J27" s="8">
        <f t="shared" si="1"/>
        <v>0</v>
      </c>
      <c r="K27" s="3"/>
      <c r="L27" s="7">
        <f t="shared" si="2"/>
        <v>296.34000000000015</v>
      </c>
      <c r="M27" s="3"/>
      <c r="N27" s="8">
        <f t="shared" si="3"/>
        <v>2.3749188565383609E-2</v>
      </c>
      <c r="O27" s="12"/>
      <c r="P27" s="7">
        <v>135348.54999999999</v>
      </c>
      <c r="Q27" s="3"/>
      <c r="R27" s="8">
        <f t="shared" si="4"/>
        <v>6.8458165492698966E-2</v>
      </c>
      <c r="S27" s="3"/>
      <c r="T27" s="7">
        <v>138091.07999999999</v>
      </c>
      <c r="U27" s="3"/>
      <c r="V27" s="8">
        <f t="shared" si="5"/>
        <v>0</v>
      </c>
      <c r="W27" s="3"/>
      <c r="X27" s="7">
        <f t="shared" si="6"/>
        <v>-2742.5299999999988</v>
      </c>
      <c r="Y27" s="3"/>
      <c r="Z27" s="8">
        <f t="shared" si="7"/>
        <v>-1.9860298000421165E-2</v>
      </c>
    </row>
    <row r="28" spans="1:26" s="69" customFormat="1" ht="15" hidden="1" customHeight="1" outlineLevel="2" x14ac:dyDescent="0.25">
      <c r="A28" s="25"/>
      <c r="B28" s="12" t="str">
        <f>CONCATENATE("          ","6114"," - ","STATE UNEMPLOYMENT INSURANCE")</f>
        <v xml:space="preserve">          6114 - STATE UNEMPLOYMENT INSURANCE</v>
      </c>
      <c r="C28" s="12"/>
      <c r="D28" s="7">
        <v>236.02</v>
      </c>
      <c r="E28" s="3"/>
      <c r="F28" s="8">
        <f t="shared" si="0"/>
        <v>1.8494920048377358E-3</v>
      </c>
      <c r="G28" s="3"/>
      <c r="H28" s="7">
        <v>76.61</v>
      </c>
      <c r="I28" s="3"/>
      <c r="J28" s="8">
        <f t="shared" si="1"/>
        <v>0</v>
      </c>
      <c r="K28" s="3"/>
      <c r="L28" s="7">
        <f t="shared" si="2"/>
        <v>159.41000000000003</v>
      </c>
      <c r="M28" s="3"/>
      <c r="N28" s="8">
        <f t="shared" si="3"/>
        <v>2.0807988513248925</v>
      </c>
      <c r="O28" s="12"/>
      <c r="P28" s="7">
        <v>1714.35</v>
      </c>
      <c r="Q28" s="3"/>
      <c r="R28" s="8">
        <f t="shared" si="4"/>
        <v>8.6710390331044157E-4</v>
      </c>
      <c r="S28" s="3"/>
      <c r="T28" s="7">
        <v>642.02</v>
      </c>
      <c r="U28" s="3"/>
      <c r="V28" s="8">
        <f t="shared" si="5"/>
        <v>0</v>
      </c>
      <c r="W28" s="3"/>
      <c r="X28" s="7">
        <f t="shared" si="6"/>
        <v>1072.33</v>
      </c>
      <c r="Y28" s="3"/>
      <c r="Z28" s="8">
        <f t="shared" si="7"/>
        <v>1.6702439176349646</v>
      </c>
    </row>
    <row r="29" spans="1:26" s="69" customFormat="1" ht="15" hidden="1" customHeight="1" outlineLevel="2" x14ac:dyDescent="0.25">
      <c r="A29" s="25"/>
      <c r="B29" s="12" t="str">
        <f>CONCATENATE("          ","6115"," - ","P.E.R.S.")</f>
        <v xml:space="preserve">          6115 - P.E.R.S.</v>
      </c>
      <c r="C29" s="12"/>
      <c r="D29" s="7">
        <v>1221.58</v>
      </c>
      <c r="E29" s="3"/>
      <c r="F29" s="8">
        <f t="shared" si="0"/>
        <v>9.5725042084131903E-3</v>
      </c>
      <c r="G29" s="3"/>
      <c r="H29" s="7">
        <v>494.19</v>
      </c>
      <c r="I29" s="3"/>
      <c r="J29" s="8">
        <f t="shared" si="1"/>
        <v>0</v>
      </c>
      <c r="K29" s="3"/>
      <c r="L29" s="7">
        <f t="shared" si="2"/>
        <v>727.38999999999987</v>
      </c>
      <c r="M29" s="3"/>
      <c r="N29" s="8">
        <f t="shared" si="3"/>
        <v>1.4718832837572591</v>
      </c>
      <c r="O29" s="12"/>
      <c r="P29" s="7">
        <v>9952.15</v>
      </c>
      <c r="Q29" s="3"/>
      <c r="R29" s="8">
        <f t="shared" si="4"/>
        <v>5.0337143006568153E-3</v>
      </c>
      <c r="S29" s="3"/>
      <c r="T29" s="7">
        <v>5984.66</v>
      </c>
      <c r="U29" s="3"/>
      <c r="V29" s="8">
        <f t="shared" si="5"/>
        <v>0</v>
      </c>
      <c r="W29" s="3"/>
      <c r="X29" s="7">
        <f t="shared" si="6"/>
        <v>3967.49</v>
      </c>
      <c r="Y29" s="3"/>
      <c r="Z29" s="8">
        <f t="shared" si="7"/>
        <v>0.66294325826362732</v>
      </c>
    </row>
    <row r="30" spans="1:26" s="69" customFormat="1" ht="15" hidden="1" customHeight="1" outlineLevel="2" x14ac:dyDescent="0.25">
      <c r="A30" s="25"/>
      <c r="B30" s="12" t="str">
        <f>CONCATENATE("          ","6117"," - ","RETIREMENT STAFF HOURLY")</f>
        <v xml:space="preserve">          6117 - RETIREMENT STAFF HOURLY</v>
      </c>
      <c r="C30" s="12"/>
      <c r="D30" s="7">
        <v>510.65</v>
      </c>
      <c r="E30" s="3"/>
      <c r="F30" s="8">
        <f t="shared" si="0"/>
        <v>4.0015383961968885E-3</v>
      </c>
      <c r="G30" s="3"/>
      <c r="H30" s="7">
        <v>539.33000000000004</v>
      </c>
      <c r="I30" s="3"/>
      <c r="J30" s="8">
        <f t="shared" si="1"/>
        <v>0</v>
      </c>
      <c r="K30" s="3"/>
      <c r="L30" s="7">
        <f t="shared" si="2"/>
        <v>-28.680000000000064</v>
      </c>
      <c r="M30" s="3"/>
      <c r="N30" s="8">
        <f t="shared" si="3"/>
        <v>-5.3177090093263976E-2</v>
      </c>
      <c r="O30" s="12"/>
      <c r="P30" s="7">
        <v>6989.75</v>
      </c>
      <c r="Q30" s="3"/>
      <c r="R30" s="8">
        <f t="shared" si="4"/>
        <v>3.5353571372031146E-3</v>
      </c>
      <c r="S30" s="3"/>
      <c r="T30" s="7">
        <v>6424.1</v>
      </c>
      <c r="U30" s="3"/>
      <c r="V30" s="8">
        <f t="shared" si="5"/>
        <v>0</v>
      </c>
      <c r="W30" s="3"/>
      <c r="X30" s="7">
        <f t="shared" si="6"/>
        <v>565.64999999999964</v>
      </c>
      <c r="Y30" s="3"/>
      <c r="Z30" s="8">
        <f t="shared" si="7"/>
        <v>8.8051244532307962E-2</v>
      </c>
    </row>
    <row r="31" spans="1:26" s="69" customFormat="1" ht="15" hidden="1" customHeight="1" outlineLevel="2" x14ac:dyDescent="0.25">
      <c r="A31" s="25"/>
      <c r="B31" s="12" t="str">
        <f>CONCATENATE("          ","6118"," - ","VACATION")</f>
        <v xml:space="preserve">          6118 - VACATION</v>
      </c>
      <c r="C31" s="12"/>
      <c r="D31" s="7">
        <v>2258.1999999999998</v>
      </c>
      <c r="E31" s="3"/>
      <c r="F31" s="8">
        <f t="shared" si="0"/>
        <v>1.7695631070776097E-2</v>
      </c>
      <c r="G31" s="3"/>
      <c r="H31" s="7">
        <v>1248.1600000000001</v>
      </c>
      <c r="I31" s="3"/>
      <c r="J31" s="8">
        <f t="shared" si="1"/>
        <v>0</v>
      </c>
      <c r="K31" s="3"/>
      <c r="L31" s="7">
        <f t="shared" si="2"/>
        <v>1010.0399999999997</v>
      </c>
      <c r="M31" s="3"/>
      <c r="N31" s="8">
        <f t="shared" si="3"/>
        <v>0.80922317651583109</v>
      </c>
      <c r="O31" s="12"/>
      <c r="P31" s="7">
        <v>23316.080000000002</v>
      </c>
      <c r="Q31" s="3"/>
      <c r="R31" s="8">
        <f t="shared" si="4"/>
        <v>1.1793078413333638E-2</v>
      </c>
      <c r="S31" s="3"/>
      <c r="T31" s="7">
        <v>14874.93</v>
      </c>
      <c r="U31" s="3"/>
      <c r="V31" s="8">
        <f t="shared" si="5"/>
        <v>0</v>
      </c>
      <c r="W31" s="3"/>
      <c r="X31" s="7">
        <f t="shared" si="6"/>
        <v>8441.1500000000015</v>
      </c>
      <c r="Y31" s="3"/>
      <c r="Z31" s="8">
        <f t="shared" si="7"/>
        <v>0.56747493937786608</v>
      </c>
    </row>
    <row r="32" spans="1:26" s="69" customFormat="1" ht="15" hidden="1" customHeight="1" outlineLevel="2" x14ac:dyDescent="0.25">
      <c r="A32" s="25"/>
      <c r="B32" s="12" t="str">
        <f>CONCATENATE("          ","6119"," - ","SICK LEAVE")</f>
        <v xml:space="preserve">          6119 - SICK LEAVE</v>
      </c>
      <c r="C32" s="12"/>
      <c r="D32" s="7">
        <v>1715</v>
      </c>
      <c r="E32" s="3"/>
      <c r="F32" s="8">
        <f t="shared" si="0"/>
        <v>1.3439025456727044E-2</v>
      </c>
      <c r="G32" s="3"/>
      <c r="H32" s="7">
        <v>950.34</v>
      </c>
      <c r="I32" s="3"/>
      <c r="J32" s="8">
        <f t="shared" si="1"/>
        <v>0</v>
      </c>
      <c r="K32" s="3"/>
      <c r="L32" s="7">
        <f t="shared" si="2"/>
        <v>764.66</v>
      </c>
      <c r="M32" s="3"/>
      <c r="N32" s="8">
        <f t="shared" si="3"/>
        <v>0.80461729486289113</v>
      </c>
      <c r="O32" s="12"/>
      <c r="P32" s="7">
        <v>19256.64</v>
      </c>
      <c r="Q32" s="3"/>
      <c r="R32" s="8">
        <f t="shared" si="4"/>
        <v>9.7398475857578565E-3</v>
      </c>
      <c r="S32" s="3"/>
      <c r="T32" s="7">
        <v>11379.24</v>
      </c>
      <c r="U32" s="3"/>
      <c r="V32" s="8">
        <f t="shared" si="5"/>
        <v>0</v>
      </c>
      <c r="W32" s="3"/>
      <c r="X32" s="7">
        <f t="shared" si="6"/>
        <v>7877.4</v>
      </c>
      <c r="Y32" s="3"/>
      <c r="Z32" s="8">
        <f t="shared" si="7"/>
        <v>0.69226064306579349</v>
      </c>
    </row>
    <row r="33" spans="1:26" s="69" customFormat="1" ht="15" hidden="1" customHeight="1" outlineLevel="2" x14ac:dyDescent="0.25">
      <c r="A33" s="25"/>
      <c r="B33" s="12" t="str">
        <f>CONCATENATE("          ","6156"," - ","EMPLOYEE MEALS")</f>
        <v xml:space="preserve">          6156 - EMPLOYEE MEALS</v>
      </c>
      <c r="C33" s="12"/>
      <c r="D33" s="7">
        <v>1145.98</v>
      </c>
      <c r="E33" s="3"/>
      <c r="F33" s="8">
        <f t="shared" si="0"/>
        <v>8.9800900250146115E-3</v>
      </c>
      <c r="G33" s="3"/>
      <c r="H33" s="7">
        <v>696.21</v>
      </c>
      <c r="I33" s="3"/>
      <c r="J33" s="8">
        <f t="shared" si="1"/>
        <v>0</v>
      </c>
      <c r="K33" s="3"/>
      <c r="L33" s="7">
        <f t="shared" si="2"/>
        <v>449.77</v>
      </c>
      <c r="M33" s="3"/>
      <c r="N33" s="8">
        <f t="shared" si="3"/>
        <v>0.64602634262650627</v>
      </c>
      <c r="O33" s="12"/>
      <c r="P33" s="7">
        <v>12581.9</v>
      </c>
      <c r="Q33" s="3"/>
      <c r="R33" s="8">
        <f t="shared" si="4"/>
        <v>6.3638198740406833E-3</v>
      </c>
      <c r="S33" s="3"/>
      <c r="T33" s="7">
        <v>7423.7</v>
      </c>
      <c r="U33" s="3"/>
      <c r="V33" s="8">
        <f t="shared" si="5"/>
        <v>0</v>
      </c>
      <c r="W33" s="3"/>
      <c r="X33" s="7">
        <f t="shared" si="6"/>
        <v>5158.2</v>
      </c>
      <c r="Y33" s="3"/>
      <c r="Z33" s="8">
        <f t="shared" si="7"/>
        <v>0.69482872422107578</v>
      </c>
    </row>
    <row r="34" spans="1:26" s="68" customFormat="1" ht="15" customHeight="1" outlineLevel="1" collapsed="1" x14ac:dyDescent="0.25">
      <c r="A34" s="26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48380.649999999994</v>
      </c>
      <c r="E34" s="2"/>
      <c r="F34" s="6">
        <f t="shared" si="0"/>
        <v>0.37911882621749338</v>
      </c>
      <c r="G34" s="2"/>
      <c r="H34" s="2">
        <f>SUM(OSRRefH22_1x_0)</f>
        <v>17449.73</v>
      </c>
      <c r="I34" s="2"/>
      <c r="J34" s="6">
        <f t="shared" si="1"/>
        <v>0</v>
      </c>
      <c r="K34" s="2"/>
      <c r="L34" s="2">
        <f t="shared" si="2"/>
        <v>30930.919999999995</v>
      </c>
      <c r="M34" s="2"/>
      <c r="N34" s="6">
        <f t="shared" si="3"/>
        <v>1.7725729853699739</v>
      </c>
      <c r="O34" s="14"/>
      <c r="P34" s="2">
        <f>SUM(OSRRefP22_1x_0)</f>
        <v>676015.24</v>
      </c>
      <c r="Q34" s="2"/>
      <c r="R34" s="6">
        <f t="shared" si="4"/>
        <v>0.34192285898523928</v>
      </c>
      <c r="S34" s="2"/>
      <c r="T34" s="2">
        <f>SUM(OSRRefT22_1x_0)</f>
        <v>222109.12</v>
      </c>
      <c r="U34" s="2"/>
      <c r="V34" s="6">
        <f t="shared" si="5"/>
        <v>0</v>
      </c>
      <c r="W34" s="2"/>
      <c r="X34" s="2">
        <f t="shared" si="6"/>
        <v>453906.12</v>
      </c>
      <c r="Y34" s="2"/>
      <c r="Z34" s="6">
        <f t="shared" si="7"/>
        <v>2.0436176596440525</v>
      </c>
    </row>
    <row r="35" spans="1:26" s="69" customFormat="1" ht="15" hidden="1" customHeight="1" outlineLevel="2" x14ac:dyDescent="0.25">
      <c r="A35" s="25"/>
      <c r="B35" s="12" t="str">
        <f>CONCATENATE("          ","6002"," - ","STAFF SALARIES")</f>
        <v xml:space="preserve">          6002 - STAFF SALARIES</v>
      </c>
      <c r="C35" s="12"/>
      <c r="D35" s="7">
        <v>14316.16</v>
      </c>
      <c r="E35" s="3"/>
      <c r="F35" s="8">
        <f t="shared" si="0"/>
        <v>0.11218381264290229</v>
      </c>
      <c r="G35" s="3"/>
      <c r="H35" s="7">
        <v>4032</v>
      </c>
      <c r="I35" s="3"/>
      <c r="J35" s="8">
        <f t="shared" si="1"/>
        <v>0</v>
      </c>
      <c r="K35" s="3"/>
      <c r="L35" s="7">
        <f t="shared" si="2"/>
        <v>10284.16</v>
      </c>
      <c r="M35" s="3"/>
      <c r="N35" s="8">
        <f t="shared" si="3"/>
        <v>2.5506349206349208</v>
      </c>
      <c r="O35" s="12"/>
      <c r="P35" s="7">
        <v>111742.77</v>
      </c>
      <c r="Q35" s="3"/>
      <c r="R35" s="8">
        <f t="shared" si="4"/>
        <v>5.6518559240365689E-2</v>
      </c>
      <c r="S35" s="3"/>
      <c r="T35" s="7">
        <v>47320.99</v>
      </c>
      <c r="U35" s="3"/>
      <c r="V35" s="8">
        <f t="shared" si="5"/>
        <v>0</v>
      </c>
      <c r="W35" s="3"/>
      <c r="X35" s="7">
        <f t="shared" si="6"/>
        <v>64421.780000000006</v>
      </c>
      <c r="Y35" s="3"/>
      <c r="Z35" s="8">
        <f t="shared" si="7"/>
        <v>1.3613785341346412</v>
      </c>
    </row>
    <row r="36" spans="1:26" s="69" customFormat="1" ht="15" hidden="1" customHeight="1" outlineLevel="2" x14ac:dyDescent="0.25">
      <c r="A36" s="25"/>
      <c r="B36" s="12" t="str">
        <f>CONCATENATE("          ","6004"," - ","STAFF HOURLY")</f>
        <v xml:space="preserve">          6004 - STAFF HOURLY</v>
      </c>
      <c r="C36" s="12"/>
      <c r="D36" s="7">
        <v>17648.38</v>
      </c>
      <c r="E36" s="3"/>
      <c r="F36" s="8">
        <f t="shared" si="0"/>
        <v>0.13829564320116178</v>
      </c>
      <c r="G36" s="3"/>
      <c r="H36" s="7">
        <v>13417.73</v>
      </c>
      <c r="I36" s="3"/>
      <c r="J36" s="8">
        <f t="shared" si="1"/>
        <v>0</v>
      </c>
      <c r="K36" s="3"/>
      <c r="L36" s="7">
        <f t="shared" si="2"/>
        <v>4230.6500000000015</v>
      </c>
      <c r="M36" s="3"/>
      <c r="N36" s="8">
        <f t="shared" si="3"/>
        <v>0.31530296108209077</v>
      </c>
      <c r="O36" s="12"/>
      <c r="P36" s="7">
        <v>266508.92</v>
      </c>
      <c r="Q36" s="3"/>
      <c r="R36" s="8">
        <f t="shared" si="4"/>
        <v>0.13479798454169231</v>
      </c>
      <c r="S36" s="3"/>
      <c r="T36" s="7">
        <v>174788.13</v>
      </c>
      <c r="U36" s="3"/>
      <c r="V36" s="8">
        <f t="shared" si="5"/>
        <v>0</v>
      </c>
      <c r="W36" s="3"/>
      <c r="X36" s="7">
        <f t="shared" si="6"/>
        <v>91720.789999999979</v>
      </c>
      <c r="Y36" s="3"/>
      <c r="Z36" s="8">
        <f t="shared" si="7"/>
        <v>0.52475411230728297</v>
      </c>
    </row>
    <row r="37" spans="1:26" s="69" customFormat="1" ht="15" hidden="1" customHeight="1" outlineLevel="2" x14ac:dyDescent="0.25">
      <c r="A37" s="25"/>
      <c r="B37" s="12" t="str">
        <f>CONCATENATE("          ","6005"," - ","TEMPORARY WAGES-HOURLY")</f>
        <v xml:space="preserve">          6005 - TEMPORARY WAGES-HOURLY</v>
      </c>
      <c r="C37" s="12"/>
      <c r="D37" s="7">
        <v>4975.8100000000004</v>
      </c>
      <c r="E37" s="3"/>
      <c r="F37" s="8">
        <f t="shared" si="0"/>
        <v>3.8991275369001162E-2</v>
      </c>
      <c r="G37" s="3"/>
      <c r="H37" s="7"/>
      <c r="I37" s="3"/>
      <c r="J37" s="8">
        <f t="shared" si="1"/>
        <v>0</v>
      </c>
      <c r="K37" s="3"/>
      <c r="L37" s="7">
        <f t="shared" si="2"/>
        <v>4975.8100000000004</v>
      </c>
      <c r="M37" s="3"/>
      <c r="N37" s="8">
        <f t="shared" si="3"/>
        <v>0</v>
      </c>
      <c r="O37" s="12"/>
      <c r="P37" s="7">
        <v>100344.01</v>
      </c>
      <c r="Q37" s="3"/>
      <c r="R37" s="8">
        <f t="shared" si="4"/>
        <v>5.0753161690916079E-2</v>
      </c>
      <c r="S37" s="3"/>
      <c r="T37" s="7"/>
      <c r="U37" s="3"/>
      <c r="V37" s="8">
        <f t="shared" si="5"/>
        <v>0</v>
      </c>
      <c r="W37" s="3"/>
      <c r="X37" s="7">
        <f t="shared" si="6"/>
        <v>100344.01</v>
      </c>
      <c r="Y37" s="3"/>
      <c r="Z37" s="8">
        <f t="shared" si="7"/>
        <v>0</v>
      </c>
    </row>
    <row r="38" spans="1:26" s="69" customFormat="1" ht="15" hidden="1" customHeight="1" outlineLevel="2" x14ac:dyDescent="0.25">
      <c r="A38" s="25"/>
      <c r="B38" s="12" t="str">
        <f>CONCATENATE("          ","6007"," - ","STUDENT HOURLY")</f>
        <v xml:space="preserve">          6007 - STUDENT HOURLY</v>
      </c>
      <c r="C38" s="12"/>
      <c r="D38" s="7">
        <v>8137.52</v>
      </c>
      <c r="E38" s="3"/>
      <c r="F38" s="8">
        <f t="shared" si="0"/>
        <v>6.3766961186370527E-2</v>
      </c>
      <c r="G38" s="3"/>
      <c r="H38" s="7"/>
      <c r="I38" s="3"/>
      <c r="J38" s="8">
        <f t="shared" si="1"/>
        <v>0</v>
      </c>
      <c r="K38" s="3"/>
      <c r="L38" s="7">
        <f t="shared" si="2"/>
        <v>8137.52</v>
      </c>
      <c r="M38" s="3"/>
      <c r="N38" s="8">
        <f t="shared" si="3"/>
        <v>0</v>
      </c>
      <c r="O38" s="12"/>
      <c r="P38" s="7">
        <v>148339.31</v>
      </c>
      <c r="Q38" s="3"/>
      <c r="R38" s="8">
        <f t="shared" si="4"/>
        <v>7.5028783337928437E-2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148339.31</v>
      </c>
      <c r="Y38" s="3"/>
      <c r="Z38" s="8">
        <f t="shared" si="7"/>
        <v>0</v>
      </c>
    </row>
    <row r="39" spans="1:26" s="69" customFormat="1" ht="15" hidden="1" customHeight="1" outlineLevel="2" x14ac:dyDescent="0.25">
      <c r="A39" s="25"/>
      <c r="B39" s="12" t="str">
        <f>CONCATENATE("          ","6008"," - ","STUDENT HOURLY-FICA EXEMPT")</f>
        <v xml:space="preserve">          6008 - STUDENT HOURLY-FICA EXEMPT</v>
      </c>
      <c r="C39" s="12"/>
      <c r="D39" s="7">
        <v>3302.78</v>
      </c>
      <c r="E39" s="3"/>
      <c r="F39" s="8">
        <f t="shared" si="0"/>
        <v>2.5881133818057695E-2</v>
      </c>
      <c r="G39" s="3"/>
      <c r="H39" s="7"/>
      <c r="I39" s="3"/>
      <c r="J39" s="8">
        <f t="shared" si="1"/>
        <v>0</v>
      </c>
      <c r="K39" s="3"/>
      <c r="L39" s="7">
        <f t="shared" si="2"/>
        <v>3302.78</v>
      </c>
      <c r="M39" s="3"/>
      <c r="N39" s="8">
        <f t="shared" si="3"/>
        <v>0</v>
      </c>
      <c r="O39" s="12"/>
      <c r="P39" s="7">
        <v>49080.23</v>
      </c>
      <c r="Q39" s="3"/>
      <c r="R39" s="8">
        <f t="shared" si="4"/>
        <v>2.4824370174336769E-2</v>
      </c>
      <c r="S39" s="3"/>
      <c r="T39" s="7"/>
      <c r="U39" s="3"/>
      <c r="V39" s="8">
        <f t="shared" si="5"/>
        <v>0</v>
      </c>
      <c r="W39" s="3"/>
      <c r="X39" s="7">
        <f t="shared" si="6"/>
        <v>49080.23</v>
      </c>
      <c r="Y39" s="3"/>
      <c r="Z39" s="8">
        <f t="shared" si="7"/>
        <v>0</v>
      </c>
    </row>
    <row r="40" spans="1:26" s="68" customFormat="1" ht="15" customHeight="1" outlineLevel="1" collapsed="1" x14ac:dyDescent="0.25">
      <c r="A40" s="26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452.1</v>
      </c>
      <c r="E40" s="2"/>
      <c r="F40" s="6">
        <f t="shared" si="0"/>
        <v>3.5427308507208727E-3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452.1</v>
      </c>
      <c r="M40" s="2"/>
      <c r="N40" s="6">
        <f t="shared" si="3"/>
        <v>0</v>
      </c>
      <c r="O40" s="14"/>
      <c r="P40" s="2">
        <f>SUM(OSRRefP22_2x_0)</f>
        <v>1705.1</v>
      </c>
      <c r="Q40" s="2"/>
      <c r="R40" s="6">
        <f t="shared" si="4"/>
        <v>8.6242533061197182E-4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1705.1</v>
      </c>
      <c r="Y40" s="2"/>
      <c r="Z40" s="6">
        <f t="shared" si="7"/>
        <v>0</v>
      </c>
    </row>
    <row r="41" spans="1:26" s="69" customFormat="1" ht="15" hidden="1" customHeight="1" outlineLevel="2" x14ac:dyDescent="0.25">
      <c r="A41" s="25"/>
      <c r="B41" s="12" t="str">
        <f>CONCATENATE("          ","6362"," - ","ADVERTISING EXPENSE")</f>
        <v xml:space="preserve">          6362 - ADVERTISING EXPENSE</v>
      </c>
      <c r="C41" s="12"/>
      <c r="D41" s="7">
        <v>452.1</v>
      </c>
      <c r="E41" s="3"/>
      <c r="F41" s="8">
        <f t="shared" si="0"/>
        <v>3.5427308507208727E-3</v>
      </c>
      <c r="G41" s="3"/>
      <c r="H41" s="7"/>
      <c r="I41" s="3"/>
      <c r="J41" s="8">
        <f t="shared" si="1"/>
        <v>0</v>
      </c>
      <c r="K41" s="3"/>
      <c r="L41" s="7">
        <f t="shared" si="2"/>
        <v>452.1</v>
      </c>
      <c r="M41" s="3"/>
      <c r="N41" s="8">
        <f t="shared" si="3"/>
        <v>0</v>
      </c>
      <c r="O41" s="12"/>
      <c r="P41" s="7">
        <v>1705.1</v>
      </c>
      <c r="Q41" s="3"/>
      <c r="R41" s="8">
        <f t="shared" si="4"/>
        <v>8.6242533061197182E-4</v>
      </c>
      <c r="S41" s="3"/>
      <c r="T41" s="7"/>
      <c r="U41" s="3"/>
      <c r="V41" s="8">
        <f t="shared" si="5"/>
        <v>0</v>
      </c>
      <c r="W41" s="3"/>
      <c r="X41" s="7">
        <f t="shared" si="6"/>
        <v>1705.1</v>
      </c>
      <c r="Y41" s="3"/>
      <c r="Z41" s="8">
        <f t="shared" si="7"/>
        <v>0</v>
      </c>
    </row>
    <row r="42" spans="1:26" s="68" customFormat="1" ht="15" customHeight="1" outlineLevel="1" collapsed="1" x14ac:dyDescent="0.25">
      <c r="A42" s="26"/>
      <c r="B42" s="14" t="str">
        <f>CONCATENATE("     ","Bad Debts/Over/Short                              ")</f>
        <v xml:space="preserve">     Bad Debts/Over/Short                              </v>
      </c>
      <c r="C42" s="14"/>
      <c r="D42" s="2">
        <f>SUM(OSRRefD22_3x_0)</f>
        <v>8</v>
      </c>
      <c r="E42" s="2"/>
      <c r="F42" s="6">
        <f t="shared" si="0"/>
        <v>6.2689331576569297E-5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8</v>
      </c>
      <c r="M42" s="2"/>
      <c r="N42" s="6">
        <f t="shared" si="3"/>
        <v>0</v>
      </c>
      <c r="O42" s="14"/>
      <c r="P42" s="2">
        <f>SUM(OSRRefP22_3x_0)</f>
        <v>16</v>
      </c>
      <c r="Q42" s="2"/>
      <c r="R42" s="6">
        <f t="shared" si="4"/>
        <v>8.0926662892449412E-6</v>
      </c>
      <c r="S42" s="2"/>
      <c r="T42" s="2">
        <f>SUM(OSRRefT22_3x_0)</f>
        <v>29.74</v>
      </c>
      <c r="U42" s="2"/>
      <c r="V42" s="6">
        <f t="shared" si="5"/>
        <v>0</v>
      </c>
      <c r="W42" s="2"/>
      <c r="X42" s="2">
        <f t="shared" si="6"/>
        <v>-13.739999999999998</v>
      </c>
      <c r="Y42" s="2"/>
      <c r="Z42" s="6">
        <f t="shared" si="7"/>
        <v>-0.46200403496973769</v>
      </c>
    </row>
    <row r="43" spans="1:26" s="69" customFormat="1" ht="15" hidden="1" customHeight="1" outlineLevel="2" x14ac:dyDescent="0.25">
      <c r="A43" s="25"/>
      <c r="B43" s="12" t="str">
        <f>CONCATENATE("          ","6272"," - ","CASH (OVER/SHORT)")</f>
        <v xml:space="preserve">          6272 - CASH (OVER/SHORT)</v>
      </c>
      <c r="C43" s="12"/>
      <c r="D43" s="7">
        <v>8</v>
      </c>
      <c r="E43" s="3"/>
      <c r="F43" s="8">
        <f t="shared" si="0"/>
        <v>6.2689331576569297E-5</v>
      </c>
      <c r="G43" s="3"/>
      <c r="H43" s="7"/>
      <c r="I43" s="3"/>
      <c r="J43" s="8">
        <f t="shared" si="1"/>
        <v>0</v>
      </c>
      <c r="K43" s="3"/>
      <c r="L43" s="7">
        <f t="shared" si="2"/>
        <v>8</v>
      </c>
      <c r="M43" s="3"/>
      <c r="N43" s="8">
        <f t="shared" si="3"/>
        <v>0</v>
      </c>
      <c r="O43" s="12"/>
      <c r="P43" s="7">
        <v>16</v>
      </c>
      <c r="Q43" s="3"/>
      <c r="R43" s="8">
        <f t="shared" si="4"/>
        <v>8.0926662892449412E-6</v>
      </c>
      <c r="S43" s="3"/>
      <c r="T43" s="7">
        <v>29.74</v>
      </c>
      <c r="U43" s="3"/>
      <c r="V43" s="8">
        <f t="shared" si="5"/>
        <v>0</v>
      </c>
      <c r="W43" s="3"/>
      <c r="X43" s="7">
        <f t="shared" si="6"/>
        <v>-13.739999999999998</v>
      </c>
      <c r="Y43" s="3"/>
      <c r="Z43" s="8">
        <f t="shared" si="7"/>
        <v>-0.46200403496973769</v>
      </c>
    </row>
    <row r="44" spans="1:26" s="68" customFormat="1" ht="15" customHeight="1" outlineLevel="1" collapsed="1" x14ac:dyDescent="0.25">
      <c r="A44" s="26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SUM(OSRRefD22_4x_0)</f>
        <v>45.68</v>
      </c>
      <c r="E44" s="2"/>
      <c r="F44" s="6">
        <f t="shared" si="0"/>
        <v>3.5795608330221071E-4</v>
      </c>
      <c r="G44" s="2"/>
      <c r="H44" s="2">
        <f>SUM(OSRRefH22_4x_0)</f>
        <v>0</v>
      </c>
      <c r="I44" s="2"/>
      <c r="J44" s="6">
        <f t="shared" si="1"/>
        <v>0</v>
      </c>
      <c r="K44" s="2"/>
      <c r="L44" s="2">
        <f t="shared" si="2"/>
        <v>45.68</v>
      </c>
      <c r="M44" s="2"/>
      <c r="N44" s="6">
        <f t="shared" si="3"/>
        <v>0</v>
      </c>
      <c r="O44" s="14"/>
      <c r="P44" s="2">
        <f>SUM(OSRRefP22_4x_0)</f>
        <v>533.96</v>
      </c>
      <c r="Q44" s="2"/>
      <c r="R44" s="6">
        <f t="shared" si="4"/>
        <v>2.7007250573782683E-4</v>
      </c>
      <c r="S44" s="2"/>
      <c r="T44" s="2">
        <f>SUM(OSRRefT22_4x_0)</f>
        <v>0</v>
      </c>
      <c r="U44" s="2"/>
      <c r="V44" s="6">
        <f t="shared" si="5"/>
        <v>0</v>
      </c>
      <c r="W44" s="2"/>
      <c r="X44" s="2">
        <f t="shared" si="6"/>
        <v>533.96</v>
      </c>
      <c r="Y44" s="2"/>
      <c r="Z44" s="6">
        <f t="shared" si="7"/>
        <v>0</v>
      </c>
    </row>
    <row r="45" spans="1:26" s="69" customFormat="1" ht="15" hidden="1" customHeight="1" outlineLevel="2" x14ac:dyDescent="0.25">
      <c r="A45" s="25"/>
      <c r="B45" s="12" t="str">
        <f>CONCATENATE("          ","6381"," - ","BANK/CREDIT CARD FEES")</f>
        <v xml:space="preserve">          6381 - BANK/CREDIT CARD FEES</v>
      </c>
      <c r="C45" s="12"/>
      <c r="D45" s="7">
        <v>45.68</v>
      </c>
      <c r="E45" s="3"/>
      <c r="F45" s="8">
        <f t="shared" si="0"/>
        <v>3.5795608330221071E-4</v>
      </c>
      <c r="G45" s="3"/>
      <c r="H45" s="7"/>
      <c r="I45" s="3"/>
      <c r="J45" s="8">
        <f t="shared" si="1"/>
        <v>0</v>
      </c>
      <c r="K45" s="3"/>
      <c r="L45" s="7">
        <f t="shared" si="2"/>
        <v>45.68</v>
      </c>
      <c r="M45" s="3"/>
      <c r="N45" s="8">
        <f t="shared" si="3"/>
        <v>0</v>
      </c>
      <c r="O45" s="12"/>
      <c r="P45" s="7">
        <v>533.96</v>
      </c>
      <c r="Q45" s="3"/>
      <c r="R45" s="8">
        <f t="shared" si="4"/>
        <v>2.7007250573782683E-4</v>
      </c>
      <c r="S45" s="3"/>
      <c r="T45" s="7"/>
      <c r="U45" s="3"/>
      <c r="V45" s="8">
        <f t="shared" si="5"/>
        <v>0</v>
      </c>
      <c r="W45" s="3"/>
      <c r="X45" s="7">
        <f t="shared" si="6"/>
        <v>533.96</v>
      </c>
      <c r="Y45" s="3"/>
      <c r="Z45" s="8">
        <f t="shared" si="7"/>
        <v>0</v>
      </c>
    </row>
    <row r="46" spans="1:26" s="68" customFormat="1" ht="15" customHeight="1" outlineLevel="1" collapsed="1" x14ac:dyDescent="0.25">
      <c r="A46" s="26"/>
      <c r="B46" s="14" t="str">
        <f>CONCATENATE("     ","Depreciation                                      ")</f>
        <v xml:space="preserve">     Depreciation                                      </v>
      </c>
      <c r="C46" s="14"/>
      <c r="D46" s="2">
        <f>SUM(OSRRefD22_5x_0)</f>
        <v>213.02</v>
      </c>
      <c r="E46" s="2"/>
      <c r="F46" s="6">
        <f t="shared" si="0"/>
        <v>1.669260176555099E-3</v>
      </c>
      <c r="G46" s="2"/>
      <c r="H46" s="2">
        <f>SUM(OSRRefH22_5x_0)</f>
        <v>213.02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SUM(OSRRefP22_5x_0)</f>
        <v>2343.2199999999998</v>
      </c>
      <c r="Q46" s="2"/>
      <c r="R46" s="6">
        <f t="shared" si="4"/>
        <v>1.1851810938927831E-3</v>
      </c>
      <c r="S46" s="2"/>
      <c r="T46" s="2">
        <f>SUM(OSRRefT22_5x_0)</f>
        <v>2343.2199999999998</v>
      </c>
      <c r="U46" s="2"/>
      <c r="V46" s="6">
        <f t="shared" si="5"/>
        <v>0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25">
      <c r="A47" s="25"/>
      <c r="B47" s="12" t="str">
        <f>CONCATENATE("          ","6322"," - ","EQUIPMENT DEPRECIATION EXPENSE")</f>
        <v xml:space="preserve">          6322 - EQUIPMENT DEPRECIATION EXPENSE</v>
      </c>
      <c r="C47" s="12"/>
      <c r="D47" s="7">
        <v>213.02</v>
      </c>
      <c r="E47" s="3"/>
      <c r="F47" s="8">
        <f t="shared" si="0"/>
        <v>1.669260176555099E-3</v>
      </c>
      <c r="G47" s="3"/>
      <c r="H47" s="7">
        <v>213.02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>
        <v>2343.2199999999998</v>
      </c>
      <c r="Q47" s="3"/>
      <c r="R47" s="8">
        <f t="shared" si="4"/>
        <v>1.1851810938927831E-3</v>
      </c>
      <c r="S47" s="3"/>
      <c r="T47" s="7">
        <v>2343.2199999999998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8" customFormat="1" ht="15" customHeight="1" outlineLevel="1" collapsed="1" x14ac:dyDescent="0.25">
      <c r="A48" s="26"/>
      <c r="B48" s="14" t="str">
        <f>CONCATENATE("     ","Donations                                         ")</f>
        <v xml:space="preserve">     Donations                                         </v>
      </c>
      <c r="C48" s="14"/>
      <c r="D48" s="2">
        <f>SUM(OSRRefD22_6x_0)</f>
        <v>718.98</v>
      </c>
      <c r="E48" s="2"/>
      <c r="F48" s="6">
        <f t="shared" si="0"/>
        <v>5.6340469521152245E-3</v>
      </c>
      <c r="G48" s="2"/>
      <c r="H48" s="2">
        <f>SUM(OSRRefH22_6x_0)</f>
        <v>0</v>
      </c>
      <c r="I48" s="2"/>
      <c r="J48" s="6">
        <f t="shared" si="1"/>
        <v>0</v>
      </c>
      <c r="K48" s="2"/>
      <c r="L48" s="2">
        <f t="shared" si="2"/>
        <v>718.98</v>
      </c>
      <c r="M48" s="2"/>
      <c r="N48" s="6">
        <f t="shared" si="3"/>
        <v>0</v>
      </c>
      <c r="O48" s="14"/>
      <c r="P48" s="2">
        <f>SUM(OSRRefP22_6x_0)</f>
        <v>12120.01</v>
      </c>
      <c r="Q48" s="2"/>
      <c r="R48" s="6">
        <f t="shared" si="4"/>
        <v>6.1301997720194746E-3</v>
      </c>
      <c r="S48" s="2"/>
      <c r="T48" s="2">
        <f>SUM(OSRRefT22_6x_0)</f>
        <v>0</v>
      </c>
      <c r="U48" s="2"/>
      <c r="V48" s="6">
        <f t="shared" si="5"/>
        <v>0</v>
      </c>
      <c r="W48" s="2"/>
      <c r="X48" s="2">
        <f t="shared" si="6"/>
        <v>12120.01</v>
      </c>
      <c r="Y48" s="2"/>
      <c r="Z48" s="6">
        <f t="shared" si="7"/>
        <v>0</v>
      </c>
    </row>
    <row r="49" spans="1:26" s="69" customFormat="1" ht="15" hidden="1" customHeight="1" outlineLevel="2" x14ac:dyDescent="0.25">
      <c r="A49" s="25"/>
      <c r="B49" s="12" t="str">
        <f>CONCATENATE("          ","6399"," - ","DONATION-ON CAMPUS")</f>
        <v xml:space="preserve">          6399 - DONATION-ON CAMPUS</v>
      </c>
      <c r="C49" s="12"/>
      <c r="D49" s="7">
        <v>718.98</v>
      </c>
      <c r="E49" s="3"/>
      <c r="F49" s="8">
        <f t="shared" si="0"/>
        <v>5.6340469521152245E-3</v>
      </c>
      <c r="G49" s="3"/>
      <c r="H49" s="7"/>
      <c r="I49" s="3"/>
      <c r="J49" s="8">
        <f t="shared" si="1"/>
        <v>0</v>
      </c>
      <c r="K49" s="3"/>
      <c r="L49" s="7">
        <f t="shared" si="2"/>
        <v>718.98</v>
      </c>
      <c r="M49" s="3"/>
      <c r="N49" s="8">
        <f t="shared" si="3"/>
        <v>0</v>
      </c>
      <c r="O49" s="12"/>
      <c r="P49" s="7">
        <v>12120.01</v>
      </c>
      <c r="Q49" s="3"/>
      <c r="R49" s="8">
        <f t="shared" si="4"/>
        <v>6.1301997720194746E-3</v>
      </c>
      <c r="S49" s="3"/>
      <c r="T49" s="7"/>
      <c r="U49" s="3"/>
      <c r="V49" s="8">
        <f t="shared" si="5"/>
        <v>0</v>
      </c>
      <c r="W49" s="3"/>
      <c r="X49" s="7">
        <f t="shared" si="6"/>
        <v>12120.01</v>
      </c>
      <c r="Y49" s="3"/>
      <c r="Z49" s="8">
        <f t="shared" si="7"/>
        <v>0</v>
      </c>
    </row>
    <row r="50" spans="1:26" s="68" customFormat="1" ht="15" customHeight="1" outlineLevel="1" collapsed="1" x14ac:dyDescent="0.25">
      <c r="A50" s="26"/>
      <c r="B50" s="14" t="str">
        <f>CONCATENATE("     ","Employees' Appreciation                           ")</f>
        <v xml:space="preserve">     Employees' Appreciation                           </v>
      </c>
      <c r="C50" s="14"/>
      <c r="D50" s="2">
        <f>SUM(OSRRefD22_7x_0)</f>
        <v>0</v>
      </c>
      <c r="E50" s="2"/>
      <c r="F50" s="6">
        <f t="shared" si="0"/>
        <v>0</v>
      </c>
      <c r="G50" s="2"/>
      <c r="H50" s="2">
        <f>SUM(OSRRefH22_7x_0)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SUM(OSRRefP22_7x_0)</f>
        <v>90.47</v>
      </c>
      <c r="Q50" s="2"/>
      <c r="R50" s="6">
        <f t="shared" si="4"/>
        <v>4.5758969949249368E-5</v>
      </c>
      <c r="S50" s="2"/>
      <c r="T50" s="2">
        <f>SUM(OSRRefT22_7x_0)</f>
        <v>0</v>
      </c>
      <c r="U50" s="2"/>
      <c r="V50" s="6">
        <f t="shared" si="5"/>
        <v>0</v>
      </c>
      <c r="W50" s="2"/>
      <c r="X50" s="2">
        <f t="shared" si="6"/>
        <v>90.47</v>
      </c>
      <c r="Y50" s="2"/>
      <c r="Z50" s="6">
        <f t="shared" si="7"/>
        <v>0</v>
      </c>
    </row>
    <row r="51" spans="1:26" s="69" customFormat="1" ht="15" hidden="1" customHeight="1" outlineLevel="2" x14ac:dyDescent="0.25">
      <c r="A51" s="25"/>
      <c r="B51" s="12" t="str">
        <f>CONCATENATE("          ","6277"," - ","EMPLOYEE APPRECIATION")</f>
        <v xml:space="preserve">          6277 - EMPLOYEE APPRECIATION</v>
      </c>
      <c r="C51" s="12"/>
      <c r="D51" s="7"/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90.47</v>
      </c>
      <c r="Q51" s="3"/>
      <c r="R51" s="8">
        <f t="shared" si="4"/>
        <v>4.5758969949249368E-5</v>
      </c>
      <c r="S51" s="3"/>
      <c r="T51" s="7"/>
      <c r="U51" s="3"/>
      <c r="V51" s="8">
        <f t="shared" si="5"/>
        <v>0</v>
      </c>
      <c r="W51" s="3"/>
      <c r="X51" s="7">
        <f t="shared" si="6"/>
        <v>90.47</v>
      </c>
      <c r="Y51" s="3"/>
      <c r="Z51" s="8">
        <f t="shared" si="7"/>
        <v>0</v>
      </c>
    </row>
    <row r="52" spans="1:26" s="68" customFormat="1" ht="15" customHeight="1" outlineLevel="1" collapsed="1" x14ac:dyDescent="0.25">
      <c r="A52" s="26"/>
      <c r="B52" s="14" t="str">
        <f>CONCATENATE("     ","Equipment Rental                                  ")</f>
        <v xml:space="preserve">     Equipment Rental                                  </v>
      </c>
      <c r="C52" s="14"/>
      <c r="D52" s="2">
        <f>SUM(OSRRefD22_8x_0)</f>
        <v>0</v>
      </c>
      <c r="E52" s="2"/>
      <c r="F52" s="6">
        <f t="shared" si="0"/>
        <v>0</v>
      </c>
      <c r="G52" s="2"/>
      <c r="H52" s="2">
        <f>SUM(OSRRefH22_8x_0)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SUM(OSRRefP22_8x_0)</f>
        <v>0</v>
      </c>
      <c r="Q52" s="2"/>
      <c r="R52" s="6">
        <f t="shared" si="4"/>
        <v>0</v>
      </c>
      <c r="S52" s="2"/>
      <c r="T52" s="2">
        <f>SUM(OSRRefT22_8x_0)</f>
        <v>20</v>
      </c>
      <c r="U52" s="2"/>
      <c r="V52" s="6">
        <f t="shared" si="5"/>
        <v>0</v>
      </c>
      <c r="W52" s="2"/>
      <c r="X52" s="2">
        <f t="shared" si="6"/>
        <v>-20</v>
      </c>
      <c r="Y52" s="2"/>
      <c r="Z52" s="6">
        <f t="shared" si="7"/>
        <v>-1</v>
      </c>
    </row>
    <row r="53" spans="1:26" s="69" customFormat="1" ht="15" hidden="1" customHeight="1" outlineLevel="2" x14ac:dyDescent="0.25">
      <c r="A53" s="25"/>
      <c r="B53" s="12" t="str">
        <f>CONCATENATE("          ","6351"," - ","EQUIPMENT RENTAL")</f>
        <v xml:space="preserve">          6351 - EQUIPMENT RENTAL</v>
      </c>
      <c r="C53" s="12"/>
      <c r="D53" s="7"/>
      <c r="E53" s="3"/>
      <c r="F53" s="8">
        <f t="shared" si="0"/>
        <v>0</v>
      </c>
      <c r="G53" s="3"/>
      <c r="H53" s="7"/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/>
      <c r="Q53" s="3"/>
      <c r="R53" s="8">
        <f t="shared" si="4"/>
        <v>0</v>
      </c>
      <c r="S53" s="3"/>
      <c r="T53" s="7">
        <v>20</v>
      </c>
      <c r="U53" s="3"/>
      <c r="V53" s="8">
        <f t="shared" si="5"/>
        <v>0</v>
      </c>
      <c r="W53" s="3"/>
      <c r="X53" s="7">
        <f t="shared" si="6"/>
        <v>-20</v>
      </c>
      <c r="Y53" s="3"/>
      <c r="Z53" s="8">
        <f t="shared" si="7"/>
        <v>-1</v>
      </c>
    </row>
    <row r="54" spans="1:26" s="68" customFormat="1" ht="15" customHeight="1" outlineLevel="1" collapsed="1" x14ac:dyDescent="0.25">
      <c r="A54" s="26"/>
      <c r="B54" s="14" t="str">
        <f>CONCATENATE("     ","General                                           ")</f>
        <v xml:space="preserve">     General                                           </v>
      </c>
      <c r="C54" s="14"/>
      <c r="D54" s="2">
        <f>SUM(OSRRefD22_9x_0)</f>
        <v>0</v>
      </c>
      <c r="E54" s="2"/>
      <c r="F54" s="6">
        <f t="shared" si="0"/>
        <v>0</v>
      </c>
      <c r="G54" s="2"/>
      <c r="H54" s="2">
        <f>SUM(OSRRefH22_9x_0)</f>
        <v>303.18</v>
      </c>
      <c r="I54" s="2"/>
      <c r="J54" s="6">
        <f t="shared" si="1"/>
        <v>0</v>
      </c>
      <c r="K54" s="2"/>
      <c r="L54" s="2">
        <f t="shared" si="2"/>
        <v>-303.18</v>
      </c>
      <c r="M54" s="2"/>
      <c r="N54" s="6">
        <f t="shared" si="3"/>
        <v>-1</v>
      </c>
      <c r="O54" s="14"/>
      <c r="P54" s="2">
        <f>SUM(OSRRefP22_9x_0)</f>
        <v>2071.98</v>
      </c>
      <c r="Q54" s="2"/>
      <c r="R54" s="6">
        <f t="shared" si="4"/>
        <v>1.0479901686243583E-3</v>
      </c>
      <c r="S54" s="2"/>
      <c r="T54" s="2">
        <f>SUM(OSRRefT22_9x_0)</f>
        <v>2179.0500000000002</v>
      </c>
      <c r="U54" s="2"/>
      <c r="V54" s="6">
        <f t="shared" si="5"/>
        <v>0</v>
      </c>
      <c r="W54" s="2"/>
      <c r="X54" s="2">
        <f t="shared" si="6"/>
        <v>-107.07000000000016</v>
      </c>
      <c r="Y54" s="2"/>
      <c r="Z54" s="6">
        <f t="shared" si="7"/>
        <v>-4.9136091415984101E-2</v>
      </c>
    </row>
    <row r="55" spans="1:26" s="69" customFormat="1" ht="15" hidden="1" customHeight="1" outlineLevel="2" x14ac:dyDescent="0.25">
      <c r="A55" s="25"/>
      <c r="B55" s="12" t="str">
        <f>CONCATENATE("          ","6279"," - ","GENERAL EXPENSE")</f>
        <v xml:space="preserve">          6279 - GENERAL EXPENSE</v>
      </c>
      <c r="C55" s="12"/>
      <c r="D55" s="7"/>
      <c r="E55" s="3"/>
      <c r="F55" s="8">
        <f t="shared" ref="F55:F79" si="8">IF(D$12=0,0,D55/D$12)</f>
        <v>0</v>
      </c>
      <c r="G55" s="3"/>
      <c r="H55" s="7">
        <v>303.18</v>
      </c>
      <c r="I55" s="3"/>
      <c r="J55" s="8">
        <f t="shared" ref="J55:J79" si="9">IF(H$12=0,0,H55/H$12)</f>
        <v>0</v>
      </c>
      <c r="K55" s="3"/>
      <c r="L55" s="7">
        <f t="shared" ref="L55:L79" si="10">+D55-H55</f>
        <v>-303.18</v>
      </c>
      <c r="M55" s="3"/>
      <c r="N55" s="8">
        <f t="shared" ref="N55:N79" si="11">IF(H55=0,0,L55/H55)</f>
        <v>-1</v>
      </c>
      <c r="O55" s="12"/>
      <c r="P55" s="7">
        <v>2071.98</v>
      </c>
      <c r="Q55" s="3"/>
      <c r="R55" s="8">
        <f t="shared" ref="R55:R79" si="12">IF(P$12=0,0,P55/P$12)</f>
        <v>1.0479901686243583E-3</v>
      </c>
      <c r="S55" s="3"/>
      <c r="T55" s="7">
        <v>2179.0500000000002</v>
      </c>
      <c r="U55" s="3"/>
      <c r="V55" s="8">
        <f t="shared" ref="V55:V79" si="13">IF(T$12=0,0,T55/T$12)</f>
        <v>0</v>
      </c>
      <c r="W55" s="3"/>
      <c r="X55" s="7">
        <f t="shared" ref="X55:X79" si="14">+P55-T55</f>
        <v>-107.07000000000016</v>
      </c>
      <c r="Y55" s="3"/>
      <c r="Z55" s="8">
        <f t="shared" ref="Z55:Z79" si="15">IF(T55=0,0,X55/T55)</f>
        <v>-4.9136091415984101E-2</v>
      </c>
    </row>
    <row r="56" spans="1:26" s="68" customFormat="1" ht="15" customHeight="1" outlineLevel="1" collapsed="1" x14ac:dyDescent="0.25">
      <c r="A56" s="26"/>
      <c r="B56" s="14" t="str">
        <f>CONCATENATE("     ","Insurance                                         ")</f>
        <v xml:space="preserve">     Insurance                                         </v>
      </c>
      <c r="C56" s="14"/>
      <c r="D56" s="2">
        <f>SUM(OSRRefD22_10x_0)</f>
        <v>5.21</v>
      </c>
      <c r="E56" s="2"/>
      <c r="F56" s="6">
        <f t="shared" si="8"/>
        <v>4.0826427189240753E-5</v>
      </c>
      <c r="G56" s="2"/>
      <c r="H56" s="2">
        <f>SUM(OSRRefH22_10x_0)</f>
        <v>5.9</v>
      </c>
      <c r="I56" s="2"/>
      <c r="J56" s="6">
        <f t="shared" si="9"/>
        <v>0</v>
      </c>
      <c r="K56" s="2"/>
      <c r="L56" s="2">
        <f t="shared" si="10"/>
        <v>-0.69000000000000039</v>
      </c>
      <c r="M56" s="2"/>
      <c r="N56" s="6">
        <f t="shared" si="11"/>
        <v>-0.11694915254237294</v>
      </c>
      <c r="O56" s="14"/>
      <c r="P56" s="2">
        <f>SUM(OSRRefP22_10x_0)</f>
        <v>57.32</v>
      </c>
      <c r="Q56" s="2"/>
      <c r="R56" s="6">
        <f t="shared" si="12"/>
        <v>2.8991976981220006E-5</v>
      </c>
      <c r="S56" s="2"/>
      <c r="T56" s="2">
        <f>SUM(OSRRefT22_10x_0)</f>
        <v>64.900000000000006</v>
      </c>
      <c r="U56" s="2"/>
      <c r="V56" s="6">
        <f t="shared" si="13"/>
        <v>0</v>
      </c>
      <c r="W56" s="2"/>
      <c r="X56" s="2">
        <f t="shared" si="14"/>
        <v>-7.5800000000000054</v>
      </c>
      <c r="Y56" s="2"/>
      <c r="Z56" s="6">
        <f t="shared" si="15"/>
        <v>-0.1167950693374423</v>
      </c>
    </row>
    <row r="57" spans="1:26" s="69" customFormat="1" ht="15" hidden="1" customHeight="1" outlineLevel="2" x14ac:dyDescent="0.25">
      <c r="A57" s="25"/>
      <c r="B57" s="12" t="str">
        <f>CONCATENATE("          ","6314"," - ","LIABILITY INSURANCE")</f>
        <v xml:space="preserve">          6314 - LIABILITY INSURANCE</v>
      </c>
      <c r="C57" s="12"/>
      <c r="D57" s="7">
        <v>5.21</v>
      </c>
      <c r="E57" s="3"/>
      <c r="F57" s="8">
        <f t="shared" si="8"/>
        <v>4.0826427189240753E-5</v>
      </c>
      <c r="G57" s="3"/>
      <c r="H57" s="7">
        <v>5.9</v>
      </c>
      <c r="I57" s="3"/>
      <c r="J57" s="8">
        <f t="shared" si="9"/>
        <v>0</v>
      </c>
      <c r="K57" s="3"/>
      <c r="L57" s="7">
        <f t="shared" si="10"/>
        <v>-0.69000000000000039</v>
      </c>
      <c r="M57" s="3"/>
      <c r="N57" s="8">
        <f t="shared" si="11"/>
        <v>-0.11694915254237294</v>
      </c>
      <c r="O57" s="12"/>
      <c r="P57" s="7">
        <v>57.32</v>
      </c>
      <c r="Q57" s="3"/>
      <c r="R57" s="8">
        <f t="shared" si="12"/>
        <v>2.8991976981220006E-5</v>
      </c>
      <c r="S57" s="3"/>
      <c r="T57" s="7">
        <v>64.900000000000006</v>
      </c>
      <c r="U57" s="3"/>
      <c r="V57" s="8">
        <f t="shared" si="13"/>
        <v>0</v>
      </c>
      <c r="W57" s="3"/>
      <c r="X57" s="7">
        <f t="shared" si="14"/>
        <v>-7.5800000000000054</v>
      </c>
      <c r="Y57" s="3"/>
      <c r="Z57" s="8">
        <f t="shared" si="15"/>
        <v>-0.1167950693374423</v>
      </c>
    </row>
    <row r="58" spans="1:26" s="68" customFormat="1" ht="15" customHeight="1" outlineLevel="1" collapsed="1" x14ac:dyDescent="0.25">
      <c r="A58" s="26"/>
      <c r="B58" s="14" t="str">
        <f>CONCATENATE("     ","R/H Commissions                                   ")</f>
        <v xml:space="preserve">     R/H Commissions                                   </v>
      </c>
      <c r="C58" s="14"/>
      <c r="D58" s="2">
        <f>SUM(OSRRefD22_11x_0)</f>
        <v>10260.620000000001</v>
      </c>
      <c r="E58" s="2"/>
      <c r="F58" s="6">
        <f t="shared" si="8"/>
        <v>8.0403926170147313E-2</v>
      </c>
      <c r="G58" s="2"/>
      <c r="H58" s="2">
        <f>SUM(OSRRefH22_11x_0)</f>
        <v>0</v>
      </c>
      <c r="I58" s="2"/>
      <c r="J58" s="6">
        <f t="shared" si="9"/>
        <v>0</v>
      </c>
      <c r="K58" s="2"/>
      <c r="L58" s="2">
        <f t="shared" si="10"/>
        <v>10260.620000000001</v>
      </c>
      <c r="M58" s="2"/>
      <c r="N58" s="6">
        <f t="shared" si="11"/>
        <v>0</v>
      </c>
      <c r="O58" s="14"/>
      <c r="P58" s="2">
        <f>SUM(OSRRefP22_11x_0)</f>
        <v>153578.54</v>
      </c>
      <c r="Q58" s="2"/>
      <c r="R58" s="6">
        <f t="shared" si="12"/>
        <v>7.7678742088091002E-2</v>
      </c>
      <c r="S58" s="2"/>
      <c r="T58" s="2">
        <f>SUM(OSRRefT22_11x_0)</f>
        <v>0</v>
      </c>
      <c r="U58" s="2"/>
      <c r="V58" s="6">
        <f t="shared" si="13"/>
        <v>0</v>
      </c>
      <c r="W58" s="2"/>
      <c r="X58" s="2">
        <f t="shared" si="14"/>
        <v>153578.54</v>
      </c>
      <c r="Y58" s="2"/>
      <c r="Z58" s="6">
        <f t="shared" si="15"/>
        <v>0</v>
      </c>
    </row>
    <row r="59" spans="1:26" s="69" customFormat="1" ht="15" hidden="1" customHeight="1" outlineLevel="2" x14ac:dyDescent="0.25">
      <c r="A59" s="25"/>
      <c r="B59" s="12" t="str">
        <f>CONCATENATE("          ","6387"," - ","COMMISSION DUE HOUSING")</f>
        <v xml:space="preserve">          6387 - COMMISSION DUE HOUSING</v>
      </c>
      <c r="C59" s="12"/>
      <c r="D59" s="7">
        <v>10260.620000000001</v>
      </c>
      <c r="E59" s="3"/>
      <c r="F59" s="8">
        <f t="shared" si="8"/>
        <v>8.0403926170147313E-2</v>
      </c>
      <c r="G59" s="3"/>
      <c r="H59" s="7"/>
      <c r="I59" s="3"/>
      <c r="J59" s="8">
        <f t="shared" si="9"/>
        <v>0</v>
      </c>
      <c r="K59" s="3"/>
      <c r="L59" s="7">
        <f t="shared" si="10"/>
        <v>10260.620000000001</v>
      </c>
      <c r="M59" s="3"/>
      <c r="N59" s="8">
        <f t="shared" si="11"/>
        <v>0</v>
      </c>
      <c r="O59" s="12"/>
      <c r="P59" s="7">
        <v>153578.54</v>
      </c>
      <c r="Q59" s="3"/>
      <c r="R59" s="8">
        <f t="shared" si="12"/>
        <v>7.7678742088091002E-2</v>
      </c>
      <c r="S59" s="3"/>
      <c r="T59" s="7"/>
      <c r="U59" s="3"/>
      <c r="V59" s="8">
        <f t="shared" si="13"/>
        <v>0</v>
      </c>
      <c r="W59" s="3"/>
      <c r="X59" s="7">
        <f t="shared" si="14"/>
        <v>153578.54</v>
      </c>
      <c r="Y59" s="3"/>
      <c r="Z59" s="8">
        <f t="shared" si="15"/>
        <v>0</v>
      </c>
    </row>
    <row r="60" spans="1:26" s="68" customFormat="1" ht="15" customHeight="1" outlineLevel="1" collapsed="1" x14ac:dyDescent="0.25">
      <c r="A60" s="26"/>
      <c r="B60" s="14" t="str">
        <f>CONCATENATE("     ","Repair and Maintenance                            ")</f>
        <v xml:space="preserve">     Repair and Maintenance                            </v>
      </c>
      <c r="C60" s="14"/>
      <c r="D60" s="2">
        <f>SUM(OSRRefD22_12x_0)</f>
        <v>0</v>
      </c>
      <c r="E60" s="2"/>
      <c r="F60" s="6">
        <f t="shared" si="8"/>
        <v>0</v>
      </c>
      <c r="G60" s="2"/>
      <c r="H60" s="2">
        <f>SUM(OSRRefH22_12x_0)</f>
        <v>0</v>
      </c>
      <c r="I60" s="2"/>
      <c r="J60" s="6">
        <f t="shared" si="9"/>
        <v>0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SUM(OSRRefP22_12x_0)</f>
        <v>2538.2799999999997</v>
      </c>
      <c r="Q60" s="2"/>
      <c r="R60" s="6">
        <f t="shared" si="12"/>
        <v>1.2838408117915405E-3</v>
      </c>
      <c r="S60" s="2"/>
      <c r="T60" s="2">
        <f>SUM(OSRRefT22_12x_0)</f>
        <v>216.99</v>
      </c>
      <c r="U60" s="2"/>
      <c r="V60" s="6">
        <f t="shared" si="13"/>
        <v>0</v>
      </c>
      <c r="W60" s="2"/>
      <c r="X60" s="2">
        <f t="shared" si="14"/>
        <v>2321.29</v>
      </c>
      <c r="Y60" s="2"/>
      <c r="Z60" s="6">
        <f t="shared" si="15"/>
        <v>10.697681920825843</v>
      </c>
    </row>
    <row r="61" spans="1:26" s="69" customFormat="1" ht="15" hidden="1" customHeight="1" outlineLevel="2" x14ac:dyDescent="0.25">
      <c r="A61" s="25"/>
      <c r="B61" s="12" t="str">
        <f>CONCATENATE("          ","6373"," - ","MAINTENANCE CONTRACTS")</f>
        <v xml:space="preserve">          6373 - MAINTENANCE CONTRACTS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221.66</v>
      </c>
      <c r="Q61" s="3"/>
      <c r="R61" s="8">
        <f t="shared" si="12"/>
        <v>1.1211377560462712E-4</v>
      </c>
      <c r="S61" s="3"/>
      <c r="T61" s="7">
        <v>216.99</v>
      </c>
      <c r="U61" s="3"/>
      <c r="V61" s="8">
        <f t="shared" si="13"/>
        <v>0</v>
      </c>
      <c r="W61" s="3"/>
      <c r="X61" s="7">
        <f t="shared" si="14"/>
        <v>4.6699999999999875</v>
      </c>
      <c r="Y61" s="3"/>
      <c r="Z61" s="8">
        <f t="shared" si="15"/>
        <v>2.1521729111940585E-2</v>
      </c>
    </row>
    <row r="62" spans="1:26" s="69" customFormat="1" ht="15" hidden="1" customHeight="1" outlineLevel="2" x14ac:dyDescent="0.25">
      <c r="A62" s="25"/>
      <c r="B62" s="12" t="str">
        <f>CONCATENATE("          ","6375"," - ","OUTSIDE REPAIRS &amp; MAINTENANCE")</f>
        <v xml:space="preserve">          6375 - OUTSIDE REPAIRS &amp; MAINTENANCE</v>
      </c>
      <c r="C62" s="12"/>
      <c r="D62" s="7"/>
      <c r="E62" s="3"/>
      <c r="F62" s="8">
        <f t="shared" si="8"/>
        <v>0</v>
      </c>
      <c r="G62" s="3"/>
      <c r="H62" s="7"/>
      <c r="I62" s="3"/>
      <c r="J62" s="8">
        <f t="shared" si="9"/>
        <v>0</v>
      </c>
      <c r="K62" s="3"/>
      <c r="L62" s="7">
        <f t="shared" si="10"/>
        <v>0</v>
      </c>
      <c r="M62" s="3"/>
      <c r="N62" s="8">
        <f t="shared" si="11"/>
        <v>0</v>
      </c>
      <c r="O62" s="12"/>
      <c r="P62" s="7">
        <v>2316.62</v>
      </c>
      <c r="Q62" s="3"/>
      <c r="R62" s="8">
        <f t="shared" si="12"/>
        <v>1.1717270361869135E-3</v>
      </c>
      <c r="S62" s="3"/>
      <c r="T62" s="7"/>
      <c r="U62" s="3"/>
      <c r="V62" s="8">
        <f t="shared" si="13"/>
        <v>0</v>
      </c>
      <c r="W62" s="3"/>
      <c r="X62" s="7">
        <f t="shared" si="14"/>
        <v>2316.62</v>
      </c>
      <c r="Y62" s="3"/>
      <c r="Z62" s="8">
        <f t="shared" si="15"/>
        <v>0</v>
      </c>
    </row>
    <row r="63" spans="1:26" s="68" customFormat="1" ht="15" customHeight="1" outlineLevel="1" collapsed="1" x14ac:dyDescent="0.25">
      <c r="A63" s="26"/>
      <c r="B63" s="14" t="str">
        <f>CONCATENATE("     ","Services                                          ")</f>
        <v xml:space="preserve">     Services                                          </v>
      </c>
      <c r="C63" s="14"/>
      <c r="D63" s="2">
        <f>SUM(OSRRefD22_13x_0)</f>
        <v>4881.8099999999995</v>
      </c>
      <c r="E63" s="2"/>
      <c r="F63" s="6">
        <f t="shared" si="8"/>
        <v>3.8254675722976465E-2</v>
      </c>
      <c r="G63" s="2"/>
      <c r="H63" s="2">
        <f>SUM(OSRRefH22_13x_0)</f>
        <v>669.64</v>
      </c>
      <c r="I63" s="2"/>
      <c r="J63" s="6">
        <f t="shared" si="9"/>
        <v>0</v>
      </c>
      <c r="K63" s="2"/>
      <c r="L63" s="2">
        <f t="shared" si="10"/>
        <v>4212.1699999999992</v>
      </c>
      <c r="M63" s="2"/>
      <c r="N63" s="6">
        <f t="shared" si="11"/>
        <v>6.29020070485634</v>
      </c>
      <c r="O63" s="14"/>
      <c r="P63" s="2">
        <f>SUM(OSRRefP22_13x_0)</f>
        <v>54155.579999999994</v>
      </c>
      <c r="Q63" s="2"/>
      <c r="R63" s="6">
        <f t="shared" si="12"/>
        <v>2.7391439790031721E-2</v>
      </c>
      <c r="S63" s="2"/>
      <c r="T63" s="2">
        <f>SUM(OSRRefT22_13x_0)</f>
        <v>7366.04</v>
      </c>
      <c r="U63" s="2"/>
      <c r="V63" s="6">
        <f t="shared" si="13"/>
        <v>0</v>
      </c>
      <c r="W63" s="2"/>
      <c r="X63" s="2">
        <f t="shared" si="14"/>
        <v>46789.539999999994</v>
      </c>
      <c r="Y63" s="2"/>
      <c r="Z63" s="6">
        <f t="shared" si="15"/>
        <v>6.3520616233417133</v>
      </c>
    </row>
    <row r="64" spans="1:26" s="69" customFormat="1" ht="15" hidden="1" customHeight="1" outlineLevel="2" x14ac:dyDescent="0.25">
      <c r="A64" s="25"/>
      <c r="B64" s="12" t="str">
        <f>CONCATENATE("          ","6282"," - ","JANITORIAL/EXTERMINATOR EXPENS")</f>
        <v xml:space="preserve">          6282 - JANITORIAL/EXTERMINATOR EXPENS</v>
      </c>
      <c r="C64" s="12"/>
      <c r="D64" s="7">
        <v>729.95</v>
      </c>
      <c r="E64" s="3"/>
      <c r="F64" s="8">
        <f t="shared" si="8"/>
        <v>5.7200096980395956E-3</v>
      </c>
      <c r="G64" s="3"/>
      <c r="H64" s="7">
        <v>669.64</v>
      </c>
      <c r="I64" s="3"/>
      <c r="J64" s="8">
        <f t="shared" si="9"/>
        <v>0</v>
      </c>
      <c r="K64" s="3"/>
      <c r="L64" s="7">
        <f t="shared" si="10"/>
        <v>60.310000000000059</v>
      </c>
      <c r="M64" s="3"/>
      <c r="N64" s="8">
        <f t="shared" si="11"/>
        <v>9.0063317603488527E-2</v>
      </c>
      <c r="O64" s="12"/>
      <c r="P64" s="7">
        <v>7338.2</v>
      </c>
      <c r="Q64" s="3"/>
      <c r="R64" s="8">
        <f t="shared" si="12"/>
        <v>3.7116002352335768E-3</v>
      </c>
      <c r="S64" s="3"/>
      <c r="T64" s="7">
        <v>6768.17</v>
      </c>
      <c r="U64" s="3"/>
      <c r="V64" s="8">
        <f t="shared" si="13"/>
        <v>0</v>
      </c>
      <c r="W64" s="3"/>
      <c r="X64" s="7">
        <f t="shared" si="14"/>
        <v>570.02999999999975</v>
      </c>
      <c r="Y64" s="3"/>
      <c r="Z64" s="8">
        <f t="shared" si="15"/>
        <v>8.4222175270420183E-2</v>
      </c>
    </row>
    <row r="65" spans="1:26" s="69" customFormat="1" ht="15" hidden="1" customHeight="1" outlineLevel="2" x14ac:dyDescent="0.25">
      <c r="A65" s="25"/>
      <c r="B65" s="12" t="str">
        <f>CONCATENATE("          ","6285"," - ","JANITORIAL SERVICES")</f>
        <v xml:space="preserve">          6285 - JANITORIAL SERVICES</v>
      </c>
      <c r="C65" s="12"/>
      <c r="D65" s="7">
        <v>4151.8599999999997</v>
      </c>
      <c r="E65" s="3"/>
      <c r="F65" s="8">
        <f t="shared" si="8"/>
        <v>3.2534666024936876E-2</v>
      </c>
      <c r="G65" s="3"/>
      <c r="H65" s="7"/>
      <c r="I65" s="3"/>
      <c r="J65" s="8">
        <f t="shared" si="9"/>
        <v>0</v>
      </c>
      <c r="K65" s="3"/>
      <c r="L65" s="7">
        <f t="shared" si="10"/>
        <v>4151.8599999999997</v>
      </c>
      <c r="M65" s="3"/>
      <c r="N65" s="8">
        <f t="shared" si="11"/>
        <v>0</v>
      </c>
      <c r="O65" s="12"/>
      <c r="P65" s="7">
        <v>39562.93</v>
      </c>
      <c r="Q65" s="3"/>
      <c r="R65" s="8">
        <f t="shared" si="12"/>
        <v>2.0010599369672338E-2</v>
      </c>
      <c r="S65" s="3"/>
      <c r="T65" s="7"/>
      <c r="U65" s="3"/>
      <c r="V65" s="8">
        <f t="shared" si="13"/>
        <v>0</v>
      </c>
      <c r="W65" s="3"/>
      <c r="X65" s="7">
        <f t="shared" si="14"/>
        <v>39562.93</v>
      </c>
      <c r="Y65" s="3"/>
      <c r="Z65" s="8">
        <f t="shared" si="15"/>
        <v>0</v>
      </c>
    </row>
    <row r="66" spans="1:26" s="69" customFormat="1" ht="15" hidden="1" customHeight="1" outlineLevel="2" x14ac:dyDescent="0.25">
      <c r="A66" s="25"/>
      <c r="B66" s="12" t="str">
        <f>CONCATENATE("          ","6286"," - ","LAUNDRY EXPENSE")</f>
        <v xml:space="preserve">          6286 - LAUNDRY EXPENSE</v>
      </c>
      <c r="C66" s="12"/>
      <c r="D66" s="7"/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7254.45</v>
      </c>
      <c r="Q66" s="3"/>
      <c r="R66" s="8">
        <f t="shared" si="12"/>
        <v>3.6692401851258103E-3</v>
      </c>
      <c r="S66" s="3"/>
      <c r="T66" s="7">
        <v>597.87</v>
      </c>
      <c r="U66" s="3"/>
      <c r="V66" s="8">
        <f t="shared" si="13"/>
        <v>0</v>
      </c>
      <c r="W66" s="3"/>
      <c r="X66" s="7">
        <f t="shared" si="14"/>
        <v>6656.58</v>
      </c>
      <c r="Y66" s="3"/>
      <c r="Z66" s="8">
        <f t="shared" si="15"/>
        <v>11.133825079030558</v>
      </c>
    </row>
    <row r="67" spans="1:26" s="68" customFormat="1" ht="15" customHeight="1" outlineLevel="1" collapsed="1" x14ac:dyDescent="0.25">
      <c r="A67" s="26"/>
      <c r="B67" s="14" t="str">
        <f>CONCATENATE("     ","Supplies                                          ")</f>
        <v xml:space="preserve">     Supplies                                          </v>
      </c>
      <c r="C67" s="14"/>
      <c r="D67" s="2">
        <f>SUM(OSRRefD22_14x_0)</f>
        <v>4980.74</v>
      </c>
      <c r="E67" s="2"/>
      <c r="F67" s="6">
        <f t="shared" si="8"/>
        <v>3.9029907669585216E-2</v>
      </c>
      <c r="G67" s="2"/>
      <c r="H67" s="2">
        <f>SUM(OSRRefH22_14x_0)</f>
        <v>0</v>
      </c>
      <c r="I67" s="2"/>
      <c r="J67" s="6">
        <f t="shared" si="9"/>
        <v>0</v>
      </c>
      <c r="K67" s="2"/>
      <c r="L67" s="2">
        <f t="shared" si="10"/>
        <v>4980.74</v>
      </c>
      <c r="M67" s="2"/>
      <c r="N67" s="6">
        <f t="shared" si="11"/>
        <v>0</v>
      </c>
      <c r="O67" s="14"/>
      <c r="P67" s="2">
        <f>SUM(OSRRefP22_14x_0)</f>
        <v>93790.839999999982</v>
      </c>
      <c r="Q67" s="2"/>
      <c r="R67" s="6">
        <f t="shared" si="12"/>
        <v>4.7438623069247871E-2</v>
      </c>
      <c r="S67" s="2"/>
      <c r="T67" s="2">
        <f>SUM(OSRRefT22_14x_0)</f>
        <v>96.7</v>
      </c>
      <c r="U67" s="2"/>
      <c r="V67" s="6">
        <f t="shared" si="13"/>
        <v>0</v>
      </c>
      <c r="W67" s="2"/>
      <c r="X67" s="2">
        <f t="shared" si="14"/>
        <v>93694.139999999985</v>
      </c>
      <c r="Y67" s="2"/>
      <c r="Z67" s="6">
        <f t="shared" si="15"/>
        <v>968.91561530506704</v>
      </c>
    </row>
    <row r="68" spans="1:26" s="69" customFormat="1" ht="15" hidden="1" customHeight="1" outlineLevel="2" x14ac:dyDescent="0.25">
      <c r="A68" s="25"/>
      <c r="B68" s="12" t="str">
        <f>CONCATENATE("          ","6237"," - ","JANITORIAL SUPPLIES")</f>
        <v xml:space="preserve">          6237 - JANITORIAL SUPPLIES</v>
      </c>
      <c r="C68" s="12"/>
      <c r="D68" s="7">
        <v>3594.73</v>
      </c>
      <c r="E68" s="3"/>
      <c r="F68" s="8">
        <f t="shared" si="8"/>
        <v>2.8168902612280118E-2</v>
      </c>
      <c r="G68" s="3"/>
      <c r="H68" s="7"/>
      <c r="I68" s="3"/>
      <c r="J68" s="8">
        <f t="shared" si="9"/>
        <v>0</v>
      </c>
      <c r="K68" s="3"/>
      <c r="L68" s="7">
        <f t="shared" si="10"/>
        <v>3594.73</v>
      </c>
      <c r="M68" s="3"/>
      <c r="N68" s="8">
        <f t="shared" si="11"/>
        <v>0</v>
      </c>
      <c r="O68" s="12"/>
      <c r="P68" s="7">
        <v>33380.93</v>
      </c>
      <c r="Q68" s="3"/>
      <c r="R68" s="8">
        <f t="shared" si="12"/>
        <v>1.6883795432165321E-2</v>
      </c>
      <c r="S68" s="3"/>
      <c r="T68" s="7"/>
      <c r="U68" s="3"/>
      <c r="V68" s="8">
        <f t="shared" si="13"/>
        <v>0</v>
      </c>
      <c r="W68" s="3"/>
      <c r="X68" s="7">
        <f t="shared" si="14"/>
        <v>33380.93</v>
      </c>
      <c r="Y68" s="3"/>
      <c r="Z68" s="8">
        <f t="shared" si="15"/>
        <v>0</v>
      </c>
    </row>
    <row r="69" spans="1:26" s="69" customFormat="1" ht="15" hidden="1" customHeight="1" outlineLevel="2" x14ac:dyDescent="0.25">
      <c r="A69" s="25"/>
      <c r="B69" s="12" t="str">
        <f>CONCATENATE("          ","6239"," - ","KITCHEN SUPPLIES")</f>
        <v xml:space="preserve">          6239 - KITCHEN SUPPLIES</v>
      </c>
      <c r="C69" s="12"/>
      <c r="D69" s="7">
        <v>176.2</v>
      </c>
      <c r="E69" s="3"/>
      <c r="F69" s="8">
        <f t="shared" si="8"/>
        <v>1.3807325279739386E-3</v>
      </c>
      <c r="G69" s="3"/>
      <c r="H69" s="7"/>
      <c r="I69" s="3"/>
      <c r="J69" s="8">
        <f t="shared" si="9"/>
        <v>0</v>
      </c>
      <c r="K69" s="3"/>
      <c r="L69" s="7">
        <f t="shared" si="10"/>
        <v>176.2</v>
      </c>
      <c r="M69" s="3"/>
      <c r="N69" s="8">
        <f t="shared" si="11"/>
        <v>0</v>
      </c>
      <c r="O69" s="12"/>
      <c r="P69" s="7">
        <v>11670.66</v>
      </c>
      <c r="Q69" s="3"/>
      <c r="R69" s="8">
        <f t="shared" si="12"/>
        <v>5.9029222972024611E-3</v>
      </c>
      <c r="S69" s="3"/>
      <c r="T69" s="7"/>
      <c r="U69" s="3"/>
      <c r="V69" s="8">
        <f t="shared" si="13"/>
        <v>0</v>
      </c>
      <c r="W69" s="3"/>
      <c r="X69" s="7">
        <f t="shared" si="14"/>
        <v>11670.66</v>
      </c>
      <c r="Y69" s="3"/>
      <c r="Z69" s="8">
        <f t="shared" si="15"/>
        <v>0</v>
      </c>
    </row>
    <row r="70" spans="1:26" s="69" customFormat="1" ht="15" hidden="1" customHeight="1" outlineLevel="2" x14ac:dyDescent="0.25">
      <c r="A70" s="25"/>
      <c r="B70" s="12" t="str">
        <f>CONCATENATE("          ","6241"," - ","OFFICE EXPENSE")</f>
        <v xml:space="preserve">          6241 - OFFICE EXPENSE</v>
      </c>
      <c r="C70" s="12"/>
      <c r="D70" s="7">
        <v>83.77</v>
      </c>
      <c r="E70" s="3"/>
      <c r="F70" s="8">
        <f t="shared" si="8"/>
        <v>6.5643566327115124E-4</v>
      </c>
      <c r="G70" s="3"/>
      <c r="H70" s="7"/>
      <c r="I70" s="3"/>
      <c r="J70" s="8">
        <f t="shared" si="9"/>
        <v>0</v>
      </c>
      <c r="K70" s="3"/>
      <c r="L70" s="7">
        <f t="shared" si="10"/>
        <v>83.77</v>
      </c>
      <c r="M70" s="3"/>
      <c r="N70" s="8">
        <f t="shared" si="11"/>
        <v>0</v>
      </c>
      <c r="O70" s="12"/>
      <c r="P70" s="7">
        <v>6408.11</v>
      </c>
      <c r="Q70" s="3"/>
      <c r="R70" s="8">
        <f t="shared" si="12"/>
        <v>3.2411684859233376E-3</v>
      </c>
      <c r="S70" s="3"/>
      <c r="T70" s="7">
        <v>96.7</v>
      </c>
      <c r="U70" s="3"/>
      <c r="V70" s="8">
        <f t="shared" si="13"/>
        <v>0</v>
      </c>
      <c r="W70" s="3"/>
      <c r="X70" s="7">
        <f t="shared" si="14"/>
        <v>6311.41</v>
      </c>
      <c r="Y70" s="3"/>
      <c r="Z70" s="8">
        <f t="shared" si="15"/>
        <v>65.267942088934845</v>
      </c>
    </row>
    <row r="71" spans="1:26" s="69" customFormat="1" ht="15" hidden="1" customHeight="1" outlineLevel="2" x14ac:dyDescent="0.25">
      <c r="A71" s="25"/>
      <c r="B71" s="12" t="str">
        <f>CONCATENATE("          ","6243"," - ","PAPER SUPPLIES")</f>
        <v xml:space="preserve">          6243 - PAPER SUPPLIES</v>
      </c>
      <c r="C71" s="12"/>
      <c r="D71" s="7">
        <v>1126.04</v>
      </c>
      <c r="E71" s="3"/>
      <c r="F71" s="8">
        <f t="shared" si="8"/>
        <v>8.8238368660600117E-3</v>
      </c>
      <c r="G71" s="3"/>
      <c r="H71" s="7"/>
      <c r="I71" s="3"/>
      <c r="J71" s="8">
        <f t="shared" si="9"/>
        <v>0</v>
      </c>
      <c r="K71" s="3"/>
      <c r="L71" s="7">
        <f t="shared" si="10"/>
        <v>1126.04</v>
      </c>
      <c r="M71" s="3"/>
      <c r="N71" s="8">
        <f t="shared" si="11"/>
        <v>0</v>
      </c>
      <c r="O71" s="12"/>
      <c r="P71" s="7">
        <v>39808.1</v>
      </c>
      <c r="Q71" s="3"/>
      <c r="R71" s="8">
        <f t="shared" si="12"/>
        <v>2.0134604306805724E-2</v>
      </c>
      <c r="S71" s="3"/>
      <c r="T71" s="7"/>
      <c r="U71" s="3"/>
      <c r="V71" s="8">
        <f t="shared" si="13"/>
        <v>0</v>
      </c>
      <c r="W71" s="3"/>
      <c r="X71" s="7">
        <f t="shared" si="14"/>
        <v>39808.1</v>
      </c>
      <c r="Y71" s="3"/>
      <c r="Z71" s="8">
        <f t="shared" si="15"/>
        <v>0</v>
      </c>
    </row>
    <row r="72" spans="1:26" s="69" customFormat="1" ht="15" hidden="1" customHeight="1" outlineLevel="2" x14ac:dyDescent="0.25">
      <c r="A72" s="25"/>
      <c r="B72" s="12" t="str">
        <f>CONCATENATE("          ","6247"," - ","STORE SUPPLIES")</f>
        <v xml:space="preserve">          6247 - STORE SUPPLIES</v>
      </c>
      <c r="C72" s="12"/>
      <c r="D72" s="7"/>
      <c r="E72" s="3"/>
      <c r="F72" s="8">
        <f t="shared" si="8"/>
        <v>0</v>
      </c>
      <c r="G72" s="3"/>
      <c r="H72" s="7"/>
      <c r="I72" s="3"/>
      <c r="J72" s="8">
        <f t="shared" si="9"/>
        <v>0</v>
      </c>
      <c r="K72" s="3"/>
      <c r="L72" s="7">
        <f t="shared" si="10"/>
        <v>0</v>
      </c>
      <c r="M72" s="3"/>
      <c r="N72" s="8">
        <f t="shared" si="11"/>
        <v>0</v>
      </c>
      <c r="O72" s="12"/>
      <c r="P72" s="7">
        <v>652.62</v>
      </c>
      <c r="Q72" s="3"/>
      <c r="R72" s="8">
        <f t="shared" si="12"/>
        <v>3.3008974210543964E-4</v>
      </c>
      <c r="S72" s="3"/>
      <c r="T72" s="7"/>
      <c r="U72" s="3"/>
      <c r="V72" s="8">
        <f t="shared" si="13"/>
        <v>0</v>
      </c>
      <c r="W72" s="3"/>
      <c r="X72" s="7">
        <f t="shared" si="14"/>
        <v>652.62</v>
      </c>
      <c r="Y72" s="3"/>
      <c r="Z72" s="8">
        <f t="shared" si="15"/>
        <v>0</v>
      </c>
    </row>
    <row r="73" spans="1:26" s="69" customFormat="1" ht="15" hidden="1" customHeight="1" outlineLevel="2" x14ac:dyDescent="0.25">
      <c r="A73" s="25"/>
      <c r="B73" s="12" t="str">
        <f>CONCATENATE("          ","6248"," - ","UNIFORMS")</f>
        <v xml:space="preserve">          6248 - UNIFORMS</v>
      </c>
      <c r="C73" s="12"/>
      <c r="D73" s="7"/>
      <c r="E73" s="3"/>
      <c r="F73" s="8">
        <f t="shared" si="8"/>
        <v>0</v>
      </c>
      <c r="G73" s="3"/>
      <c r="H73" s="7"/>
      <c r="I73" s="3"/>
      <c r="J73" s="8">
        <f t="shared" si="9"/>
        <v>0</v>
      </c>
      <c r="K73" s="3"/>
      <c r="L73" s="7">
        <f t="shared" si="10"/>
        <v>0</v>
      </c>
      <c r="M73" s="3"/>
      <c r="N73" s="8">
        <f t="shared" si="11"/>
        <v>0</v>
      </c>
      <c r="O73" s="12"/>
      <c r="P73" s="7">
        <v>1870.42</v>
      </c>
      <c r="Q73" s="3"/>
      <c r="R73" s="8">
        <f t="shared" si="12"/>
        <v>9.4604280504559531E-4</v>
      </c>
      <c r="S73" s="3"/>
      <c r="T73" s="7"/>
      <c r="U73" s="3"/>
      <c r="V73" s="8">
        <f t="shared" si="13"/>
        <v>0</v>
      </c>
      <c r="W73" s="3"/>
      <c r="X73" s="7">
        <f t="shared" si="14"/>
        <v>1870.42</v>
      </c>
      <c r="Y73" s="3"/>
      <c r="Z73" s="8">
        <f t="shared" si="15"/>
        <v>0</v>
      </c>
    </row>
    <row r="74" spans="1:26" s="68" customFormat="1" ht="15" customHeight="1" outlineLevel="1" collapsed="1" x14ac:dyDescent="0.25">
      <c r="A74" s="26"/>
      <c r="B74" s="14" t="str">
        <f>CONCATENATE("     ","Telephone/Data Lines                              ")</f>
        <v xml:space="preserve">     Telephone/Data Lines                              </v>
      </c>
      <c r="C74" s="14"/>
      <c r="D74" s="2">
        <f>SUM(OSRRefD22_15x_0)</f>
        <v>186</v>
      </c>
      <c r="E74" s="2"/>
      <c r="F74" s="6">
        <f t="shared" si="8"/>
        <v>1.4575269591552361E-3</v>
      </c>
      <c r="G74" s="2"/>
      <c r="H74" s="2">
        <f>SUM(OSRRefH22_15x_0)</f>
        <v>75</v>
      </c>
      <c r="I74" s="2"/>
      <c r="J74" s="6">
        <f t="shared" si="9"/>
        <v>0</v>
      </c>
      <c r="K74" s="2"/>
      <c r="L74" s="2">
        <f t="shared" si="10"/>
        <v>111</v>
      </c>
      <c r="M74" s="2"/>
      <c r="N74" s="6">
        <f t="shared" si="11"/>
        <v>1.48</v>
      </c>
      <c r="O74" s="14"/>
      <c r="P74" s="2">
        <f>SUM(OSRRefP22_15x_0)</f>
        <v>1886.85</v>
      </c>
      <c r="Q74" s="2"/>
      <c r="R74" s="6">
        <f t="shared" si="12"/>
        <v>9.5435296174136363E-4</v>
      </c>
      <c r="S74" s="2"/>
      <c r="T74" s="2">
        <f>SUM(OSRRefT22_15x_0)</f>
        <v>654.63</v>
      </c>
      <c r="U74" s="2"/>
      <c r="V74" s="6">
        <f t="shared" si="13"/>
        <v>0</v>
      </c>
      <c r="W74" s="2"/>
      <c r="X74" s="2">
        <f t="shared" si="14"/>
        <v>1232.2199999999998</v>
      </c>
      <c r="Y74" s="2"/>
      <c r="Z74" s="6">
        <f t="shared" si="15"/>
        <v>1.8823152009532098</v>
      </c>
    </row>
    <row r="75" spans="1:26" s="69" customFormat="1" ht="15" hidden="1" customHeight="1" outlineLevel="2" x14ac:dyDescent="0.25">
      <c r="A75" s="25"/>
      <c r="B75" s="12" t="str">
        <f>CONCATENATE("          ","6309"," - ","TELEPHONE")</f>
        <v xml:space="preserve">          6309 - TELEPHONE</v>
      </c>
      <c r="C75" s="12"/>
      <c r="D75" s="7">
        <v>186</v>
      </c>
      <c r="E75" s="3"/>
      <c r="F75" s="8">
        <f t="shared" si="8"/>
        <v>1.4575269591552361E-3</v>
      </c>
      <c r="G75" s="3"/>
      <c r="H75" s="7">
        <v>75</v>
      </c>
      <c r="I75" s="3"/>
      <c r="J75" s="8">
        <f t="shared" si="9"/>
        <v>0</v>
      </c>
      <c r="K75" s="3"/>
      <c r="L75" s="7">
        <f t="shared" si="10"/>
        <v>111</v>
      </c>
      <c r="M75" s="3"/>
      <c r="N75" s="8">
        <f t="shared" si="11"/>
        <v>1.48</v>
      </c>
      <c r="O75" s="12"/>
      <c r="P75" s="7">
        <v>1886.85</v>
      </c>
      <c r="Q75" s="3"/>
      <c r="R75" s="8">
        <f t="shared" si="12"/>
        <v>9.5435296174136363E-4</v>
      </c>
      <c r="S75" s="3"/>
      <c r="T75" s="7">
        <v>654.63</v>
      </c>
      <c r="U75" s="3"/>
      <c r="V75" s="8">
        <f t="shared" si="13"/>
        <v>0</v>
      </c>
      <c r="W75" s="3"/>
      <c r="X75" s="7">
        <f t="shared" si="14"/>
        <v>1232.2199999999998</v>
      </c>
      <c r="Y75" s="3"/>
      <c r="Z75" s="8">
        <f t="shared" si="15"/>
        <v>1.8823152009532098</v>
      </c>
    </row>
    <row r="76" spans="1:26" s="68" customFormat="1" ht="15" customHeight="1" outlineLevel="1" collapsed="1" x14ac:dyDescent="0.25">
      <c r="A76" s="26"/>
      <c r="B76" s="14" t="str">
        <f>CONCATENATE("     ","Training                                          ")</f>
        <v xml:space="preserve">     Training                                          </v>
      </c>
      <c r="C76" s="14"/>
      <c r="D76" s="2">
        <f>SUM(OSRRefD22_16x_0)</f>
        <v>0</v>
      </c>
      <c r="E76" s="2"/>
      <c r="F76" s="6">
        <f t="shared" si="8"/>
        <v>0</v>
      </c>
      <c r="G76" s="2"/>
      <c r="H76" s="2">
        <f>SUM(OSRRefH22_16x_0)</f>
        <v>0</v>
      </c>
      <c r="I76" s="2"/>
      <c r="J76" s="6">
        <f t="shared" si="9"/>
        <v>0</v>
      </c>
      <c r="K76" s="2"/>
      <c r="L76" s="2">
        <f t="shared" si="10"/>
        <v>0</v>
      </c>
      <c r="M76" s="2"/>
      <c r="N76" s="6">
        <f t="shared" si="11"/>
        <v>0</v>
      </c>
      <c r="O76" s="14"/>
      <c r="P76" s="2">
        <f>SUM(OSRRefP22_16x_0)</f>
        <v>312</v>
      </c>
      <c r="Q76" s="2"/>
      <c r="R76" s="6">
        <f t="shared" si="12"/>
        <v>1.5780699264027637E-4</v>
      </c>
      <c r="S76" s="2"/>
      <c r="T76" s="2">
        <f>SUM(OSRRefT22_16x_0)</f>
        <v>0</v>
      </c>
      <c r="U76" s="2"/>
      <c r="V76" s="6">
        <f t="shared" si="13"/>
        <v>0</v>
      </c>
      <c r="W76" s="2"/>
      <c r="X76" s="2">
        <f t="shared" si="14"/>
        <v>312</v>
      </c>
      <c r="Y76" s="2"/>
      <c r="Z76" s="6">
        <f t="shared" si="15"/>
        <v>0</v>
      </c>
    </row>
    <row r="77" spans="1:26" s="69" customFormat="1" ht="15" hidden="1" customHeight="1" outlineLevel="2" x14ac:dyDescent="0.25">
      <c r="A77" s="25"/>
      <c r="B77" s="12" t="str">
        <f>CONCATENATE("          ","6376"," - ","TRAINING")</f>
        <v xml:space="preserve">          6376 - TRAINING</v>
      </c>
      <c r="C77" s="12"/>
      <c r="D77" s="7"/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0</v>
      </c>
      <c r="M77" s="3"/>
      <c r="N77" s="8">
        <f t="shared" si="11"/>
        <v>0</v>
      </c>
      <c r="O77" s="12"/>
      <c r="P77" s="7">
        <v>312</v>
      </c>
      <c r="Q77" s="3"/>
      <c r="R77" s="8">
        <f t="shared" si="12"/>
        <v>1.5780699264027637E-4</v>
      </c>
      <c r="S77" s="3"/>
      <c r="T77" s="7"/>
      <c r="U77" s="3"/>
      <c r="V77" s="8">
        <f t="shared" si="13"/>
        <v>0</v>
      </c>
      <c r="W77" s="3"/>
      <c r="X77" s="7">
        <f t="shared" si="14"/>
        <v>312</v>
      </c>
      <c r="Y77" s="3"/>
      <c r="Z77" s="8">
        <f t="shared" si="15"/>
        <v>0</v>
      </c>
    </row>
    <row r="78" spans="1:26" s="68" customFormat="1" ht="15" customHeight="1" outlineLevel="1" collapsed="1" x14ac:dyDescent="0.25">
      <c r="A78" s="26"/>
      <c r="B78" s="14" t="str">
        <f>CONCATENATE("     ","Travel                                            ")</f>
        <v xml:space="preserve">     Travel                                            </v>
      </c>
      <c r="C78" s="14"/>
      <c r="D78" s="2">
        <f>SUM(OSRRefD22_17x_0)</f>
        <v>121.37</v>
      </c>
      <c r="E78" s="2"/>
      <c r="F78" s="6">
        <f t="shared" si="8"/>
        <v>9.5107552168102706E-4</v>
      </c>
      <c r="G78" s="2"/>
      <c r="H78" s="2">
        <f>SUM(OSRRefH22_17x_0)</f>
        <v>0</v>
      </c>
      <c r="I78" s="2"/>
      <c r="J78" s="6">
        <f t="shared" si="9"/>
        <v>0</v>
      </c>
      <c r="K78" s="2"/>
      <c r="L78" s="2">
        <f t="shared" si="10"/>
        <v>121.37</v>
      </c>
      <c r="M78" s="2"/>
      <c r="N78" s="6">
        <f t="shared" si="11"/>
        <v>0</v>
      </c>
      <c r="O78" s="14"/>
      <c r="P78" s="2">
        <f>SUM(OSRRefP22_17x_0)</f>
        <v>360.41</v>
      </c>
      <c r="Q78" s="2"/>
      <c r="R78" s="6">
        <f t="shared" si="12"/>
        <v>1.8229236608167311E-4</v>
      </c>
      <c r="S78" s="2"/>
      <c r="T78" s="2">
        <f>SUM(OSRRefT22_17x_0)</f>
        <v>0</v>
      </c>
      <c r="U78" s="2"/>
      <c r="V78" s="6">
        <f t="shared" si="13"/>
        <v>0</v>
      </c>
      <c r="W78" s="2"/>
      <c r="X78" s="2">
        <f t="shared" si="14"/>
        <v>360.41</v>
      </c>
      <c r="Y78" s="2"/>
      <c r="Z78" s="6">
        <f t="shared" si="15"/>
        <v>0</v>
      </c>
    </row>
    <row r="79" spans="1:26" s="69" customFormat="1" ht="15" hidden="1" customHeight="1" outlineLevel="2" x14ac:dyDescent="0.25">
      <c r="A79" s="25"/>
      <c r="B79" s="12" t="str">
        <f>CONCATENATE("          ","6298"," - ","VEHICLE MILEAGE")</f>
        <v xml:space="preserve">          6298 - VEHICLE MILEAGE</v>
      </c>
      <c r="C79" s="12"/>
      <c r="D79" s="7">
        <v>121.37</v>
      </c>
      <c r="E79" s="3"/>
      <c r="F79" s="8">
        <f t="shared" si="8"/>
        <v>9.5107552168102706E-4</v>
      </c>
      <c r="G79" s="3"/>
      <c r="H79" s="7"/>
      <c r="I79" s="3"/>
      <c r="J79" s="8">
        <f t="shared" si="9"/>
        <v>0</v>
      </c>
      <c r="K79" s="3"/>
      <c r="L79" s="7">
        <f t="shared" si="10"/>
        <v>121.37</v>
      </c>
      <c r="M79" s="3"/>
      <c r="N79" s="8">
        <f t="shared" si="11"/>
        <v>0</v>
      </c>
      <c r="O79" s="12"/>
      <c r="P79" s="7">
        <v>360.41</v>
      </c>
      <c r="Q79" s="3"/>
      <c r="R79" s="8">
        <f t="shared" si="12"/>
        <v>1.8229236608167311E-4</v>
      </c>
      <c r="S79" s="3"/>
      <c r="T79" s="7"/>
      <c r="U79" s="3"/>
      <c r="V79" s="8">
        <f t="shared" si="13"/>
        <v>0</v>
      </c>
      <c r="W79" s="3"/>
      <c r="X79" s="7">
        <f t="shared" si="14"/>
        <v>360.41</v>
      </c>
      <c r="Y79" s="3"/>
      <c r="Z79" s="8">
        <f t="shared" si="15"/>
        <v>0</v>
      </c>
    </row>
    <row r="80" spans="1:26" s="64" customFormat="1" ht="15" customHeight="1" x14ac:dyDescent="0.25">
      <c r="A80" s="36"/>
      <c r="B80" s="36"/>
      <c r="C80" s="36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3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62" customFormat="1" ht="15" customHeight="1" x14ac:dyDescent="0.25">
      <c r="A81" s="11"/>
      <c r="B81" s="28" t="s">
        <v>290</v>
      </c>
      <c r="C81" s="11"/>
      <c r="D81" s="5">
        <f>SUM(0)</f>
        <v>0</v>
      </c>
      <c r="E81" s="5"/>
      <c r="F81" s="13">
        <f>IF(D$12=0,0,D81/D$12)</f>
        <v>0</v>
      </c>
      <c r="G81" s="5"/>
      <c r="H81" s="5">
        <f>SUM(0)</f>
        <v>0</v>
      </c>
      <c r="I81" s="5"/>
      <c r="J81" s="13">
        <f>IF(H$12=0,0,H81/H$12)</f>
        <v>0</v>
      </c>
      <c r="K81" s="5"/>
      <c r="L81" s="5">
        <f>+D81-H81</f>
        <v>0</v>
      </c>
      <c r="M81" s="5"/>
      <c r="N81" s="13">
        <f>IF(H81=0,0,L81/H81)</f>
        <v>0</v>
      </c>
      <c r="O81" s="11"/>
      <c r="P81" s="5">
        <f>SUM(0)</f>
        <v>0</v>
      </c>
      <c r="Q81" s="5"/>
      <c r="R81" s="13">
        <f>IF(P$12=0,0,P81/P$12)</f>
        <v>0</v>
      </c>
      <c r="S81" s="5"/>
      <c r="T81" s="5">
        <f>SUM(0)</f>
        <v>0</v>
      </c>
      <c r="U81" s="5"/>
      <c r="V81" s="13">
        <f>IF(T$12=0,0,T81/T$12)</f>
        <v>0</v>
      </c>
      <c r="W81" s="5"/>
      <c r="X81" s="5">
        <f>+P81-T81</f>
        <v>0</v>
      </c>
      <c r="Y81" s="5"/>
      <c r="Z81" s="13">
        <f>IF(T81=0,0,X81/T81)</f>
        <v>0</v>
      </c>
    </row>
    <row r="82" spans="1:26" ht="15" customHeight="1" x14ac:dyDescent="0.25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25">
      <c r="A83" s="11"/>
      <c r="B83" s="27" t="s">
        <v>291</v>
      </c>
      <c r="C83" s="27"/>
      <c r="D83" s="22">
        <f>+D21-D23+D81</f>
        <v>-4167.5</v>
      </c>
      <c r="E83" s="15"/>
      <c r="F83" s="23">
        <f>IF(D$12=0,0,D83/D$12)</f>
        <v>-3.2657223668169068E-2</v>
      </c>
      <c r="G83" s="15"/>
      <c r="H83" s="22">
        <f>+H21-H23+H81</f>
        <v>-37944.54</v>
      </c>
      <c r="I83" s="15"/>
      <c r="J83" s="23">
        <f>IF(H$12=0,0,H83/H$12)</f>
        <v>0</v>
      </c>
      <c r="K83" s="16"/>
      <c r="L83" s="22">
        <f>+D83-H83</f>
        <v>33777.040000000001</v>
      </c>
      <c r="M83" s="16"/>
      <c r="N83" s="23">
        <f>IF(H83=0,0,L83/H83)</f>
        <v>-0.89016865140544599</v>
      </c>
      <c r="O83" s="28"/>
      <c r="P83" s="22">
        <f>+P21-P23+P81</f>
        <v>238643.36000000034</v>
      </c>
      <c r="Q83" s="15"/>
      <c r="R83" s="23">
        <f>IF(P$12=0,0,P83/P$12)</f>
        <v>0.12070381716400921</v>
      </c>
      <c r="S83" s="15"/>
      <c r="T83" s="22">
        <f>+T21-T23+T81</f>
        <v>-449111.68999999994</v>
      </c>
      <c r="U83" s="15"/>
      <c r="V83" s="23">
        <f>IF(T$12=0,0,T83/T$12)</f>
        <v>0</v>
      </c>
      <c r="W83" s="16"/>
      <c r="X83" s="22">
        <f>+P83-T83</f>
        <v>687755.05000000028</v>
      </c>
      <c r="Y83" s="16"/>
      <c r="Z83" s="23">
        <f>IF(T83=0,0,X83/T83)</f>
        <v>-1.5313675090488077</v>
      </c>
    </row>
    <row r="84" spans="1:26" ht="15" customHeight="1" x14ac:dyDescent="0.25">
      <c r="A84" s="10"/>
      <c r="B84" s="11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25">
      <c r="A85" s="48"/>
      <c r="B85" s="11" t="s">
        <v>292</v>
      </c>
      <c r="C85" s="11"/>
      <c r="D85" s="5">
        <v>12759.15</v>
      </c>
      <c r="E85" s="5"/>
      <c r="F85" s="13">
        <f>IF(D$12=0,0,D85/D$12)</f>
        <v>9.9982823123148018E-2</v>
      </c>
      <c r="G85" s="5"/>
      <c r="H85" s="5"/>
      <c r="I85" s="5"/>
      <c r="J85" s="13">
        <f>IF(H$12=0,0,H85/H$12)</f>
        <v>0</v>
      </c>
      <c r="K85" s="5"/>
      <c r="L85" s="5">
        <f>+D85-H85</f>
        <v>12759.15</v>
      </c>
      <c r="M85" s="5"/>
      <c r="N85" s="13">
        <f>IF(H85=0,0,L85/H85)</f>
        <v>0</v>
      </c>
      <c r="O85" s="11"/>
      <c r="P85" s="5">
        <v>222276.02</v>
      </c>
      <c r="Q85" s="5"/>
      <c r="R85" s="13">
        <f>IF(P$12=0,0,P85/P$12)</f>
        <v>0.1124253533725959</v>
      </c>
      <c r="S85" s="5"/>
      <c r="T85" s="5">
        <v>0</v>
      </c>
      <c r="U85" s="5"/>
      <c r="V85" s="13">
        <f>IF(T$12=0,0,T85/T$12)</f>
        <v>0</v>
      </c>
      <c r="W85" s="5"/>
      <c r="X85" s="5">
        <f>+P85-T85</f>
        <v>222276.02</v>
      </c>
      <c r="Y85" s="5"/>
      <c r="Z85" s="13">
        <f>IF(T85=0,0,X85/T85)</f>
        <v>0</v>
      </c>
    </row>
    <row r="86" spans="1:26" ht="15" customHeight="1" x14ac:dyDescent="0.25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25">
      <c r="A87" s="11"/>
      <c r="B87" s="27" t="s">
        <v>293</v>
      </c>
      <c r="C87" s="27"/>
      <c r="D87" s="35">
        <f>+D83-D85</f>
        <v>-16926.650000000001</v>
      </c>
      <c r="E87" s="15"/>
      <c r="F87" s="30">
        <f>IF(D$12=0,0,D87/D$12)</f>
        <v>-0.13264004679131711</v>
      </c>
      <c r="G87" s="15"/>
      <c r="H87" s="35">
        <f>+H83-H85</f>
        <v>-37944.54</v>
      </c>
      <c r="I87" s="15"/>
      <c r="J87" s="30">
        <f>IF(H$12=0,0,H87/H$12)</f>
        <v>0</v>
      </c>
      <c r="K87" s="16"/>
      <c r="L87" s="35">
        <f>D87-H87</f>
        <v>21017.89</v>
      </c>
      <c r="M87" s="16"/>
      <c r="N87" s="30">
        <f>IF(H87=0,0,L87/H87)</f>
        <v>-0.55391078663755045</v>
      </c>
      <c r="O87" s="28"/>
      <c r="P87" s="35">
        <f>+P83-P85</f>
        <v>16367.340000000346</v>
      </c>
      <c r="Q87" s="15"/>
      <c r="R87" s="30">
        <f>IF(P$12=0,0,P87/P$12)</f>
        <v>8.2784637914133184E-3</v>
      </c>
      <c r="S87" s="15"/>
      <c r="T87" s="35">
        <f>+T83-T85</f>
        <v>-449111.68999999994</v>
      </c>
      <c r="U87" s="15"/>
      <c r="V87" s="30">
        <f>IF(T$12=0,0,T87/T$12)</f>
        <v>0</v>
      </c>
      <c r="W87" s="16"/>
      <c r="X87" s="35">
        <f>P87-T87</f>
        <v>465479.03000000026</v>
      </c>
      <c r="Y87" s="16"/>
      <c r="Z87" s="30">
        <f>IF(T87=0,0,X87/T87)</f>
        <v>-1.0364438075526388</v>
      </c>
    </row>
    <row r="88" spans="1:26" ht="15" customHeight="1" x14ac:dyDescent="0.25">
      <c r="A88" s="10"/>
      <c r="B88" s="10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ht="15" customHeight="1" x14ac:dyDescent="0.25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25">
      <c r="A90" s="11"/>
      <c r="B90" s="27" t="s">
        <v>296</v>
      </c>
      <c r="C90" s="27"/>
      <c r="D90" s="32">
        <f>SUM(D87:D89)</f>
        <v>-16926.650000000001</v>
      </c>
      <c r="E90" s="15"/>
      <c r="F90" s="34">
        <f>IF(D$12=0,0,D90/D$12)</f>
        <v>-0.13264004679131711</v>
      </c>
      <c r="G90" s="15"/>
      <c r="H90" s="32">
        <f>SUM(H87:H89)</f>
        <v>-37944.54</v>
      </c>
      <c r="I90" s="15"/>
      <c r="J90" s="34">
        <f>IF(H$12=0,0,H90/H$12)</f>
        <v>0</v>
      </c>
      <c r="K90" s="16"/>
      <c r="L90" s="32">
        <f>+D90-H90</f>
        <v>21017.89</v>
      </c>
      <c r="M90" s="16"/>
      <c r="N90" s="34">
        <f>IF(H90=0,0,L90/H90)</f>
        <v>-0.55391078663755045</v>
      </c>
      <c r="O90" s="28"/>
      <c r="P90" s="32">
        <f>SUM(P87:P89)</f>
        <v>16367.340000000346</v>
      </c>
      <c r="Q90" s="15"/>
      <c r="R90" s="34">
        <f>IF(P$12=0,0,P90/P$12)</f>
        <v>8.2784637914133184E-3</v>
      </c>
      <c r="S90" s="15"/>
      <c r="T90" s="32">
        <f>SUM(T87:T89)</f>
        <v>-449111.68999999994</v>
      </c>
      <c r="U90" s="15"/>
      <c r="V90" s="34">
        <f>IF(T$12=0,0,T90/T$12)</f>
        <v>0</v>
      </c>
      <c r="W90" s="16"/>
      <c r="X90" s="32">
        <f>+P90-T90</f>
        <v>465479.03000000026</v>
      </c>
      <c r="Y90" s="16"/>
      <c r="Z90" s="34">
        <f>IF(T90=0,0,X90/T90)</f>
        <v>-1.0364438075526388</v>
      </c>
    </row>
    <row r="91" spans="1:26" ht="15" customHeight="1" x14ac:dyDescent="0.25">
      <c r="A91" s="10"/>
      <c r="C91" s="10"/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  <row r="92" spans="1:26" ht="15" customHeight="1" x14ac:dyDescent="0.25">
      <c r="A92" s="10"/>
      <c r="B92" s="50">
        <v>44727.879654085649</v>
      </c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  <row r="93" spans="1:26" ht="15" customHeight="1" x14ac:dyDescent="0.25">
      <c r="A93" s="10"/>
      <c r="B93" s="53" t="s">
        <v>297</v>
      </c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  <row r="94" spans="1:26" ht="15" customHeight="1" x14ac:dyDescent="0.25">
      <c r="A94" s="10"/>
      <c r="B94" s="55"/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  <row r="95" spans="1:26" ht="15" customHeight="1" x14ac:dyDescent="0.25"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EEF5-D3E9-27D1-1094-F7019429C29B}">
  <sheetPr>
    <tabColor rgb="FFFFC000"/>
    <outlinePr summaryBelow="0" summaryRight="0"/>
  </sheetPr>
  <dimension ref="A2:Z7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">
        <v>313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38378</v>
      </c>
      <c r="E12" s="5"/>
      <c r="F12" s="13"/>
      <c r="G12" s="5"/>
      <c r="H12" s="5">
        <f>SUM(OSRRefH13x_0)</f>
        <v>39633</v>
      </c>
      <c r="I12" s="5"/>
      <c r="J12" s="13"/>
      <c r="K12" s="5"/>
      <c r="L12" s="5">
        <f>+D12-H12</f>
        <v>-1255</v>
      </c>
      <c r="M12" s="5"/>
      <c r="N12" s="13">
        <f>IF(H12=0,0,L12/H12)</f>
        <v>-3.1665531249211516E-2</v>
      </c>
      <c r="O12" s="11"/>
      <c r="P12" s="5">
        <f>SUM(OSRRefP13x_0)</f>
        <v>437850</v>
      </c>
      <c r="Q12" s="5"/>
      <c r="R12" s="13"/>
      <c r="S12" s="5"/>
      <c r="T12" s="5">
        <f>SUM(OSRRefT13x_0)</f>
        <v>517186</v>
      </c>
      <c r="U12" s="5"/>
      <c r="V12" s="13"/>
      <c r="W12" s="5"/>
      <c r="X12" s="5">
        <f>+P12-T12</f>
        <v>-79336</v>
      </c>
      <c r="Y12" s="5"/>
      <c r="Z12" s="13">
        <f>IF(T12=0,0,X12/T12)</f>
        <v>-0.15339935729118731</v>
      </c>
    </row>
    <row r="13" spans="1:26" s="69" customFormat="1" ht="15" hidden="1" customHeight="1" outlineLevel="1" x14ac:dyDescent="0.25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--38378</f>
        <v>38378</v>
      </c>
      <c r="E13" s="3"/>
      <c r="F13" s="20"/>
      <c r="G13" s="3"/>
      <c r="H13" s="3">
        <f>--39633</f>
        <v>39633</v>
      </c>
      <c r="I13" s="3"/>
      <c r="J13" s="20"/>
      <c r="K13" s="3"/>
      <c r="L13" s="3">
        <f>+D13-H13</f>
        <v>-1255</v>
      </c>
      <c r="M13" s="3"/>
      <c r="N13" s="20">
        <f>IF(H13=0,0,L13/H13)</f>
        <v>-3.1665531249211516E-2</v>
      </c>
      <c r="O13" s="12"/>
      <c r="P13" s="3">
        <f>--437850</f>
        <v>437850</v>
      </c>
      <c r="Q13" s="3"/>
      <c r="R13" s="20"/>
      <c r="S13" s="3"/>
      <c r="T13" s="3">
        <f>--517186</f>
        <v>517186</v>
      </c>
      <c r="U13" s="3"/>
      <c r="V13" s="20"/>
      <c r="W13" s="3"/>
      <c r="X13" s="3">
        <f>+P13-T13</f>
        <v>-79336</v>
      </c>
      <c r="Y13" s="3"/>
      <c r="Z13" s="20">
        <f>IF(T13=0,0,X13/T13)</f>
        <v>-0.15339935729118731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25">
      <c r="A15" s="11"/>
      <c r="B15" s="28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25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25">
      <c r="A17" s="11"/>
      <c r="B17" s="27" t="s">
        <v>288</v>
      </c>
      <c r="C17" s="27"/>
      <c r="D17" s="22">
        <f>D12-D15</f>
        <v>38378</v>
      </c>
      <c r="E17" s="15"/>
      <c r="F17" s="23">
        <f>IF(D$12=0,0,D17/D$12)</f>
        <v>1</v>
      </c>
      <c r="G17" s="15"/>
      <c r="H17" s="22">
        <f>H12-H15</f>
        <v>39633</v>
      </c>
      <c r="I17" s="15"/>
      <c r="J17" s="23">
        <f>IF(H$12=0,0,H17/H$12)</f>
        <v>1</v>
      </c>
      <c r="K17" s="16"/>
      <c r="L17" s="22">
        <f>+D17-H17</f>
        <v>-1255</v>
      </c>
      <c r="M17" s="16"/>
      <c r="N17" s="23">
        <f>IF(H17=0,0,L17/H17)</f>
        <v>-3.1665531249211516E-2</v>
      </c>
      <c r="O17" s="28"/>
      <c r="P17" s="22">
        <f>P12-P15</f>
        <v>437850</v>
      </c>
      <c r="Q17" s="15"/>
      <c r="R17" s="23">
        <f>IF(P$12=0,0,P17/P$12)</f>
        <v>1</v>
      </c>
      <c r="S17" s="15"/>
      <c r="T17" s="22">
        <f>T12-T15</f>
        <v>517186</v>
      </c>
      <c r="U17" s="15"/>
      <c r="V17" s="23">
        <f>IF(T$12=0,0,T17/T$12)</f>
        <v>1</v>
      </c>
      <c r="W17" s="16"/>
      <c r="X17" s="22">
        <f>+P17-T17</f>
        <v>-79336</v>
      </c>
      <c r="Y17" s="16"/>
      <c r="Z17" s="23">
        <f>IF(T17=0,0,X17/T17)</f>
        <v>-0.15339935729118731</v>
      </c>
    </row>
    <row r="18" spans="1:26" ht="15" customHeight="1" x14ac:dyDescent="0.25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25">
      <c r="A19" s="11"/>
      <c r="B19" s="28" t="s">
        <v>289</v>
      </c>
      <c r="C19" s="11"/>
      <c r="D19" s="21" cm="1">
        <f t="array" ref="D19">SUM(OSRRefD22x_0)</f>
        <v>39160.420000000013</v>
      </c>
      <c r="E19" s="21"/>
      <c r="F19" s="31">
        <f t="shared" ref="F19:F61" si="0">IF(D$12=0,0,D19/D$12)</f>
        <v>1.0203872010005737</v>
      </c>
      <c r="G19" s="21"/>
      <c r="H19" s="21" cm="1">
        <f t="array" ref="H19">SUM(OSRRefH22x_0)</f>
        <v>31544.79</v>
      </c>
      <c r="I19" s="21"/>
      <c r="J19" s="31">
        <f t="shared" ref="J19:J61" si="1">IF(H$12=0,0,H19/H$12)</f>
        <v>0.79592233744606766</v>
      </c>
      <c r="K19" s="5"/>
      <c r="L19" s="21">
        <f t="shared" ref="L19:L61" si="2">+D19-H19</f>
        <v>7615.6300000000119</v>
      </c>
      <c r="M19" s="5"/>
      <c r="N19" s="31">
        <f t="shared" ref="N19:N61" si="3">IF(H19=0,0,L19/H19)</f>
        <v>0.24142275158591994</v>
      </c>
      <c r="O19" s="11"/>
      <c r="P19" s="21" cm="1">
        <f t="array" ref="P19">SUM(OSRRefP22x_0)</f>
        <v>405165.02999999997</v>
      </c>
      <c r="Q19" s="21"/>
      <c r="R19" s="31">
        <f t="shared" ref="R19:R61" si="4">IF(P$12=0,0,P19/P$12)</f>
        <v>0.92535121616992111</v>
      </c>
      <c r="S19" s="21"/>
      <c r="T19" s="21" cm="1">
        <f t="array" ref="T19">SUM(OSRRefT22x_0)</f>
        <v>419778.08999999997</v>
      </c>
      <c r="U19" s="21"/>
      <c r="V19" s="31">
        <f t="shared" ref="V19:V61" si="5">IF(T$12=0,0,T19/T$12)</f>
        <v>0.81165787550320379</v>
      </c>
      <c r="W19" s="5"/>
      <c r="X19" s="21">
        <f t="shared" ref="X19:X61" si="6">+P19-T19</f>
        <v>-14613.059999999998</v>
      </c>
      <c r="Y19" s="5"/>
      <c r="Z19" s="31">
        <f t="shared" ref="Z19:Z61" si="7">IF(T19=0,0,X19/T19)</f>
        <v>-3.4811392848064081E-2</v>
      </c>
    </row>
    <row r="20" spans="1:26" s="68" customFormat="1" ht="15" customHeight="1" outlineLevel="1" collapsed="1" x14ac:dyDescent="0.25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4496.6900000000005</v>
      </c>
      <c r="E20" s="2"/>
      <c r="F20" s="6">
        <f t="shared" si="0"/>
        <v>0.11716842982958989</v>
      </c>
      <c r="G20" s="2"/>
      <c r="H20" s="2">
        <f>SUM(OSRRefH22_0x_0)</f>
        <v>3822.8999999999996</v>
      </c>
      <c r="I20" s="2"/>
      <c r="J20" s="6">
        <f t="shared" si="1"/>
        <v>9.6457497539928841E-2</v>
      </c>
      <c r="K20" s="2"/>
      <c r="L20" s="2">
        <f t="shared" si="2"/>
        <v>673.79000000000087</v>
      </c>
      <c r="M20" s="2"/>
      <c r="N20" s="6">
        <f t="shared" si="3"/>
        <v>0.17625101362839754</v>
      </c>
      <c r="O20" s="14"/>
      <c r="P20" s="2">
        <f>SUM(OSRRefP22_0x_0)</f>
        <v>46839.65</v>
      </c>
      <c r="Q20" s="2"/>
      <c r="R20" s="6">
        <f t="shared" si="4"/>
        <v>0.10697647596208748</v>
      </c>
      <c r="S20" s="2"/>
      <c r="T20" s="2">
        <f>SUM(OSRRefT22_0x_0)</f>
        <v>46768.679999999993</v>
      </c>
      <c r="U20" s="2"/>
      <c r="V20" s="6">
        <f t="shared" si="5"/>
        <v>9.0429129945512818E-2</v>
      </c>
      <c r="W20" s="2"/>
      <c r="X20" s="2">
        <f t="shared" si="6"/>
        <v>70.97000000000844</v>
      </c>
      <c r="Y20" s="2"/>
      <c r="Z20" s="6">
        <f t="shared" si="7"/>
        <v>1.5174685280835048E-3</v>
      </c>
    </row>
    <row r="21" spans="1:26" s="69" customFormat="1" ht="15" hidden="1" customHeight="1" outlineLevel="2" x14ac:dyDescent="0.25">
      <c r="A21" s="25"/>
      <c r="B21" s="12" t="str">
        <f>CONCATENATE("          ","6111"," - ","F.I.C.A.")</f>
        <v xml:space="preserve">          6111 - F.I.C.A.</v>
      </c>
      <c r="C21" s="12"/>
      <c r="D21" s="7">
        <v>1114.3</v>
      </c>
      <c r="E21" s="3"/>
      <c r="F21" s="8">
        <f t="shared" si="0"/>
        <v>2.9034863724008545E-2</v>
      </c>
      <c r="G21" s="3"/>
      <c r="H21" s="7">
        <v>899.48</v>
      </c>
      <c r="I21" s="3"/>
      <c r="J21" s="8">
        <f t="shared" si="1"/>
        <v>2.2695228723538467E-2</v>
      </c>
      <c r="K21" s="3"/>
      <c r="L21" s="7">
        <f t="shared" si="2"/>
        <v>214.81999999999994</v>
      </c>
      <c r="M21" s="3"/>
      <c r="N21" s="8">
        <f t="shared" si="3"/>
        <v>0.23882687775158973</v>
      </c>
      <c r="O21" s="12"/>
      <c r="P21" s="7">
        <v>11636.86</v>
      </c>
      <c r="Q21" s="3"/>
      <c r="R21" s="8">
        <f t="shared" si="4"/>
        <v>2.6577275322599066E-2</v>
      </c>
      <c r="S21" s="3"/>
      <c r="T21" s="7">
        <v>11246.77</v>
      </c>
      <c r="U21" s="3"/>
      <c r="V21" s="8">
        <f t="shared" si="5"/>
        <v>2.1746083614018943E-2</v>
      </c>
      <c r="W21" s="3"/>
      <c r="X21" s="7">
        <f t="shared" si="6"/>
        <v>390.09000000000015</v>
      </c>
      <c r="Y21" s="3"/>
      <c r="Z21" s="8">
        <f t="shared" si="7"/>
        <v>3.4684625007891164E-2</v>
      </c>
    </row>
    <row r="22" spans="1:26" s="69" customFormat="1" ht="15" hidden="1" customHeight="1" outlineLevel="2" x14ac:dyDescent="0.25">
      <c r="A22" s="25"/>
      <c r="B22" s="12" t="str">
        <f>CONCATENATE("          ","6112"," - ","COMPENSATION INSURANCE")</f>
        <v xml:space="preserve">          6112 - COMPENSATION INSURANCE</v>
      </c>
      <c r="C22" s="12"/>
      <c r="D22" s="7">
        <v>331.06</v>
      </c>
      <c r="E22" s="3"/>
      <c r="F22" s="8">
        <f t="shared" si="0"/>
        <v>8.6262963155974773E-3</v>
      </c>
      <c r="G22" s="3"/>
      <c r="H22" s="7">
        <v>111.42</v>
      </c>
      <c r="I22" s="3"/>
      <c r="J22" s="8">
        <f t="shared" si="1"/>
        <v>2.8112936189539019E-3</v>
      </c>
      <c r="K22" s="3"/>
      <c r="L22" s="7">
        <f t="shared" si="2"/>
        <v>219.64</v>
      </c>
      <c r="M22" s="3"/>
      <c r="N22" s="8">
        <f t="shared" si="3"/>
        <v>1.9712798420391311</v>
      </c>
      <c r="O22" s="12"/>
      <c r="P22" s="7">
        <v>2029.38</v>
      </c>
      <c r="Q22" s="3"/>
      <c r="R22" s="8">
        <f t="shared" si="4"/>
        <v>4.634874957177116E-3</v>
      </c>
      <c r="S22" s="3"/>
      <c r="T22" s="7">
        <v>893.64</v>
      </c>
      <c r="U22" s="3"/>
      <c r="V22" s="8">
        <f t="shared" si="5"/>
        <v>1.7278889993155267E-3</v>
      </c>
      <c r="W22" s="3"/>
      <c r="X22" s="7">
        <f t="shared" si="6"/>
        <v>1135.7400000000002</v>
      </c>
      <c r="Y22" s="3"/>
      <c r="Z22" s="8">
        <f t="shared" si="7"/>
        <v>1.2709144621995436</v>
      </c>
    </row>
    <row r="23" spans="1:26" s="69" customFormat="1" ht="15" hidden="1" customHeight="1" outlineLevel="2" x14ac:dyDescent="0.25">
      <c r="A23" s="25"/>
      <c r="B23" s="12" t="str">
        <f>CONCATENATE("          ","6113"," - ","GROUP INSURANCE")</f>
        <v xml:space="preserve">          6113 - GROUP INSURANCE</v>
      </c>
      <c r="C23" s="12"/>
      <c r="D23" s="7">
        <v>991.22</v>
      </c>
      <c r="E23" s="3"/>
      <c r="F23" s="8">
        <f t="shared" si="0"/>
        <v>2.582781802074105E-2</v>
      </c>
      <c r="G23" s="3"/>
      <c r="H23" s="7">
        <v>1207.95</v>
      </c>
      <c r="I23" s="3"/>
      <c r="J23" s="8">
        <f t="shared" si="1"/>
        <v>3.0478389221103627E-2</v>
      </c>
      <c r="K23" s="3"/>
      <c r="L23" s="7">
        <f t="shared" si="2"/>
        <v>-216.73000000000002</v>
      </c>
      <c r="M23" s="3"/>
      <c r="N23" s="8">
        <f t="shared" si="3"/>
        <v>-0.17941967796680328</v>
      </c>
      <c r="O23" s="12"/>
      <c r="P23" s="7">
        <v>11176.12</v>
      </c>
      <c r="Q23" s="3"/>
      <c r="R23" s="8">
        <f t="shared" si="4"/>
        <v>2.5524997145141032E-2</v>
      </c>
      <c r="S23" s="3"/>
      <c r="T23" s="7">
        <v>13442.75</v>
      </c>
      <c r="U23" s="3"/>
      <c r="V23" s="8">
        <f t="shared" si="5"/>
        <v>2.5992099554125594E-2</v>
      </c>
      <c r="W23" s="3"/>
      <c r="X23" s="7">
        <f t="shared" si="6"/>
        <v>-2266.6299999999992</v>
      </c>
      <c r="Y23" s="3"/>
      <c r="Z23" s="8">
        <f t="shared" si="7"/>
        <v>-0.16861356493277038</v>
      </c>
    </row>
    <row r="24" spans="1:26" s="69" customFormat="1" ht="15" hidden="1" customHeight="1" outlineLevel="2" x14ac:dyDescent="0.25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7">
        <v>65.77</v>
      </c>
      <c r="E24" s="3"/>
      <c r="F24" s="8">
        <f t="shared" si="0"/>
        <v>1.71374224816301E-3</v>
      </c>
      <c r="G24" s="3"/>
      <c r="H24" s="7">
        <v>46.16</v>
      </c>
      <c r="I24" s="3"/>
      <c r="J24" s="8">
        <f t="shared" si="1"/>
        <v>1.1646859939949033E-3</v>
      </c>
      <c r="K24" s="3"/>
      <c r="L24" s="7">
        <f t="shared" si="2"/>
        <v>19.61</v>
      </c>
      <c r="M24" s="3"/>
      <c r="N24" s="8">
        <f t="shared" si="3"/>
        <v>0.42482668977469673</v>
      </c>
      <c r="O24" s="12"/>
      <c r="P24" s="7">
        <v>401.17</v>
      </c>
      <c r="Q24" s="3"/>
      <c r="R24" s="8">
        <f t="shared" si="4"/>
        <v>9.1622701838529181E-4</v>
      </c>
      <c r="S24" s="3"/>
      <c r="T24" s="7">
        <v>404.28</v>
      </c>
      <c r="U24" s="3"/>
      <c r="V24" s="8">
        <f t="shared" si="5"/>
        <v>7.8169169312394371E-4</v>
      </c>
      <c r="W24" s="3"/>
      <c r="X24" s="7">
        <f t="shared" si="6"/>
        <v>-3.1099999999999568</v>
      </c>
      <c r="Y24" s="3"/>
      <c r="Z24" s="8">
        <f t="shared" si="7"/>
        <v>-7.6926882358760188E-3</v>
      </c>
    </row>
    <row r="25" spans="1:26" s="69" customFormat="1" ht="15" hidden="1" customHeight="1" outlineLevel="2" x14ac:dyDescent="0.25">
      <c r="A25" s="25"/>
      <c r="B25" s="12" t="str">
        <f>CONCATENATE("          ","6115"," - ","P.E.R.S.")</f>
        <v xml:space="preserve">          6115 - P.E.R.S.</v>
      </c>
      <c r="C25" s="12"/>
      <c r="D25" s="7">
        <v>554.66</v>
      </c>
      <c r="E25" s="3"/>
      <c r="F25" s="8">
        <f t="shared" si="0"/>
        <v>1.4452550940643075E-2</v>
      </c>
      <c r="G25" s="3"/>
      <c r="H25" s="7">
        <v>640.35</v>
      </c>
      <c r="I25" s="3"/>
      <c r="J25" s="8">
        <f t="shared" si="1"/>
        <v>1.6156990386798881E-2</v>
      </c>
      <c r="K25" s="3"/>
      <c r="L25" s="7">
        <f t="shared" si="2"/>
        <v>-85.690000000000055</v>
      </c>
      <c r="M25" s="3"/>
      <c r="N25" s="8">
        <f t="shared" si="3"/>
        <v>-0.13381744358553924</v>
      </c>
      <c r="O25" s="12"/>
      <c r="P25" s="7">
        <v>7200.27</v>
      </c>
      <c r="Q25" s="3"/>
      <c r="R25" s="8">
        <f t="shared" si="4"/>
        <v>1.6444604316546763E-2</v>
      </c>
      <c r="S25" s="3"/>
      <c r="T25" s="7">
        <v>8341.6299999999992</v>
      </c>
      <c r="U25" s="3"/>
      <c r="V25" s="8">
        <f t="shared" si="5"/>
        <v>1.6128878198559123E-2</v>
      </c>
      <c r="W25" s="3"/>
      <c r="X25" s="7">
        <f t="shared" si="6"/>
        <v>-1141.3599999999988</v>
      </c>
      <c r="Y25" s="3"/>
      <c r="Z25" s="8">
        <f t="shared" si="7"/>
        <v>-0.13682697506362651</v>
      </c>
    </row>
    <row r="26" spans="1:26" s="69" customFormat="1" ht="15" hidden="1" customHeight="1" outlineLevel="2" x14ac:dyDescent="0.25">
      <c r="A26" s="25"/>
      <c r="B26" s="12" t="str">
        <f>CONCATENATE("          ","6117"," - ","RETIREMENT STAFF HOURLY")</f>
        <v xml:space="preserve">          6117 - RETIREMENT STAFF HOURLY</v>
      </c>
      <c r="C26" s="12"/>
      <c r="D26" s="7">
        <v>120</v>
      </c>
      <c r="E26" s="3"/>
      <c r="F26" s="8">
        <f t="shared" si="0"/>
        <v>3.1267913909010371E-3</v>
      </c>
      <c r="G26" s="3"/>
      <c r="H26" s="7">
        <v>98.26</v>
      </c>
      <c r="I26" s="3"/>
      <c r="J26" s="8">
        <f t="shared" si="1"/>
        <v>2.4792470920697398E-3</v>
      </c>
      <c r="K26" s="3"/>
      <c r="L26" s="7">
        <f t="shared" si="2"/>
        <v>21.739999999999995</v>
      </c>
      <c r="M26" s="3"/>
      <c r="N26" s="8">
        <f t="shared" si="3"/>
        <v>0.22124974557296961</v>
      </c>
      <c r="O26" s="12"/>
      <c r="P26" s="7">
        <v>395.15</v>
      </c>
      <c r="Q26" s="3"/>
      <c r="R26" s="8">
        <f t="shared" si="4"/>
        <v>9.0247801758593115E-4</v>
      </c>
      <c r="S26" s="3"/>
      <c r="T26" s="7">
        <v>987.71</v>
      </c>
      <c r="U26" s="3"/>
      <c r="V26" s="8">
        <f t="shared" si="5"/>
        <v>1.9097771401391376E-3</v>
      </c>
      <c r="W26" s="3"/>
      <c r="X26" s="7">
        <f t="shared" si="6"/>
        <v>-592.56000000000006</v>
      </c>
      <c r="Y26" s="3"/>
      <c r="Z26" s="8">
        <f t="shared" si="7"/>
        <v>-0.59993317876704699</v>
      </c>
    </row>
    <row r="27" spans="1:26" s="69" customFormat="1" ht="15" hidden="1" customHeight="1" outlineLevel="2" x14ac:dyDescent="0.25">
      <c r="A27" s="25"/>
      <c r="B27" s="12" t="str">
        <f>CONCATENATE("          ","6118"," - ","VACATION")</f>
        <v xml:space="preserve">          6118 - VACATION</v>
      </c>
      <c r="C27" s="12"/>
      <c r="D27" s="7">
        <v>608.20000000000005</v>
      </c>
      <c r="E27" s="3"/>
      <c r="F27" s="8">
        <f t="shared" si="0"/>
        <v>1.5847621032883424E-2</v>
      </c>
      <c r="G27" s="3"/>
      <c r="H27" s="7">
        <v>520.02</v>
      </c>
      <c r="I27" s="3"/>
      <c r="J27" s="8">
        <f t="shared" si="1"/>
        <v>1.3120884111725076E-2</v>
      </c>
      <c r="K27" s="3"/>
      <c r="L27" s="7">
        <f t="shared" si="2"/>
        <v>88.180000000000064</v>
      </c>
      <c r="M27" s="3"/>
      <c r="N27" s="8">
        <f t="shared" si="3"/>
        <v>0.16957040113841787</v>
      </c>
      <c r="O27" s="12"/>
      <c r="P27" s="7">
        <v>7435.05</v>
      </c>
      <c r="Q27" s="3"/>
      <c r="R27" s="8">
        <f t="shared" si="4"/>
        <v>1.6980815347721823E-2</v>
      </c>
      <c r="S27" s="3"/>
      <c r="T27" s="7">
        <v>6240.24</v>
      </c>
      <c r="U27" s="3"/>
      <c r="V27" s="8">
        <f t="shared" si="5"/>
        <v>1.2065755840258629E-2</v>
      </c>
      <c r="W27" s="3"/>
      <c r="X27" s="7">
        <f t="shared" si="6"/>
        <v>1194.8100000000004</v>
      </c>
      <c r="Y27" s="3"/>
      <c r="Z27" s="8">
        <f t="shared" si="7"/>
        <v>0.19146859736164001</v>
      </c>
    </row>
    <row r="28" spans="1:26" s="69" customFormat="1" ht="15" hidden="1" customHeight="1" outlineLevel="2" x14ac:dyDescent="0.25">
      <c r="A28" s="25"/>
      <c r="B28" s="12" t="str">
        <f>CONCATENATE("          ","6119"," - ","SICK LEAVE")</f>
        <v xml:space="preserve">          6119 - SICK LEAVE</v>
      </c>
      <c r="C28" s="12"/>
      <c r="D28" s="7">
        <v>443.63</v>
      </c>
      <c r="E28" s="3"/>
      <c r="F28" s="8">
        <f t="shared" si="0"/>
        <v>1.1559487206211892E-2</v>
      </c>
      <c r="G28" s="3"/>
      <c r="H28" s="7">
        <v>299.26</v>
      </c>
      <c r="I28" s="3"/>
      <c r="J28" s="8">
        <f t="shared" si="1"/>
        <v>7.5507783917442535E-3</v>
      </c>
      <c r="K28" s="3"/>
      <c r="L28" s="7">
        <f t="shared" si="2"/>
        <v>144.37</v>
      </c>
      <c r="M28" s="3"/>
      <c r="N28" s="8">
        <f t="shared" si="3"/>
        <v>0.48242331083338907</v>
      </c>
      <c r="O28" s="12"/>
      <c r="P28" s="7">
        <v>5531.01</v>
      </c>
      <c r="Q28" s="3"/>
      <c r="R28" s="8">
        <f t="shared" si="4"/>
        <v>1.2632202809181228E-2</v>
      </c>
      <c r="S28" s="3"/>
      <c r="T28" s="7">
        <v>3591.13</v>
      </c>
      <c r="U28" s="3"/>
      <c r="V28" s="8">
        <f t="shared" si="5"/>
        <v>6.9435947608790646E-3</v>
      </c>
      <c r="W28" s="3"/>
      <c r="X28" s="7">
        <f t="shared" si="6"/>
        <v>1939.88</v>
      </c>
      <c r="Y28" s="3"/>
      <c r="Z28" s="8">
        <f t="shared" si="7"/>
        <v>0.54018651510805793</v>
      </c>
    </row>
    <row r="29" spans="1:26" s="69" customFormat="1" ht="15" hidden="1" customHeight="1" outlineLevel="2" x14ac:dyDescent="0.25">
      <c r="A29" s="25"/>
      <c r="B29" s="12" t="str">
        <f>CONCATENATE("          ","6156"," - ","EMPLOYEE MEALS")</f>
        <v xml:space="preserve">          6156 - EMPLOYEE MEALS</v>
      </c>
      <c r="C29" s="12"/>
      <c r="D29" s="7">
        <v>267.85000000000002</v>
      </c>
      <c r="E29" s="3"/>
      <c r="F29" s="8">
        <f t="shared" si="0"/>
        <v>6.979258950440357E-3</v>
      </c>
      <c r="G29" s="3"/>
      <c r="H29" s="7"/>
      <c r="I29" s="3"/>
      <c r="J29" s="8">
        <f t="shared" si="1"/>
        <v>0</v>
      </c>
      <c r="K29" s="3"/>
      <c r="L29" s="7">
        <f t="shared" si="2"/>
        <v>267.85000000000002</v>
      </c>
      <c r="M29" s="3"/>
      <c r="N29" s="8">
        <f t="shared" si="3"/>
        <v>0</v>
      </c>
      <c r="O29" s="12"/>
      <c r="P29" s="7">
        <v>1034.6400000000001</v>
      </c>
      <c r="Q29" s="3"/>
      <c r="R29" s="8">
        <f t="shared" si="4"/>
        <v>2.3630010277492296E-3</v>
      </c>
      <c r="S29" s="3"/>
      <c r="T29" s="7">
        <v>1620.53</v>
      </c>
      <c r="U29" s="3"/>
      <c r="V29" s="8">
        <f t="shared" si="5"/>
        <v>3.1333601450928678E-3</v>
      </c>
      <c r="W29" s="3"/>
      <c r="X29" s="7">
        <f t="shared" si="6"/>
        <v>-585.88999999999987</v>
      </c>
      <c r="Y29" s="3"/>
      <c r="Z29" s="8">
        <f t="shared" si="7"/>
        <v>-0.36154221149870713</v>
      </c>
    </row>
    <row r="30" spans="1:26" s="68" customFormat="1" ht="15" customHeight="1" outlineLevel="1" collapsed="1" x14ac:dyDescent="0.25">
      <c r="A30" s="26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15761.880000000001</v>
      </c>
      <c r="E30" s="2"/>
      <c r="F30" s="6">
        <f t="shared" si="0"/>
        <v>0.41070092240346034</v>
      </c>
      <c r="G30" s="2"/>
      <c r="H30" s="2">
        <f>SUM(OSRRefH22_1x_0)</f>
        <v>11834.07</v>
      </c>
      <c r="I30" s="2"/>
      <c r="J30" s="6">
        <f t="shared" si="1"/>
        <v>0.29859132541064265</v>
      </c>
      <c r="K30" s="2"/>
      <c r="L30" s="2">
        <f t="shared" si="2"/>
        <v>3927.8100000000013</v>
      </c>
      <c r="M30" s="2"/>
      <c r="N30" s="6">
        <f t="shared" si="3"/>
        <v>0.33190694325789871</v>
      </c>
      <c r="O30" s="14"/>
      <c r="P30" s="2">
        <f>SUM(OSRRefP22_1x_0)</f>
        <v>163584.11000000002</v>
      </c>
      <c r="Q30" s="2"/>
      <c r="R30" s="6">
        <f t="shared" si="4"/>
        <v>0.37360765102203952</v>
      </c>
      <c r="S30" s="2"/>
      <c r="T30" s="2">
        <f>SUM(OSRRefT22_1x_0)</f>
        <v>152168.48000000001</v>
      </c>
      <c r="U30" s="2"/>
      <c r="V30" s="6">
        <f t="shared" si="5"/>
        <v>0.2942238962384906</v>
      </c>
      <c r="W30" s="2"/>
      <c r="X30" s="2">
        <f t="shared" si="6"/>
        <v>11415.630000000005</v>
      </c>
      <c r="Y30" s="2"/>
      <c r="Z30" s="6">
        <f t="shared" si="7"/>
        <v>7.5019675559616583E-2</v>
      </c>
    </row>
    <row r="31" spans="1:26" s="69" customFormat="1" ht="15" hidden="1" customHeight="1" outlineLevel="2" x14ac:dyDescent="0.25">
      <c r="A31" s="25"/>
      <c r="B31" s="12" t="str">
        <f>CONCATENATE("          ","6001"," - ","ADMINISTRATIVE SALARIES")</f>
        <v xml:space="preserve">          6001 - ADMINISTRATIVE SALARIES</v>
      </c>
      <c r="C31" s="12"/>
      <c r="D31" s="7">
        <v>3726.61</v>
      </c>
      <c r="E31" s="3"/>
      <c r="F31" s="8">
        <f t="shared" si="0"/>
        <v>9.7102767210380955E-2</v>
      </c>
      <c r="G31" s="3"/>
      <c r="H31" s="7">
        <v>4205.72</v>
      </c>
      <c r="I31" s="3"/>
      <c r="J31" s="8">
        <f t="shared" si="1"/>
        <v>0.10611661998839352</v>
      </c>
      <c r="K31" s="3"/>
      <c r="L31" s="7">
        <f t="shared" si="2"/>
        <v>-479.11000000000013</v>
      </c>
      <c r="M31" s="3"/>
      <c r="N31" s="8">
        <f t="shared" si="3"/>
        <v>-0.11391866315399031</v>
      </c>
      <c r="O31" s="12"/>
      <c r="P31" s="7">
        <v>51393.19</v>
      </c>
      <c r="Q31" s="3"/>
      <c r="R31" s="8">
        <f t="shared" si="4"/>
        <v>0.11737624757336988</v>
      </c>
      <c r="S31" s="3"/>
      <c r="T31" s="7">
        <v>47945.16</v>
      </c>
      <c r="U31" s="3"/>
      <c r="V31" s="8">
        <f t="shared" si="5"/>
        <v>9.2703901497720356E-2</v>
      </c>
      <c r="W31" s="3"/>
      <c r="X31" s="7">
        <f t="shared" si="6"/>
        <v>3448.0299999999988</v>
      </c>
      <c r="Y31" s="3"/>
      <c r="Z31" s="8">
        <f t="shared" si="7"/>
        <v>7.1916122503293323E-2</v>
      </c>
    </row>
    <row r="32" spans="1:26" s="69" customFormat="1" ht="15" hidden="1" customHeight="1" outlineLevel="2" x14ac:dyDescent="0.25">
      <c r="A32" s="25"/>
      <c r="B32" s="12" t="str">
        <f>CONCATENATE("          ","6002"," - ","STAFF SALARIES")</f>
        <v xml:space="preserve">          6002 - STAFF SALARIES</v>
      </c>
      <c r="C32" s="12"/>
      <c r="D32" s="7">
        <v>1632</v>
      </c>
      <c r="E32" s="3"/>
      <c r="F32" s="8">
        <f t="shared" si="0"/>
        <v>4.2524362916254103E-2</v>
      </c>
      <c r="G32" s="3"/>
      <c r="H32" s="7">
        <v>2282.3000000000002</v>
      </c>
      <c r="I32" s="3"/>
      <c r="J32" s="8">
        <f t="shared" si="1"/>
        <v>5.7585850175358923E-2</v>
      </c>
      <c r="K32" s="3"/>
      <c r="L32" s="7">
        <f t="shared" si="2"/>
        <v>-650.30000000000018</v>
      </c>
      <c r="M32" s="3"/>
      <c r="N32" s="8">
        <f t="shared" si="3"/>
        <v>-0.28493186697629591</v>
      </c>
      <c r="O32" s="12"/>
      <c r="P32" s="7">
        <v>20256.57</v>
      </c>
      <c r="Q32" s="3"/>
      <c r="R32" s="8">
        <f t="shared" si="4"/>
        <v>4.626372045220966E-2</v>
      </c>
      <c r="S32" s="3"/>
      <c r="T32" s="7">
        <v>25789.98</v>
      </c>
      <c r="U32" s="3"/>
      <c r="V32" s="8">
        <f t="shared" si="5"/>
        <v>4.9865966982864968E-2</v>
      </c>
      <c r="W32" s="3"/>
      <c r="X32" s="7">
        <f t="shared" si="6"/>
        <v>-5533.41</v>
      </c>
      <c r="Y32" s="3"/>
      <c r="Z32" s="8">
        <f t="shared" si="7"/>
        <v>-0.21455658360339946</v>
      </c>
    </row>
    <row r="33" spans="1:26" s="69" customFormat="1" ht="15" hidden="1" customHeight="1" outlineLevel="2" x14ac:dyDescent="0.25">
      <c r="A33" s="25"/>
      <c r="B33" s="12" t="str">
        <f>CONCATENATE("          ","6004"," - ","STAFF HOURLY")</f>
        <v xml:space="preserve">          6004 - STAFF HOURLY</v>
      </c>
      <c r="C33" s="12"/>
      <c r="D33" s="7">
        <v>3380.1</v>
      </c>
      <c r="E33" s="3"/>
      <c r="F33" s="8">
        <f t="shared" si="0"/>
        <v>8.8073896503204963E-2</v>
      </c>
      <c r="G33" s="3"/>
      <c r="H33" s="7"/>
      <c r="I33" s="3"/>
      <c r="J33" s="8">
        <f t="shared" si="1"/>
        <v>0</v>
      </c>
      <c r="K33" s="3"/>
      <c r="L33" s="7">
        <f t="shared" si="2"/>
        <v>3380.1</v>
      </c>
      <c r="M33" s="3"/>
      <c r="N33" s="8">
        <f t="shared" si="3"/>
        <v>0</v>
      </c>
      <c r="O33" s="12"/>
      <c r="P33" s="7">
        <v>16702.32</v>
      </c>
      <c r="Q33" s="3"/>
      <c r="R33" s="8">
        <f t="shared" si="4"/>
        <v>3.814621445700582E-2</v>
      </c>
      <c r="S33" s="3"/>
      <c r="T33" s="7"/>
      <c r="U33" s="3"/>
      <c r="V33" s="8">
        <f t="shared" si="5"/>
        <v>0</v>
      </c>
      <c r="W33" s="3"/>
      <c r="X33" s="7">
        <f t="shared" si="6"/>
        <v>16702.32</v>
      </c>
      <c r="Y33" s="3"/>
      <c r="Z33" s="8">
        <f t="shared" si="7"/>
        <v>0</v>
      </c>
    </row>
    <row r="34" spans="1:26" s="69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7">
        <v>2993.94</v>
      </c>
      <c r="E34" s="3"/>
      <c r="F34" s="8">
        <f t="shared" si="0"/>
        <v>7.8011881807285424E-2</v>
      </c>
      <c r="G34" s="3"/>
      <c r="H34" s="7">
        <v>5346.05</v>
      </c>
      <c r="I34" s="3"/>
      <c r="J34" s="8">
        <f t="shared" si="1"/>
        <v>0.13488885524689023</v>
      </c>
      <c r="K34" s="3"/>
      <c r="L34" s="7">
        <f t="shared" si="2"/>
        <v>-2352.11</v>
      </c>
      <c r="M34" s="3"/>
      <c r="N34" s="8">
        <f t="shared" si="3"/>
        <v>-0.43997156779304347</v>
      </c>
      <c r="O34" s="12"/>
      <c r="P34" s="7">
        <v>56889.5</v>
      </c>
      <c r="Q34" s="3"/>
      <c r="R34" s="8">
        <f t="shared" si="4"/>
        <v>0.12992919949754483</v>
      </c>
      <c r="S34" s="3"/>
      <c r="T34" s="7">
        <v>70243.679999999993</v>
      </c>
      <c r="U34" s="3"/>
      <c r="V34" s="8">
        <f t="shared" si="5"/>
        <v>0.13581898968649575</v>
      </c>
      <c r="W34" s="3"/>
      <c r="X34" s="7">
        <f t="shared" si="6"/>
        <v>-13354.179999999993</v>
      </c>
      <c r="Y34" s="3"/>
      <c r="Z34" s="8">
        <f t="shared" si="7"/>
        <v>-0.19011219229971998</v>
      </c>
    </row>
    <row r="35" spans="1:26" s="69" customFormat="1" ht="15" hidden="1" customHeight="1" outlineLevel="2" x14ac:dyDescent="0.25">
      <c r="A35" s="25"/>
      <c r="B35" s="12" t="str">
        <f>CONCATENATE("          ","6007"," - ","STUDENT HOURLY")</f>
        <v xml:space="preserve">          6007 - STUDENT HOURLY</v>
      </c>
      <c r="C35" s="12"/>
      <c r="D35" s="7">
        <v>4029.23</v>
      </c>
      <c r="E35" s="3"/>
      <c r="F35" s="8">
        <f t="shared" si="0"/>
        <v>0.10498801396633488</v>
      </c>
      <c r="G35" s="3"/>
      <c r="H35" s="7"/>
      <c r="I35" s="3"/>
      <c r="J35" s="8">
        <f t="shared" si="1"/>
        <v>0</v>
      </c>
      <c r="K35" s="3"/>
      <c r="L35" s="7">
        <f t="shared" si="2"/>
        <v>4029.23</v>
      </c>
      <c r="M35" s="3"/>
      <c r="N35" s="8">
        <f t="shared" si="3"/>
        <v>0</v>
      </c>
      <c r="O35" s="12"/>
      <c r="P35" s="7">
        <v>18178.310000000001</v>
      </c>
      <c r="Q35" s="3"/>
      <c r="R35" s="8">
        <f t="shared" si="4"/>
        <v>4.1517209089870964E-2</v>
      </c>
      <c r="S35" s="3"/>
      <c r="T35" s="7">
        <v>4277.78</v>
      </c>
      <c r="U35" s="3"/>
      <c r="V35" s="8">
        <f t="shared" si="5"/>
        <v>8.2712602429300085E-3</v>
      </c>
      <c r="W35" s="3"/>
      <c r="X35" s="7">
        <f t="shared" si="6"/>
        <v>13900.530000000002</v>
      </c>
      <c r="Y35" s="3"/>
      <c r="Z35" s="8">
        <f t="shared" si="7"/>
        <v>3.249472857416698</v>
      </c>
    </row>
    <row r="36" spans="1:26" s="69" customFormat="1" ht="15" hidden="1" customHeight="1" outlineLevel="2" x14ac:dyDescent="0.25">
      <c r="A36" s="25"/>
      <c r="B36" s="12" t="str">
        <f>CONCATENATE("          ","6008"," - ","STUDENT HOURLY-FICA EXEMPT")</f>
        <v xml:space="preserve">          6008 - STUDENT HOURLY-FICA EXEMPT</v>
      </c>
      <c r="C36" s="12"/>
      <c r="D36" s="7"/>
      <c r="E36" s="3"/>
      <c r="F36" s="8">
        <f t="shared" si="0"/>
        <v>0</v>
      </c>
      <c r="G36" s="3"/>
      <c r="H36" s="7"/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>
        <v>164.22</v>
      </c>
      <c r="Q36" s="3"/>
      <c r="R36" s="8">
        <f t="shared" si="4"/>
        <v>3.7505995203836932E-4</v>
      </c>
      <c r="S36" s="3"/>
      <c r="T36" s="7">
        <v>3911.88</v>
      </c>
      <c r="U36" s="3"/>
      <c r="V36" s="8">
        <f t="shared" si="5"/>
        <v>7.5637778284795027E-3</v>
      </c>
      <c r="W36" s="3"/>
      <c r="X36" s="7">
        <f t="shared" si="6"/>
        <v>-3747.6600000000003</v>
      </c>
      <c r="Y36" s="3"/>
      <c r="Z36" s="8">
        <f t="shared" si="7"/>
        <v>-0.95802018466824146</v>
      </c>
    </row>
    <row r="37" spans="1:26" s="68" customFormat="1" ht="15" customHeight="1" outlineLevel="1" collapsed="1" x14ac:dyDescent="0.25">
      <c r="A37" s="26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0</v>
      </c>
      <c r="E37" s="2"/>
      <c r="F37" s="6">
        <f t="shared" si="0"/>
        <v>0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SUM(OSRRefP22_2x_0)</f>
        <v>251.18</v>
      </c>
      <c r="Q37" s="2"/>
      <c r="R37" s="6">
        <f t="shared" si="4"/>
        <v>5.7366678086102549E-4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251.18</v>
      </c>
      <c r="Y37" s="2"/>
      <c r="Z37" s="6">
        <f t="shared" si="7"/>
        <v>0</v>
      </c>
    </row>
    <row r="38" spans="1:26" s="69" customFormat="1" ht="15" hidden="1" customHeight="1" outlineLevel="2" x14ac:dyDescent="0.25">
      <c r="A38" s="25"/>
      <c r="B38" s="12" t="str">
        <f>CONCATENATE("          ","6362"," - ","ADVERTISING EXPENSE")</f>
        <v xml:space="preserve">          6362 - ADVERTISING EXPENSE</v>
      </c>
      <c r="C38" s="12"/>
      <c r="D38" s="7"/>
      <c r="E38" s="3"/>
      <c r="F38" s="8">
        <f t="shared" si="0"/>
        <v>0</v>
      </c>
      <c r="G38" s="3"/>
      <c r="H38" s="7"/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>
        <v>251.18</v>
      </c>
      <c r="Q38" s="3"/>
      <c r="R38" s="8">
        <f t="shared" si="4"/>
        <v>5.7366678086102549E-4</v>
      </c>
      <c r="S38" s="3"/>
      <c r="T38" s="7"/>
      <c r="U38" s="3"/>
      <c r="V38" s="8">
        <f t="shared" si="5"/>
        <v>0</v>
      </c>
      <c r="W38" s="3"/>
      <c r="X38" s="7">
        <f t="shared" si="6"/>
        <v>251.18</v>
      </c>
      <c r="Y38" s="3"/>
      <c r="Z38" s="8">
        <f t="shared" si="7"/>
        <v>0</v>
      </c>
    </row>
    <row r="39" spans="1:26" s="68" customFormat="1" ht="15" customHeight="1" outlineLevel="1" collapsed="1" x14ac:dyDescent="0.25">
      <c r="A39" s="26"/>
      <c r="B39" s="14" t="str">
        <f>CONCATENATE("     ","Bank/card Fees                                    ")</f>
        <v xml:space="preserve">     Bank/card Fees                                    </v>
      </c>
      <c r="C39" s="14"/>
      <c r="D39" s="2">
        <f>SUM(OSRRefD22_3x_0)</f>
        <v>335.24</v>
      </c>
      <c r="E39" s="2"/>
      <c r="F39" s="6">
        <f t="shared" si="0"/>
        <v>8.7352128823805306E-3</v>
      </c>
      <c r="G39" s="2"/>
      <c r="H39" s="2">
        <f>SUM(OSRRefH22_3x_0)</f>
        <v>5257.31</v>
      </c>
      <c r="I39" s="2"/>
      <c r="J39" s="6">
        <f t="shared" si="1"/>
        <v>0.13264981202533244</v>
      </c>
      <c r="K39" s="2"/>
      <c r="L39" s="2">
        <f t="shared" si="2"/>
        <v>-4922.0700000000006</v>
      </c>
      <c r="M39" s="2"/>
      <c r="N39" s="6">
        <f t="shared" si="3"/>
        <v>-0.93623354909640111</v>
      </c>
      <c r="O39" s="14"/>
      <c r="P39" s="2">
        <f>SUM(OSRRefP22_3x_0)</f>
        <v>4349.37</v>
      </c>
      <c r="Q39" s="2"/>
      <c r="R39" s="6">
        <f t="shared" si="4"/>
        <v>9.9334703665638919E-3</v>
      </c>
      <c r="S39" s="2"/>
      <c r="T39" s="2">
        <f>SUM(OSRRefT22_3x_0)</f>
        <v>6061.25</v>
      </c>
      <c r="U39" s="2"/>
      <c r="V39" s="6">
        <f t="shared" si="5"/>
        <v>1.1719671452823549E-2</v>
      </c>
      <c r="W39" s="2"/>
      <c r="X39" s="2">
        <f t="shared" si="6"/>
        <v>-1711.88</v>
      </c>
      <c r="Y39" s="2"/>
      <c r="Z39" s="6">
        <f t="shared" si="7"/>
        <v>-0.28243019179212209</v>
      </c>
    </row>
    <row r="40" spans="1:26" s="69" customFormat="1" ht="15" hidden="1" customHeight="1" outlineLevel="2" x14ac:dyDescent="0.25">
      <c r="A40" s="25"/>
      <c r="B40" s="12" t="str">
        <f>CONCATENATE("          ","6381"," - ","BANK/CREDIT CARD FEES")</f>
        <v xml:space="preserve">          6381 - BANK/CREDIT CARD FEES</v>
      </c>
      <c r="C40" s="12"/>
      <c r="D40" s="7">
        <v>335.24</v>
      </c>
      <c r="E40" s="3"/>
      <c r="F40" s="8">
        <f t="shared" si="0"/>
        <v>8.7352128823805306E-3</v>
      </c>
      <c r="G40" s="3"/>
      <c r="H40" s="7">
        <v>5257.31</v>
      </c>
      <c r="I40" s="3"/>
      <c r="J40" s="8">
        <f t="shared" si="1"/>
        <v>0.13264981202533244</v>
      </c>
      <c r="K40" s="3"/>
      <c r="L40" s="7">
        <f t="shared" si="2"/>
        <v>-4922.0700000000006</v>
      </c>
      <c r="M40" s="3"/>
      <c r="N40" s="8">
        <f t="shared" si="3"/>
        <v>-0.93623354909640111</v>
      </c>
      <c r="O40" s="12"/>
      <c r="P40" s="7">
        <v>4349.37</v>
      </c>
      <c r="Q40" s="3"/>
      <c r="R40" s="8">
        <f t="shared" si="4"/>
        <v>9.9334703665638919E-3</v>
      </c>
      <c r="S40" s="3"/>
      <c r="T40" s="7">
        <v>6061.25</v>
      </c>
      <c r="U40" s="3"/>
      <c r="V40" s="8">
        <f t="shared" si="5"/>
        <v>1.1719671452823549E-2</v>
      </c>
      <c r="W40" s="3"/>
      <c r="X40" s="7">
        <f t="shared" si="6"/>
        <v>-1711.88</v>
      </c>
      <c r="Y40" s="3"/>
      <c r="Z40" s="8">
        <f t="shared" si="7"/>
        <v>-0.28243019179212209</v>
      </c>
    </row>
    <row r="41" spans="1:26" s="68" customFormat="1" ht="15" customHeight="1" outlineLevel="1" collapsed="1" x14ac:dyDescent="0.25">
      <c r="A41" s="26"/>
      <c r="B41" s="14" t="str">
        <f>CONCATENATE("     ","Freight out/Postage                               ")</f>
        <v xml:space="preserve">     Freight out/Postage                               </v>
      </c>
      <c r="C41" s="14"/>
      <c r="D41" s="2">
        <f>SUM(OSRRefD22_4x_0)</f>
        <v>0</v>
      </c>
      <c r="E41" s="2"/>
      <c r="F41" s="6">
        <f t="shared" si="0"/>
        <v>0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SUM(OSRRefP22_4x_0)</f>
        <v>0.62</v>
      </c>
      <c r="Q41" s="2"/>
      <c r="R41" s="6">
        <f t="shared" si="4"/>
        <v>1.4160100491035743E-6</v>
      </c>
      <c r="S41" s="2"/>
      <c r="T41" s="2">
        <f>SUM(OSRRefT22_4x_0)</f>
        <v>2.12</v>
      </c>
      <c r="U41" s="2"/>
      <c r="V41" s="6">
        <f t="shared" si="5"/>
        <v>4.0991055442336024E-6</v>
      </c>
      <c r="W41" s="2"/>
      <c r="X41" s="2">
        <f t="shared" si="6"/>
        <v>-1.5</v>
      </c>
      <c r="Y41" s="2"/>
      <c r="Z41" s="6">
        <f t="shared" si="7"/>
        <v>-0.70754716981132071</v>
      </c>
    </row>
    <row r="42" spans="1:26" s="69" customFormat="1" ht="15" hidden="1" customHeight="1" outlineLevel="2" x14ac:dyDescent="0.25">
      <c r="A42" s="25"/>
      <c r="B42" s="12" t="str">
        <f>CONCATENATE("          ","6305"," - ","FREIGHT OUT")</f>
        <v xml:space="preserve">          6305 - FREIGHT OUT</v>
      </c>
      <c r="C42" s="12"/>
      <c r="D42" s="7"/>
      <c r="E42" s="3"/>
      <c r="F42" s="8">
        <f t="shared" si="0"/>
        <v>0</v>
      </c>
      <c r="G42" s="3"/>
      <c r="H42" s="7"/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>
        <v>0.62</v>
      </c>
      <c r="Q42" s="3"/>
      <c r="R42" s="8">
        <f t="shared" si="4"/>
        <v>1.4160100491035743E-6</v>
      </c>
      <c r="S42" s="3"/>
      <c r="T42" s="7">
        <v>1.62</v>
      </c>
      <c r="U42" s="3"/>
      <c r="V42" s="8">
        <f t="shared" si="5"/>
        <v>3.1323353687068096E-6</v>
      </c>
      <c r="W42" s="3"/>
      <c r="X42" s="7">
        <f t="shared" si="6"/>
        <v>-1</v>
      </c>
      <c r="Y42" s="3"/>
      <c r="Z42" s="8">
        <f t="shared" si="7"/>
        <v>-0.61728395061728392</v>
      </c>
    </row>
    <row r="43" spans="1:26" s="69" customFormat="1" ht="15" hidden="1" customHeight="1" outlineLevel="2" x14ac:dyDescent="0.25">
      <c r="A43" s="25"/>
      <c r="B43" s="12" t="str">
        <f>CONCATENATE("          ","6307"," - ","POSTAGE")</f>
        <v xml:space="preserve">          6307 - POSTAGE</v>
      </c>
      <c r="C43" s="12"/>
      <c r="D43" s="7"/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0.5</v>
      </c>
      <c r="U43" s="3"/>
      <c r="V43" s="8">
        <f t="shared" si="5"/>
        <v>9.66770175526793E-7</v>
      </c>
      <c r="W43" s="3"/>
      <c r="X43" s="7">
        <f t="shared" si="6"/>
        <v>-0.5</v>
      </c>
      <c r="Y43" s="3"/>
      <c r="Z43" s="8">
        <f t="shared" si="7"/>
        <v>-1</v>
      </c>
    </row>
    <row r="44" spans="1:26" s="68" customFormat="1" ht="15" customHeight="1" outlineLevel="1" collapsed="1" x14ac:dyDescent="0.25">
      <c r="A44" s="26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SUM(OSRRefD22_5x_0)</f>
        <v>39.43</v>
      </c>
      <c r="E44" s="2"/>
      <c r="F44" s="6">
        <f t="shared" si="0"/>
        <v>1.0274115378602325E-3</v>
      </c>
      <c r="G44" s="2"/>
      <c r="H44" s="2">
        <f>SUM(OSRRefH22_5x_0)</f>
        <v>29.01</v>
      </c>
      <c r="I44" s="2"/>
      <c r="J44" s="6">
        <f t="shared" si="1"/>
        <v>7.3196578608735146E-4</v>
      </c>
      <c r="K44" s="2"/>
      <c r="L44" s="2">
        <f t="shared" si="2"/>
        <v>10.419999999999998</v>
      </c>
      <c r="M44" s="2"/>
      <c r="N44" s="6">
        <f t="shared" si="3"/>
        <v>0.35918648741813158</v>
      </c>
      <c r="O44" s="14"/>
      <c r="P44" s="2">
        <f>SUM(OSRRefP22_5x_0)</f>
        <v>433.73</v>
      </c>
      <c r="Q44" s="2"/>
      <c r="R44" s="6">
        <f t="shared" si="4"/>
        <v>9.9059038483498914E-4</v>
      </c>
      <c r="S44" s="2"/>
      <c r="T44" s="2">
        <f>SUM(OSRRefT22_5x_0)</f>
        <v>319.11</v>
      </c>
      <c r="U44" s="2"/>
      <c r="V44" s="6">
        <f t="shared" si="5"/>
        <v>6.1701206142470994E-4</v>
      </c>
      <c r="W44" s="2"/>
      <c r="X44" s="2">
        <f t="shared" si="6"/>
        <v>114.62</v>
      </c>
      <c r="Y44" s="2"/>
      <c r="Z44" s="6">
        <f t="shared" si="7"/>
        <v>0.35918648741813169</v>
      </c>
    </row>
    <row r="45" spans="1:26" s="69" customFormat="1" ht="15" hidden="1" customHeight="1" outlineLevel="2" x14ac:dyDescent="0.25">
      <c r="A45" s="25"/>
      <c r="B45" s="12" t="str">
        <f>CONCATENATE("          ","6314"," - ","LIABILITY INSURANCE")</f>
        <v xml:space="preserve">          6314 - LIABILITY INSURANCE</v>
      </c>
      <c r="C45" s="12"/>
      <c r="D45" s="7">
        <v>39.43</v>
      </c>
      <c r="E45" s="3"/>
      <c r="F45" s="8">
        <f t="shared" si="0"/>
        <v>1.0274115378602325E-3</v>
      </c>
      <c r="G45" s="3"/>
      <c r="H45" s="7">
        <v>29.01</v>
      </c>
      <c r="I45" s="3"/>
      <c r="J45" s="8">
        <f t="shared" si="1"/>
        <v>7.3196578608735146E-4</v>
      </c>
      <c r="K45" s="3"/>
      <c r="L45" s="7">
        <f t="shared" si="2"/>
        <v>10.419999999999998</v>
      </c>
      <c r="M45" s="3"/>
      <c r="N45" s="8">
        <f t="shared" si="3"/>
        <v>0.35918648741813158</v>
      </c>
      <c r="O45" s="12"/>
      <c r="P45" s="7">
        <v>433.73</v>
      </c>
      <c r="Q45" s="3"/>
      <c r="R45" s="8">
        <f t="shared" si="4"/>
        <v>9.9059038483498914E-4</v>
      </c>
      <c r="S45" s="3"/>
      <c r="T45" s="7">
        <v>319.11</v>
      </c>
      <c r="U45" s="3"/>
      <c r="V45" s="8">
        <f t="shared" si="5"/>
        <v>6.1701206142470994E-4</v>
      </c>
      <c r="W45" s="3"/>
      <c r="X45" s="7">
        <f t="shared" si="6"/>
        <v>114.62</v>
      </c>
      <c r="Y45" s="3"/>
      <c r="Z45" s="8">
        <f t="shared" si="7"/>
        <v>0.35918648741813169</v>
      </c>
    </row>
    <row r="46" spans="1:26" s="68" customFormat="1" ht="15" customHeight="1" outlineLevel="1" collapsed="1" x14ac:dyDescent="0.25">
      <c r="A46" s="26"/>
      <c r="B46" s="14" t="str">
        <f>CONCATENATE("     ","Rent                                              ")</f>
        <v xml:space="preserve">     Rent                                              </v>
      </c>
      <c r="C46" s="14"/>
      <c r="D46" s="2">
        <f>SUM(OSRRefD22_6x_0)</f>
        <v>800</v>
      </c>
      <c r="E46" s="2"/>
      <c r="F46" s="6">
        <f t="shared" si="0"/>
        <v>2.0845275939340248E-2</v>
      </c>
      <c r="G46" s="2"/>
      <c r="H46" s="2">
        <f>SUM(OSRRefH22_6x_0)</f>
        <v>800</v>
      </c>
      <c r="I46" s="2"/>
      <c r="J46" s="6">
        <f t="shared" si="1"/>
        <v>2.018519920268463E-2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8800</v>
      </c>
      <c r="Q46" s="2"/>
      <c r="R46" s="6">
        <f t="shared" si="4"/>
        <v>2.009820714856686E-2</v>
      </c>
      <c r="S46" s="2"/>
      <c r="T46" s="2">
        <f>SUM(OSRRefT22_6x_0)</f>
        <v>8800</v>
      </c>
      <c r="U46" s="2"/>
      <c r="V46" s="6">
        <f t="shared" si="5"/>
        <v>1.7015155089271559E-2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25">
      <c r="A47" s="25"/>
      <c r="B47" s="12" t="str">
        <f>CONCATENATE("          ","6273"," - ","RENT")</f>
        <v xml:space="preserve">          6273 - RENT</v>
      </c>
      <c r="C47" s="12"/>
      <c r="D47" s="7">
        <v>800</v>
      </c>
      <c r="E47" s="3"/>
      <c r="F47" s="8">
        <f t="shared" si="0"/>
        <v>2.0845275939340248E-2</v>
      </c>
      <c r="G47" s="3"/>
      <c r="H47" s="7">
        <v>800</v>
      </c>
      <c r="I47" s="3"/>
      <c r="J47" s="8">
        <f t="shared" si="1"/>
        <v>2.018519920268463E-2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>
        <v>8800</v>
      </c>
      <c r="Q47" s="3"/>
      <c r="R47" s="8">
        <f t="shared" si="4"/>
        <v>2.009820714856686E-2</v>
      </c>
      <c r="S47" s="3"/>
      <c r="T47" s="7">
        <v>8800</v>
      </c>
      <c r="U47" s="3"/>
      <c r="V47" s="8">
        <f t="shared" si="5"/>
        <v>1.7015155089271559E-2</v>
      </c>
      <c r="W47" s="3"/>
      <c r="X47" s="7">
        <f t="shared" si="6"/>
        <v>0</v>
      </c>
      <c r="Y47" s="3"/>
      <c r="Z47" s="8">
        <f t="shared" si="7"/>
        <v>0</v>
      </c>
    </row>
    <row r="48" spans="1:26" s="68" customFormat="1" ht="15" customHeight="1" outlineLevel="1" collapsed="1" x14ac:dyDescent="0.25">
      <c r="A48" s="26"/>
      <c r="B48" s="14" t="str">
        <f>CONCATENATE("     ","Repair and Maintenance                            ")</f>
        <v xml:space="preserve">     Repair and Maintenance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5436</v>
      </c>
      <c r="I48" s="2"/>
      <c r="J48" s="6">
        <f t="shared" si="1"/>
        <v>0.13715842858224206</v>
      </c>
      <c r="K48" s="2"/>
      <c r="L48" s="2">
        <f t="shared" si="2"/>
        <v>-5436</v>
      </c>
      <c r="M48" s="2"/>
      <c r="N48" s="6">
        <f t="shared" si="3"/>
        <v>-1</v>
      </c>
      <c r="O48" s="14"/>
      <c r="P48" s="2">
        <f>SUM(OSRRefP22_7x_0)</f>
        <v>131139.97</v>
      </c>
      <c r="Q48" s="2"/>
      <c r="R48" s="6">
        <f t="shared" si="4"/>
        <v>0.2995088957405504</v>
      </c>
      <c r="S48" s="2"/>
      <c r="T48" s="2">
        <f>SUM(OSRRefT22_7x_0)</f>
        <v>154932.13</v>
      </c>
      <c r="U48" s="2"/>
      <c r="V48" s="6">
        <f t="shared" si="5"/>
        <v>0.29956752502967987</v>
      </c>
      <c r="W48" s="2"/>
      <c r="X48" s="2">
        <f t="shared" si="6"/>
        <v>-23792.160000000003</v>
      </c>
      <c r="Y48" s="2"/>
      <c r="Z48" s="6">
        <f t="shared" si="7"/>
        <v>-0.15356504812784799</v>
      </c>
    </row>
    <row r="49" spans="1:26" s="69" customFormat="1" ht="15" hidden="1" customHeight="1" outlineLevel="2" x14ac:dyDescent="0.25">
      <c r="A49" s="25"/>
      <c r="B49" s="12" t="str">
        <f>CONCATENATE("          ","6371"," - ","COMPUTER SOFTWARE MAINTENANCE")</f>
        <v xml:space="preserve">          6371 - COMPUTER SOFTWARE MAINTENANCE</v>
      </c>
      <c r="C49" s="12"/>
      <c r="D49" s="7"/>
      <c r="E49" s="3"/>
      <c r="F49" s="8">
        <f t="shared" si="0"/>
        <v>0</v>
      </c>
      <c r="G49" s="3"/>
      <c r="H49" s="7">
        <v>5436</v>
      </c>
      <c r="I49" s="3"/>
      <c r="J49" s="8">
        <f t="shared" si="1"/>
        <v>0.13715842858224206</v>
      </c>
      <c r="K49" s="3"/>
      <c r="L49" s="7">
        <f t="shared" si="2"/>
        <v>-5436</v>
      </c>
      <c r="M49" s="3"/>
      <c r="N49" s="8">
        <f t="shared" si="3"/>
        <v>-1</v>
      </c>
      <c r="O49" s="12"/>
      <c r="P49" s="7">
        <v>7583.7</v>
      </c>
      <c r="Q49" s="3"/>
      <c r="R49" s="8">
        <f t="shared" si="4"/>
        <v>1.7320315176430283E-2</v>
      </c>
      <c r="S49" s="3"/>
      <c r="T49" s="7">
        <v>5436</v>
      </c>
      <c r="U49" s="3"/>
      <c r="V49" s="8">
        <f t="shared" si="5"/>
        <v>1.0510725348327294E-2</v>
      </c>
      <c r="W49" s="3"/>
      <c r="X49" s="7">
        <f t="shared" si="6"/>
        <v>2147.6999999999998</v>
      </c>
      <c r="Y49" s="3"/>
      <c r="Z49" s="8">
        <f t="shared" si="7"/>
        <v>0.39508830022075053</v>
      </c>
    </row>
    <row r="50" spans="1:26" s="69" customFormat="1" ht="15" hidden="1" customHeight="1" outlineLevel="2" x14ac:dyDescent="0.25">
      <c r="A50" s="25"/>
      <c r="B50" s="12" t="str">
        <f>CONCATENATE("          ","6372"," - ","COMPUTER HARDWARE MAINTENANCE")</f>
        <v xml:space="preserve">          6372 - COMPUTER HARDWARE MAINTENANCE</v>
      </c>
      <c r="C50" s="12"/>
      <c r="D50" s="7"/>
      <c r="E50" s="3"/>
      <c r="F50" s="8">
        <f t="shared" si="0"/>
        <v>0</v>
      </c>
      <c r="G50" s="3"/>
      <c r="H50" s="7"/>
      <c r="I50" s="3"/>
      <c r="J50" s="8">
        <f t="shared" si="1"/>
        <v>0</v>
      </c>
      <c r="K50" s="3"/>
      <c r="L50" s="7">
        <f t="shared" si="2"/>
        <v>0</v>
      </c>
      <c r="M50" s="3"/>
      <c r="N50" s="8">
        <f t="shared" si="3"/>
        <v>0</v>
      </c>
      <c r="O50" s="12"/>
      <c r="P50" s="7">
        <v>1555.65</v>
      </c>
      <c r="Q50" s="3"/>
      <c r="R50" s="8">
        <f t="shared" si="4"/>
        <v>3.5529290853031862E-3</v>
      </c>
      <c r="S50" s="3"/>
      <c r="T50" s="7"/>
      <c r="U50" s="3"/>
      <c r="V50" s="8">
        <f t="shared" si="5"/>
        <v>0</v>
      </c>
      <c r="W50" s="3"/>
      <c r="X50" s="7">
        <f t="shared" si="6"/>
        <v>1555.65</v>
      </c>
      <c r="Y50" s="3"/>
      <c r="Z50" s="8">
        <f t="shared" si="7"/>
        <v>0</v>
      </c>
    </row>
    <row r="51" spans="1:26" s="69" customFormat="1" ht="15" hidden="1" customHeight="1" outlineLevel="2" x14ac:dyDescent="0.25">
      <c r="A51" s="25"/>
      <c r="B51" s="12" t="str">
        <f>CONCATENATE("          ","6373"," - ","MAINTENANCE CONTRACTS")</f>
        <v xml:space="preserve">          6373 - MAINTENANCE CONTRACTS</v>
      </c>
      <c r="C51" s="12"/>
      <c r="D51" s="7"/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122000.62</v>
      </c>
      <c r="Q51" s="3"/>
      <c r="R51" s="8">
        <f t="shared" si="4"/>
        <v>0.27863565147881691</v>
      </c>
      <c r="S51" s="3"/>
      <c r="T51" s="7">
        <v>142934.13</v>
      </c>
      <c r="U51" s="3"/>
      <c r="V51" s="8">
        <f t="shared" si="5"/>
        <v>0.27636890789773894</v>
      </c>
      <c r="W51" s="3"/>
      <c r="X51" s="7">
        <f t="shared" si="6"/>
        <v>-20933.510000000009</v>
      </c>
      <c r="Y51" s="3"/>
      <c r="Z51" s="8">
        <f t="shared" si="7"/>
        <v>-0.14645564358911345</v>
      </c>
    </row>
    <row r="52" spans="1:26" s="69" customFormat="1" ht="15" hidden="1" customHeight="1" outlineLevel="2" x14ac:dyDescent="0.25">
      <c r="A52" s="25"/>
      <c r="B52" s="12" t="str">
        <f>CONCATENATE("          ","6375"," - ","OUTSIDE REPAIRS &amp; MAINTENANCE")</f>
        <v xml:space="preserve">          6375 - OUTSIDE REPAIRS &amp; MAINTENANCE</v>
      </c>
      <c r="C52" s="12"/>
      <c r="D52" s="7"/>
      <c r="E52" s="3"/>
      <c r="F52" s="8">
        <f t="shared" si="0"/>
        <v>0</v>
      </c>
      <c r="G52" s="3"/>
      <c r="H52" s="7"/>
      <c r="I52" s="3"/>
      <c r="J52" s="8">
        <f t="shared" si="1"/>
        <v>0</v>
      </c>
      <c r="K52" s="3"/>
      <c r="L52" s="7">
        <f t="shared" si="2"/>
        <v>0</v>
      </c>
      <c r="M52" s="3"/>
      <c r="N52" s="8">
        <f t="shared" si="3"/>
        <v>0</v>
      </c>
      <c r="O52" s="12"/>
      <c r="P52" s="7"/>
      <c r="Q52" s="3"/>
      <c r="R52" s="8">
        <f t="shared" si="4"/>
        <v>0</v>
      </c>
      <c r="S52" s="3"/>
      <c r="T52" s="7">
        <v>6562</v>
      </c>
      <c r="U52" s="3"/>
      <c r="V52" s="8">
        <f t="shared" si="5"/>
        <v>1.2687891783613632E-2</v>
      </c>
      <c r="W52" s="3"/>
      <c r="X52" s="7">
        <f t="shared" si="6"/>
        <v>-6562</v>
      </c>
      <c r="Y52" s="3"/>
      <c r="Z52" s="8">
        <f t="shared" si="7"/>
        <v>-1</v>
      </c>
    </row>
    <row r="53" spans="1:26" s="68" customFormat="1" ht="15" customHeight="1" outlineLevel="1" collapsed="1" x14ac:dyDescent="0.25">
      <c r="A53" s="26"/>
      <c r="B53" s="14" t="str">
        <f>CONCATENATE("     ","Subscriptions &amp; Dues                              ")</f>
        <v xml:space="preserve">     Subscriptions &amp; Dues                              </v>
      </c>
      <c r="C53" s="14"/>
      <c r="D53" s="2">
        <f>SUM(OSRRefD22_8x_0)</f>
        <v>935</v>
      </c>
      <c r="E53" s="2"/>
      <c r="F53" s="6">
        <f t="shared" si="0"/>
        <v>2.4362916254103913E-2</v>
      </c>
      <c r="G53" s="2"/>
      <c r="H53" s="2">
        <f>SUM(OSRRefH22_8x_0)</f>
        <v>0</v>
      </c>
      <c r="I53" s="2"/>
      <c r="J53" s="6">
        <f t="shared" si="1"/>
        <v>0</v>
      </c>
      <c r="K53" s="2"/>
      <c r="L53" s="2">
        <f t="shared" si="2"/>
        <v>935</v>
      </c>
      <c r="M53" s="2"/>
      <c r="N53" s="6">
        <f t="shared" si="3"/>
        <v>0</v>
      </c>
      <c r="O53" s="14"/>
      <c r="P53" s="2">
        <f>SUM(OSRRefP22_8x_0)</f>
        <v>935</v>
      </c>
      <c r="Q53" s="2"/>
      <c r="R53" s="6">
        <f t="shared" si="4"/>
        <v>2.135434509535229E-3</v>
      </c>
      <c r="S53" s="2"/>
      <c r="T53" s="2">
        <f>SUM(OSRRefT22_8x_0)</f>
        <v>0</v>
      </c>
      <c r="U53" s="2"/>
      <c r="V53" s="6">
        <f t="shared" si="5"/>
        <v>0</v>
      </c>
      <c r="W53" s="2"/>
      <c r="X53" s="2">
        <f t="shared" si="6"/>
        <v>935</v>
      </c>
      <c r="Y53" s="2"/>
      <c r="Z53" s="6">
        <f t="shared" si="7"/>
        <v>0</v>
      </c>
    </row>
    <row r="54" spans="1:26" s="69" customFormat="1" ht="15" hidden="1" customHeight="1" outlineLevel="2" x14ac:dyDescent="0.25">
      <c r="A54" s="25"/>
      <c r="B54" s="12" t="str">
        <f>CONCATENATE("          ","6258"," - ","MEMBERSHIP DUES")</f>
        <v xml:space="preserve">          6258 - MEMBERSHIP DUES</v>
      </c>
      <c r="C54" s="12"/>
      <c r="D54" s="7">
        <v>935</v>
      </c>
      <c r="E54" s="3"/>
      <c r="F54" s="8">
        <f t="shared" si="0"/>
        <v>2.4362916254103913E-2</v>
      </c>
      <c r="G54" s="3"/>
      <c r="H54" s="7"/>
      <c r="I54" s="3"/>
      <c r="J54" s="8">
        <f t="shared" si="1"/>
        <v>0</v>
      </c>
      <c r="K54" s="3"/>
      <c r="L54" s="7">
        <f t="shared" si="2"/>
        <v>935</v>
      </c>
      <c r="M54" s="3"/>
      <c r="N54" s="8">
        <f t="shared" si="3"/>
        <v>0</v>
      </c>
      <c r="O54" s="12"/>
      <c r="P54" s="7">
        <v>935</v>
      </c>
      <c r="Q54" s="3"/>
      <c r="R54" s="8">
        <f t="shared" si="4"/>
        <v>2.135434509535229E-3</v>
      </c>
      <c r="S54" s="3"/>
      <c r="T54" s="7"/>
      <c r="U54" s="3"/>
      <c r="V54" s="8">
        <f t="shared" si="5"/>
        <v>0</v>
      </c>
      <c r="W54" s="3"/>
      <c r="X54" s="7">
        <f t="shared" si="6"/>
        <v>935</v>
      </c>
      <c r="Y54" s="3"/>
      <c r="Z54" s="8">
        <f t="shared" si="7"/>
        <v>0</v>
      </c>
    </row>
    <row r="55" spans="1:26" s="68" customFormat="1" ht="15" customHeight="1" outlineLevel="1" collapsed="1" x14ac:dyDescent="0.25">
      <c r="A55" s="26"/>
      <c r="B55" s="14" t="str">
        <f>CONCATENATE("     ","Supplies                                          ")</f>
        <v xml:space="preserve">     Supplies                                          </v>
      </c>
      <c r="C55" s="14"/>
      <c r="D55" s="2">
        <f>SUM(OSRRefD22_9x_0)</f>
        <v>16751.38</v>
      </c>
      <c r="E55" s="2"/>
      <c r="F55" s="6">
        <f t="shared" si="0"/>
        <v>0.43648392308093181</v>
      </c>
      <c r="G55" s="2"/>
      <c r="H55" s="2">
        <f>SUM(OSRRefH22_9x_0)</f>
        <v>4277.7</v>
      </c>
      <c r="I55" s="2"/>
      <c r="J55" s="6">
        <f t="shared" si="1"/>
        <v>0.10793278328665505</v>
      </c>
      <c r="K55" s="2"/>
      <c r="L55" s="2">
        <f t="shared" si="2"/>
        <v>12473.68</v>
      </c>
      <c r="M55" s="2"/>
      <c r="N55" s="6">
        <f t="shared" si="3"/>
        <v>2.9159782125908786</v>
      </c>
      <c r="O55" s="14"/>
      <c r="P55" s="2">
        <f>SUM(OSRRefP22_9x_0)</f>
        <v>46366.909999999996</v>
      </c>
      <c r="Q55" s="2"/>
      <c r="R55" s="6">
        <f t="shared" si="4"/>
        <v>0.10589679113851774</v>
      </c>
      <c r="S55" s="2"/>
      <c r="T55" s="2">
        <f>SUM(OSRRefT22_9x_0)</f>
        <v>48839.59</v>
      </c>
      <c r="U55" s="2"/>
      <c r="V55" s="6">
        <f t="shared" si="5"/>
        <v>9.4433317993913204E-2</v>
      </c>
      <c r="W55" s="2"/>
      <c r="X55" s="2">
        <f t="shared" si="6"/>
        <v>-2472.6800000000003</v>
      </c>
      <c r="Y55" s="2"/>
      <c r="Z55" s="6">
        <f t="shared" si="7"/>
        <v>-5.0628598643027115E-2</v>
      </c>
    </row>
    <row r="56" spans="1:26" s="69" customFormat="1" ht="15" hidden="1" customHeight="1" outlineLevel="2" x14ac:dyDescent="0.25">
      <c r="A56" s="25"/>
      <c r="B56" s="12" t="str">
        <f>CONCATENATE("          ","6241"," - ","OFFICE EXPENSE")</f>
        <v xml:space="preserve">          6241 - OFFICE EXPENSE</v>
      </c>
      <c r="C56" s="12"/>
      <c r="D56" s="7">
        <v>16751.38</v>
      </c>
      <c r="E56" s="3"/>
      <c r="F56" s="8">
        <f t="shared" si="0"/>
        <v>0.43648392308093181</v>
      </c>
      <c r="G56" s="3"/>
      <c r="H56" s="7">
        <v>4277.7</v>
      </c>
      <c r="I56" s="3"/>
      <c r="J56" s="8">
        <f t="shared" si="1"/>
        <v>0.10793278328665505</v>
      </c>
      <c r="K56" s="3"/>
      <c r="L56" s="7">
        <f t="shared" si="2"/>
        <v>12473.68</v>
      </c>
      <c r="M56" s="3"/>
      <c r="N56" s="8">
        <f t="shared" si="3"/>
        <v>2.9159782125908786</v>
      </c>
      <c r="O56" s="12"/>
      <c r="P56" s="7">
        <v>46341.56</v>
      </c>
      <c r="Q56" s="3"/>
      <c r="R56" s="8">
        <f t="shared" si="4"/>
        <v>0.10583889459860682</v>
      </c>
      <c r="S56" s="3"/>
      <c r="T56" s="7">
        <v>48839.59</v>
      </c>
      <c r="U56" s="3"/>
      <c r="V56" s="8">
        <f t="shared" si="5"/>
        <v>9.4433317993913204E-2</v>
      </c>
      <c r="W56" s="3"/>
      <c r="X56" s="7">
        <f t="shared" si="6"/>
        <v>-2498.0299999999988</v>
      </c>
      <c r="Y56" s="3"/>
      <c r="Z56" s="8">
        <f t="shared" si="7"/>
        <v>-5.1147644769335678E-2</v>
      </c>
    </row>
    <row r="57" spans="1:26" s="69" customFormat="1" ht="15" hidden="1" customHeight="1" outlineLevel="2" x14ac:dyDescent="0.25">
      <c r="A57" s="25"/>
      <c r="B57" s="12" t="str">
        <f>CONCATENATE("          ","6247"," - ","STORE SUPPLIES")</f>
        <v xml:space="preserve">          6247 - STORE SUPPLIES</v>
      </c>
      <c r="C57" s="12"/>
      <c r="D57" s="7"/>
      <c r="E57" s="3"/>
      <c r="F57" s="8">
        <f t="shared" si="0"/>
        <v>0</v>
      </c>
      <c r="G57" s="3"/>
      <c r="H57" s="7"/>
      <c r="I57" s="3"/>
      <c r="J57" s="8">
        <f t="shared" si="1"/>
        <v>0</v>
      </c>
      <c r="K57" s="3"/>
      <c r="L57" s="7">
        <f t="shared" si="2"/>
        <v>0</v>
      </c>
      <c r="M57" s="3"/>
      <c r="N57" s="8">
        <f t="shared" si="3"/>
        <v>0</v>
      </c>
      <c r="O57" s="12"/>
      <c r="P57" s="7">
        <v>25.35</v>
      </c>
      <c r="Q57" s="3"/>
      <c r="R57" s="8">
        <f t="shared" si="4"/>
        <v>5.78965399109284E-5</v>
      </c>
      <c r="S57" s="3"/>
      <c r="T57" s="7"/>
      <c r="U57" s="3"/>
      <c r="V57" s="8">
        <f t="shared" si="5"/>
        <v>0</v>
      </c>
      <c r="W57" s="3"/>
      <c r="X57" s="7">
        <f t="shared" si="6"/>
        <v>25.35</v>
      </c>
      <c r="Y57" s="3"/>
      <c r="Z57" s="8">
        <f t="shared" si="7"/>
        <v>0</v>
      </c>
    </row>
    <row r="58" spans="1:26" s="68" customFormat="1" ht="15" customHeight="1" outlineLevel="1" collapsed="1" x14ac:dyDescent="0.25">
      <c r="A58" s="26"/>
      <c r="B58" s="14" t="str">
        <f>CONCATENATE("     ","Telephone/Data Lines                              ")</f>
        <v xml:space="preserve">     Telephone/Data Lines                              </v>
      </c>
      <c r="C58" s="14"/>
      <c r="D58" s="2">
        <f>SUM(OSRRefD22_10x_0)</f>
        <v>40.799999999999997</v>
      </c>
      <c r="E58" s="2"/>
      <c r="F58" s="6">
        <f t="shared" si="0"/>
        <v>1.0631090729063526E-3</v>
      </c>
      <c r="G58" s="2"/>
      <c r="H58" s="2">
        <f>SUM(OSRRefH22_10x_0)</f>
        <v>87.8</v>
      </c>
      <c r="I58" s="2"/>
      <c r="J58" s="6">
        <f t="shared" si="1"/>
        <v>2.2153256124946381E-3</v>
      </c>
      <c r="K58" s="2"/>
      <c r="L58" s="2">
        <f t="shared" si="2"/>
        <v>-47</v>
      </c>
      <c r="M58" s="2"/>
      <c r="N58" s="6">
        <f t="shared" si="3"/>
        <v>-0.53530751708428248</v>
      </c>
      <c r="O58" s="14"/>
      <c r="P58" s="2">
        <f>SUM(OSRRefP22_10x_0)</f>
        <v>464.49</v>
      </c>
      <c r="Q58" s="2"/>
      <c r="R58" s="6">
        <f t="shared" si="4"/>
        <v>1.0608427543679342E-3</v>
      </c>
      <c r="S58" s="2"/>
      <c r="T58" s="2">
        <f>SUM(OSRRefT22_10x_0)</f>
        <v>1886.73</v>
      </c>
      <c r="U58" s="2"/>
      <c r="V58" s="6">
        <f t="shared" si="5"/>
        <v>3.6480685865433325E-3</v>
      </c>
      <c r="W58" s="2"/>
      <c r="X58" s="2">
        <f t="shared" si="6"/>
        <v>-1422.24</v>
      </c>
      <c r="Y58" s="2"/>
      <c r="Z58" s="6">
        <f t="shared" si="7"/>
        <v>-0.75381215118220413</v>
      </c>
    </row>
    <row r="59" spans="1:26" s="69" customFormat="1" ht="15" hidden="1" customHeight="1" outlineLevel="2" x14ac:dyDescent="0.25">
      <c r="A59" s="25"/>
      <c r="B59" s="12" t="str">
        <f>CONCATENATE("          ","6309"," - ","TELEPHONE")</f>
        <v xml:space="preserve">          6309 - TELEPHONE</v>
      </c>
      <c r="C59" s="12"/>
      <c r="D59" s="7">
        <v>40.799999999999997</v>
      </c>
      <c r="E59" s="3"/>
      <c r="F59" s="8">
        <f t="shared" si="0"/>
        <v>1.0631090729063526E-3</v>
      </c>
      <c r="G59" s="3"/>
      <c r="H59" s="7">
        <v>87.8</v>
      </c>
      <c r="I59" s="3"/>
      <c r="J59" s="8">
        <f t="shared" si="1"/>
        <v>2.2153256124946381E-3</v>
      </c>
      <c r="K59" s="3"/>
      <c r="L59" s="7">
        <f t="shared" si="2"/>
        <v>-47</v>
      </c>
      <c r="M59" s="3"/>
      <c r="N59" s="8">
        <f t="shared" si="3"/>
        <v>-0.53530751708428248</v>
      </c>
      <c r="O59" s="12"/>
      <c r="P59" s="7">
        <v>464.49</v>
      </c>
      <c r="Q59" s="3"/>
      <c r="R59" s="8">
        <f t="shared" si="4"/>
        <v>1.0608427543679342E-3</v>
      </c>
      <c r="S59" s="3"/>
      <c r="T59" s="7">
        <v>1886.73</v>
      </c>
      <c r="U59" s="3"/>
      <c r="V59" s="8">
        <f t="shared" si="5"/>
        <v>3.6480685865433325E-3</v>
      </c>
      <c r="W59" s="3"/>
      <c r="X59" s="7">
        <f t="shared" si="6"/>
        <v>-1422.24</v>
      </c>
      <c r="Y59" s="3"/>
      <c r="Z59" s="8">
        <f t="shared" si="7"/>
        <v>-0.75381215118220413</v>
      </c>
    </row>
    <row r="60" spans="1:26" s="68" customFormat="1" ht="15" customHeight="1" outlineLevel="1" collapsed="1" x14ac:dyDescent="0.25">
      <c r="A60" s="26"/>
      <c r="B60" s="14" t="str">
        <f>CONCATENATE("     ","Training                                          ")</f>
        <v xml:space="preserve">     Training                                          </v>
      </c>
      <c r="C60" s="14"/>
      <c r="D60" s="2">
        <f>SUM(OSRRefD22_11x_0)</f>
        <v>0</v>
      </c>
      <c r="E60" s="2"/>
      <c r="F60" s="6">
        <f t="shared" si="0"/>
        <v>0</v>
      </c>
      <c r="G60" s="2"/>
      <c r="H60" s="2">
        <f>SUM(OSRRefH22_11x_0)</f>
        <v>0</v>
      </c>
      <c r="I60" s="2"/>
      <c r="J60" s="6">
        <f t="shared" si="1"/>
        <v>0</v>
      </c>
      <c r="K60" s="2"/>
      <c r="L60" s="2">
        <f t="shared" si="2"/>
        <v>0</v>
      </c>
      <c r="M60" s="2"/>
      <c r="N60" s="6">
        <f t="shared" si="3"/>
        <v>0</v>
      </c>
      <c r="O60" s="14"/>
      <c r="P60" s="2">
        <f>SUM(OSRRefP22_11x_0)</f>
        <v>2000</v>
      </c>
      <c r="Q60" s="2"/>
      <c r="R60" s="6">
        <f t="shared" si="4"/>
        <v>4.5677743519470142E-3</v>
      </c>
      <c r="S60" s="2"/>
      <c r="T60" s="2">
        <f>SUM(OSRRefT22_11x_0)</f>
        <v>0</v>
      </c>
      <c r="U60" s="2"/>
      <c r="V60" s="6">
        <f t="shared" si="5"/>
        <v>0</v>
      </c>
      <c r="W60" s="2"/>
      <c r="X60" s="2">
        <f t="shared" si="6"/>
        <v>2000</v>
      </c>
      <c r="Y60" s="2"/>
      <c r="Z60" s="6">
        <f t="shared" si="7"/>
        <v>0</v>
      </c>
    </row>
    <row r="61" spans="1:26" s="69" customFormat="1" ht="15" hidden="1" customHeight="1" outlineLevel="2" x14ac:dyDescent="0.25">
      <c r="A61" s="25"/>
      <c r="B61" s="12" t="str">
        <f>CONCATENATE("          ","6376"," - ","TRAINING")</f>
        <v xml:space="preserve">          6376 - TRAINING</v>
      </c>
      <c r="C61" s="12"/>
      <c r="D61" s="7"/>
      <c r="E61" s="3"/>
      <c r="F61" s="8">
        <f t="shared" si="0"/>
        <v>0</v>
      </c>
      <c r="G61" s="3"/>
      <c r="H61" s="7"/>
      <c r="I61" s="3"/>
      <c r="J61" s="8">
        <f t="shared" si="1"/>
        <v>0</v>
      </c>
      <c r="K61" s="3"/>
      <c r="L61" s="7">
        <f t="shared" si="2"/>
        <v>0</v>
      </c>
      <c r="M61" s="3"/>
      <c r="N61" s="8">
        <f t="shared" si="3"/>
        <v>0</v>
      </c>
      <c r="O61" s="12"/>
      <c r="P61" s="7">
        <v>2000</v>
      </c>
      <c r="Q61" s="3"/>
      <c r="R61" s="8">
        <f t="shared" si="4"/>
        <v>4.5677743519470142E-3</v>
      </c>
      <c r="S61" s="3"/>
      <c r="T61" s="7"/>
      <c r="U61" s="3"/>
      <c r="V61" s="8">
        <f t="shared" si="5"/>
        <v>0</v>
      </c>
      <c r="W61" s="3"/>
      <c r="X61" s="7">
        <f t="shared" si="6"/>
        <v>2000</v>
      </c>
      <c r="Y61" s="3"/>
      <c r="Z61" s="8">
        <f t="shared" si="7"/>
        <v>0</v>
      </c>
    </row>
    <row r="62" spans="1:26" s="64" customFormat="1" ht="15" customHeight="1" x14ac:dyDescent="0.25">
      <c r="A62" s="36"/>
      <c r="B62" s="36"/>
      <c r="C62" s="36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36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62" customFormat="1" ht="15" customHeight="1" collapsed="1" x14ac:dyDescent="0.25">
      <c r="A63" s="11"/>
      <c r="B63" s="28" t="s">
        <v>290</v>
      </c>
      <c r="C63" s="11"/>
      <c r="D63" s="5">
        <f>SUM(OSRRefD25x_0)</f>
        <v>1351.76</v>
      </c>
      <c r="E63" s="5"/>
      <c r="F63" s="13">
        <f>IF(D$12=0,0,D63/D$12)</f>
        <v>3.5222262754703214E-2</v>
      </c>
      <c r="G63" s="5"/>
      <c r="H63" s="5">
        <f>SUM(OSRRefH25x_0)</f>
        <v>338.23</v>
      </c>
      <c r="I63" s="5"/>
      <c r="J63" s="13">
        <f>IF(H$12=0,0,H63/H$12)</f>
        <v>8.5340499079050291E-3</v>
      </c>
      <c r="K63" s="5"/>
      <c r="L63" s="5">
        <f>+D63-H63</f>
        <v>1013.53</v>
      </c>
      <c r="M63" s="5"/>
      <c r="N63" s="13">
        <f>IF(H63=0,0,L63/H63)</f>
        <v>2.9965703811016171</v>
      </c>
      <c r="O63" s="11"/>
      <c r="P63" s="5">
        <f>SUM(OSRRefP25x_0)</f>
        <v>12568.64</v>
      </c>
      <c r="Q63" s="5"/>
      <c r="R63" s="13">
        <f>IF(P$12=0,0,P63/P$12)</f>
        <v>2.8705355715427656E-2</v>
      </c>
      <c r="S63" s="5"/>
      <c r="T63" s="5">
        <f>SUM(OSRRefT25x_0)</f>
        <v>2498.35</v>
      </c>
      <c r="U63" s="5"/>
      <c r="V63" s="13">
        <f>IF(T$12=0,0,T63/T$12)</f>
        <v>4.8306605360547272E-3</v>
      </c>
      <c r="W63" s="5"/>
      <c r="X63" s="5">
        <f>+P63-T63</f>
        <v>10070.289999999999</v>
      </c>
      <c r="Y63" s="5"/>
      <c r="Z63" s="13">
        <f>IF(T63=0,0,X63/T63)</f>
        <v>4.0307763123661617</v>
      </c>
    </row>
    <row r="64" spans="1:26" s="69" customFormat="1" ht="15" hidden="1" customHeight="1" outlineLevel="1" x14ac:dyDescent="0.25">
      <c r="A64" s="42"/>
      <c r="B64" s="12" t="str">
        <f>CONCATENATE("          ","9150"," - ","MISC. INCOME")</f>
        <v xml:space="preserve">          9150 - MISC. INCOME</v>
      </c>
      <c r="C64" s="12"/>
      <c r="D64" s="3">
        <f>--1351.76</f>
        <v>1351.76</v>
      </c>
      <c r="E64" s="3"/>
      <c r="F64" s="20">
        <f>IF(D$12=0,0,D64/D$12)</f>
        <v>3.5222262754703214E-2</v>
      </c>
      <c r="G64" s="3"/>
      <c r="H64" s="3">
        <f>--338.23</f>
        <v>338.23</v>
      </c>
      <c r="I64" s="3"/>
      <c r="J64" s="20">
        <f>IF(H$12=0,0,H64/H$12)</f>
        <v>8.5340499079050291E-3</v>
      </c>
      <c r="K64" s="3"/>
      <c r="L64" s="3">
        <f>+D64-H64</f>
        <v>1013.53</v>
      </c>
      <c r="M64" s="3"/>
      <c r="N64" s="20">
        <f>IF(H64=0,0,L64/H64)</f>
        <v>2.9965703811016171</v>
      </c>
      <c r="O64" s="12"/>
      <c r="P64" s="3">
        <f>--12568.64</f>
        <v>12568.64</v>
      </c>
      <c r="Q64" s="3"/>
      <c r="R64" s="20">
        <f>IF(P$12=0,0,P64/P$12)</f>
        <v>2.8705355715427656E-2</v>
      </c>
      <c r="S64" s="3"/>
      <c r="T64" s="3">
        <f>--2498.35</f>
        <v>2498.35</v>
      </c>
      <c r="U64" s="3"/>
      <c r="V64" s="20">
        <f>IF(T$12=0,0,T64/T$12)</f>
        <v>4.8306605360547272E-3</v>
      </c>
      <c r="W64" s="3"/>
      <c r="X64" s="3">
        <f>+P64-T64</f>
        <v>10070.289999999999</v>
      </c>
      <c r="Y64" s="3"/>
      <c r="Z64" s="20">
        <f>IF(T64=0,0,X64/T64)</f>
        <v>4.0307763123661617</v>
      </c>
    </row>
    <row r="65" spans="1:26" ht="15" customHeight="1" x14ac:dyDescent="0.25">
      <c r="A65" s="10"/>
      <c r="B65" s="11"/>
      <c r="C65" s="11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O65" s="11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25">
      <c r="A66" s="11"/>
      <c r="B66" s="27" t="s">
        <v>291</v>
      </c>
      <c r="C66" s="27"/>
      <c r="D66" s="22">
        <f>+D17-D19+D63</f>
        <v>569.33999999998719</v>
      </c>
      <c r="E66" s="15"/>
      <c r="F66" s="23">
        <f>IF(D$12=0,0,D66/D$12)</f>
        <v>1.4835061754129636E-2</v>
      </c>
      <c r="G66" s="15"/>
      <c r="H66" s="22">
        <f>+H17-H19+H63</f>
        <v>8426.4399999999987</v>
      </c>
      <c r="I66" s="15"/>
      <c r="J66" s="23">
        <f>IF(H$12=0,0,H66/H$12)</f>
        <v>0.21261171246183733</v>
      </c>
      <c r="K66" s="16"/>
      <c r="L66" s="22">
        <f>+D66-H66</f>
        <v>-7857.1000000000113</v>
      </c>
      <c r="M66" s="16"/>
      <c r="N66" s="23">
        <f>IF(H66=0,0,L66/H66)</f>
        <v>-0.93243410028434459</v>
      </c>
      <c r="O66" s="28"/>
      <c r="P66" s="22">
        <f>+P17-P19+P63</f>
        <v>45253.61000000003</v>
      </c>
      <c r="Q66" s="15"/>
      <c r="R66" s="23">
        <f>IF(P$12=0,0,P66/P$12)</f>
        <v>0.10335413954550653</v>
      </c>
      <c r="S66" s="15"/>
      <c r="T66" s="22">
        <f>+T17-T19+T63</f>
        <v>99906.260000000038</v>
      </c>
      <c r="U66" s="15"/>
      <c r="V66" s="23">
        <f>IF(T$12=0,0,T66/T$12)</f>
        <v>0.19317278503285093</v>
      </c>
      <c r="W66" s="16"/>
      <c r="X66" s="22">
        <f>+P66-T66</f>
        <v>-54652.650000000009</v>
      </c>
      <c r="Y66" s="16"/>
      <c r="Z66" s="23">
        <f>IF(T66=0,0,X66/T66)</f>
        <v>-0.54703929463479051</v>
      </c>
    </row>
    <row r="67" spans="1:26" ht="15" customHeight="1" x14ac:dyDescent="0.25">
      <c r="A67" s="10"/>
      <c r="B67" s="11"/>
      <c r="C67" s="10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25">
      <c r="A68" s="48"/>
      <c r="B68" s="11" t="s">
        <v>292</v>
      </c>
      <c r="C68" s="11"/>
      <c r="D68" s="5">
        <v>3971.7</v>
      </c>
      <c r="E68" s="5"/>
      <c r="F68" s="13">
        <f>IF(D$12=0,0,D68/D$12)</f>
        <v>0.10348897806034707</v>
      </c>
      <c r="G68" s="5"/>
      <c r="H68" s="5">
        <v>10611.71</v>
      </c>
      <c r="I68" s="5"/>
      <c r="J68" s="13">
        <f>IF(H$12=0,0,H68/H$12)</f>
        <v>0.26774935028890062</v>
      </c>
      <c r="K68" s="5"/>
      <c r="L68" s="5">
        <f>+D68-H68</f>
        <v>-6640.0099999999993</v>
      </c>
      <c r="M68" s="5"/>
      <c r="N68" s="13">
        <f>IF(H68=0,0,L68/H68)</f>
        <v>-0.62572478893599615</v>
      </c>
      <c r="O68" s="11"/>
      <c r="P68" s="5">
        <v>49225.440000000002</v>
      </c>
      <c r="Q68" s="5"/>
      <c r="R68" s="13">
        <f>IF(P$12=0,0,P68/P$12)</f>
        <v>0.11242535114765331</v>
      </c>
      <c r="S68" s="5"/>
      <c r="T68" s="5">
        <v>110517.74</v>
      </c>
      <c r="U68" s="5"/>
      <c r="V68" s="13">
        <f>IF(T$12=0,0,T68/T$12)</f>
        <v>0.21369050979724896</v>
      </c>
      <c r="W68" s="5"/>
      <c r="X68" s="5">
        <f>+P68-T68</f>
        <v>-61292.3</v>
      </c>
      <c r="Y68" s="5"/>
      <c r="Z68" s="13">
        <f>IF(T68=0,0,X68/T68)</f>
        <v>-0.55459241204172294</v>
      </c>
    </row>
    <row r="69" spans="1:26" ht="15" customHeight="1" x14ac:dyDescent="0.25">
      <c r="A69" s="10"/>
      <c r="B69" s="11"/>
      <c r="C69" s="11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O69" s="11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s="62" customFormat="1" ht="15" customHeight="1" x14ac:dyDescent="0.25">
      <c r="A70" s="11"/>
      <c r="B70" s="27" t="s">
        <v>293</v>
      </c>
      <c r="C70" s="27"/>
      <c r="D70" s="35">
        <f>+D66-D68</f>
        <v>-3402.3600000000124</v>
      </c>
      <c r="E70" s="15"/>
      <c r="F70" s="30">
        <f>IF(D$12=0,0,D70/D$12)</f>
        <v>-8.8653916306217426E-2</v>
      </c>
      <c r="G70" s="15"/>
      <c r="H70" s="35">
        <f>+H66-H68</f>
        <v>-2185.2700000000004</v>
      </c>
      <c r="I70" s="15"/>
      <c r="J70" s="30">
        <f>IF(H$12=0,0,H70/H$12)</f>
        <v>-5.5137637827063317E-2</v>
      </c>
      <c r="K70" s="16"/>
      <c r="L70" s="35">
        <f>D70-H70</f>
        <v>-1217.090000000012</v>
      </c>
      <c r="M70" s="16"/>
      <c r="N70" s="30">
        <f>IF(H70=0,0,L70/H70)</f>
        <v>0.55695177254985051</v>
      </c>
      <c r="O70" s="28"/>
      <c r="P70" s="35">
        <f>+P66-P68</f>
        <v>-3971.8299999999726</v>
      </c>
      <c r="Q70" s="15"/>
      <c r="R70" s="30">
        <f>IF(P$12=0,0,P70/P$12)</f>
        <v>-9.0712116021467917E-3</v>
      </c>
      <c r="S70" s="15"/>
      <c r="T70" s="35">
        <f>+T66-T68</f>
        <v>-10611.479999999967</v>
      </c>
      <c r="U70" s="15"/>
      <c r="V70" s="30">
        <f>IF(T$12=0,0,T70/T$12)</f>
        <v>-2.0517724764398042E-2</v>
      </c>
      <c r="W70" s="16"/>
      <c r="X70" s="35">
        <f>P70-T70</f>
        <v>6639.6499999999942</v>
      </c>
      <c r="Y70" s="16"/>
      <c r="Z70" s="30">
        <f>IF(T70=0,0,X70/T70)</f>
        <v>-0.62570442577284369</v>
      </c>
    </row>
    <row r="71" spans="1:26" ht="15" customHeight="1" x14ac:dyDescent="0.25">
      <c r="A71" s="10"/>
      <c r="B71" s="10"/>
      <c r="C71" s="10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ht="15" customHeight="1" x14ac:dyDescent="0.25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s="62" customFormat="1" ht="15" customHeight="1" x14ac:dyDescent="0.25">
      <c r="A73" s="11"/>
      <c r="B73" s="27" t="s">
        <v>296</v>
      </c>
      <c r="C73" s="27"/>
      <c r="D73" s="32">
        <f>SUM(D70:D72)</f>
        <v>-3402.3600000000124</v>
      </c>
      <c r="E73" s="15"/>
      <c r="F73" s="34">
        <f>IF(D$12=0,0,D73/D$12)</f>
        <v>-8.8653916306217426E-2</v>
      </c>
      <c r="G73" s="15"/>
      <c r="H73" s="32">
        <f>SUM(H70:H72)</f>
        <v>-2185.2700000000004</v>
      </c>
      <c r="I73" s="15"/>
      <c r="J73" s="34">
        <f>IF(H$12=0,0,H73/H$12)</f>
        <v>-5.5137637827063317E-2</v>
      </c>
      <c r="K73" s="16"/>
      <c r="L73" s="32">
        <f>+D73-H73</f>
        <v>-1217.090000000012</v>
      </c>
      <c r="M73" s="16"/>
      <c r="N73" s="34">
        <f>IF(H73=0,0,L73/H73)</f>
        <v>0.55695177254985051</v>
      </c>
      <c r="O73" s="28"/>
      <c r="P73" s="32">
        <f>SUM(P70:P72)</f>
        <v>-3971.8299999999726</v>
      </c>
      <c r="Q73" s="15"/>
      <c r="R73" s="34">
        <f>IF(P$12=0,0,P73/P$12)</f>
        <v>-9.0712116021467917E-3</v>
      </c>
      <c r="S73" s="15"/>
      <c r="T73" s="32">
        <f>SUM(T70:T72)</f>
        <v>-10611.479999999967</v>
      </c>
      <c r="U73" s="15"/>
      <c r="V73" s="34">
        <f>IF(T$12=0,0,T73/T$12)</f>
        <v>-2.0517724764398042E-2</v>
      </c>
      <c r="W73" s="16"/>
      <c r="X73" s="32">
        <f>+P73-T73</f>
        <v>6639.6499999999942</v>
      </c>
      <c r="Y73" s="16"/>
      <c r="Z73" s="34">
        <f>IF(T73=0,0,X73/T73)</f>
        <v>-0.62570442577284369</v>
      </c>
    </row>
    <row r="74" spans="1:26" ht="15" customHeight="1" x14ac:dyDescent="0.25">
      <c r="A74" s="10"/>
      <c r="C74" s="10"/>
      <c r="D74" s="18"/>
      <c r="E74" s="18"/>
      <c r="G74" s="18"/>
      <c r="H74" s="18"/>
      <c r="I74" s="18"/>
      <c r="J74" s="41"/>
      <c r="K74" s="18"/>
      <c r="L74" s="18"/>
      <c r="M74" s="18"/>
      <c r="P74" s="18"/>
      <c r="Q74" s="18"/>
      <c r="R74" s="41"/>
      <c r="S74" s="18"/>
      <c r="T74" s="18"/>
      <c r="U74" s="18"/>
      <c r="V74" s="41"/>
      <c r="W74" s="18"/>
      <c r="X74" s="18"/>
    </row>
    <row r="75" spans="1:26" ht="15" customHeight="1" x14ac:dyDescent="0.25">
      <c r="A75" s="10"/>
      <c r="B75" s="50">
        <v>44727.879644560184</v>
      </c>
      <c r="D75" s="18"/>
      <c r="E75" s="18"/>
      <c r="G75" s="18"/>
      <c r="H75" s="18"/>
      <c r="I75" s="18"/>
      <c r="J75" s="41"/>
      <c r="K75" s="18"/>
      <c r="L75" s="18"/>
      <c r="M75" s="18"/>
      <c r="P75" s="18"/>
      <c r="Q75" s="18"/>
      <c r="R75" s="41"/>
      <c r="S75" s="18"/>
      <c r="T75" s="18"/>
      <c r="U75" s="18"/>
      <c r="V75" s="41"/>
      <c r="W75" s="18"/>
      <c r="X75" s="18"/>
    </row>
    <row r="76" spans="1:26" ht="15" customHeight="1" x14ac:dyDescent="0.25">
      <c r="A76" s="10"/>
      <c r="B76" s="53" t="s">
        <v>297</v>
      </c>
      <c r="D76" s="18"/>
      <c r="E76" s="18"/>
      <c r="G76" s="18"/>
      <c r="H76" s="18"/>
      <c r="I76" s="18"/>
      <c r="J76" s="41"/>
      <c r="K76" s="18"/>
      <c r="L76" s="18"/>
      <c r="M76" s="18"/>
      <c r="P76" s="18"/>
      <c r="Q76" s="18"/>
      <c r="R76" s="41"/>
      <c r="S76" s="18"/>
      <c r="T76" s="18"/>
      <c r="U76" s="18"/>
      <c r="V76" s="41"/>
      <c r="W76" s="18"/>
      <c r="X76" s="18"/>
    </row>
    <row r="77" spans="1:26" ht="15" customHeight="1" x14ac:dyDescent="0.25">
      <c r="A77" s="10"/>
      <c r="B77" s="55"/>
      <c r="D77" s="18"/>
      <c r="E77" s="18"/>
      <c r="G77" s="18"/>
      <c r="H77" s="18"/>
      <c r="I77" s="18"/>
      <c r="J77" s="41"/>
      <c r="K77" s="18"/>
      <c r="L77" s="18"/>
      <c r="M77" s="18"/>
      <c r="P77" s="18"/>
      <c r="Q77" s="18"/>
      <c r="R77" s="41"/>
      <c r="S77" s="18"/>
      <c r="T77" s="18"/>
      <c r="U77" s="18"/>
      <c r="V77" s="41"/>
      <c r="W77" s="18"/>
      <c r="X77" s="18"/>
    </row>
    <row r="78" spans="1:26" ht="15" customHeight="1" x14ac:dyDescent="0.25">
      <c r="D78" s="18"/>
      <c r="E78" s="18"/>
      <c r="G78" s="18"/>
      <c r="H78" s="18"/>
      <c r="I78" s="18"/>
      <c r="J78" s="41"/>
      <c r="K78" s="18"/>
      <c r="L78" s="18"/>
      <c r="M78" s="18"/>
      <c r="P78" s="18"/>
      <c r="Q78" s="18"/>
      <c r="R78" s="41"/>
      <c r="S78" s="18"/>
      <c r="T78" s="18"/>
      <c r="U78" s="18"/>
      <c r="V78" s="41"/>
      <c r="W78" s="18"/>
      <c r="X7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59997-1B24-F1A6-10BD-59B9A1DDA0EE}">
  <sheetPr>
    <tabColor rgb="FF92D050"/>
    <outlinePr summaryBelow="0" summaryRight="0"/>
  </sheetPr>
  <dimension ref="A2:Z7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str">
        <f>CONCATENATE("Period ",RIGHT(202211,2),", ",2022)</f>
        <v>Period 11, 2022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59">
        <v>44709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str">
        <f>CONCATENATE("Department ","501"," - ","ID Card Services")</f>
        <v>Department 501 - ID Card Services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>
        <f>SUM(OSRRefD13x_0)</f>
        <v>38378</v>
      </c>
      <c r="E12" s="5"/>
      <c r="F12" s="13"/>
      <c r="G12" s="5"/>
      <c r="H12" s="5">
        <f>SUM(OSRRefH13x_0)</f>
        <v>39633</v>
      </c>
      <c r="I12" s="5"/>
      <c r="J12" s="13"/>
      <c r="K12" s="5"/>
      <c r="L12" s="5">
        <f>+D12-H12</f>
        <v>-1255</v>
      </c>
      <c r="M12" s="5"/>
      <c r="N12" s="13">
        <f>IF(H12=0,0,L12/H12)</f>
        <v>-3.1665531249211516E-2</v>
      </c>
      <c r="O12" s="11"/>
      <c r="P12" s="5">
        <f>SUM(OSRRefP13x_0)</f>
        <v>437850</v>
      </c>
      <c r="Q12" s="5"/>
      <c r="R12" s="13"/>
      <c r="S12" s="5"/>
      <c r="T12" s="5">
        <f>SUM(OSRRefT13x_0)</f>
        <v>517186</v>
      </c>
      <c r="U12" s="5"/>
      <c r="V12" s="13"/>
      <c r="W12" s="5"/>
      <c r="X12" s="5">
        <f>+P12-T12</f>
        <v>-79336</v>
      </c>
      <c r="Y12" s="5"/>
      <c r="Z12" s="13">
        <f>IF(T12=0,0,X12/T12)</f>
        <v>-0.15339935729118731</v>
      </c>
    </row>
    <row r="13" spans="1:26" s="69" customFormat="1" ht="15" hidden="1" customHeight="1" outlineLevel="1" x14ac:dyDescent="0.25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--38378</f>
        <v>38378</v>
      </c>
      <c r="E13" s="3"/>
      <c r="F13" s="20"/>
      <c r="G13" s="3"/>
      <c r="H13" s="3">
        <f>--39633</f>
        <v>39633</v>
      </c>
      <c r="I13" s="3"/>
      <c r="J13" s="20"/>
      <c r="K13" s="3"/>
      <c r="L13" s="3">
        <f>+D13-H13</f>
        <v>-1255</v>
      </c>
      <c r="M13" s="3"/>
      <c r="N13" s="20">
        <f>IF(H13=0,0,L13/H13)</f>
        <v>-3.1665531249211516E-2</v>
      </c>
      <c r="O13" s="12"/>
      <c r="P13" s="3">
        <f>--437850</f>
        <v>437850</v>
      </c>
      <c r="Q13" s="3"/>
      <c r="R13" s="20"/>
      <c r="S13" s="3"/>
      <c r="T13" s="3">
        <f>--517186</f>
        <v>517186</v>
      </c>
      <c r="U13" s="3"/>
      <c r="V13" s="20"/>
      <c r="W13" s="3"/>
      <c r="X13" s="3">
        <f>+P13-T13</f>
        <v>-79336</v>
      </c>
      <c r="Y13" s="3"/>
      <c r="Z13" s="20">
        <f>IF(T13=0,0,X13/T13)</f>
        <v>-0.15339935729118731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25">
      <c r="A15" s="11"/>
      <c r="B15" s="28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25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25">
      <c r="A17" s="11"/>
      <c r="B17" s="27" t="s">
        <v>288</v>
      </c>
      <c r="C17" s="27"/>
      <c r="D17" s="22">
        <f>D12-D15</f>
        <v>38378</v>
      </c>
      <c r="E17" s="15"/>
      <c r="F17" s="23">
        <f>IF(D$12=0,0,D17/D$12)</f>
        <v>1</v>
      </c>
      <c r="G17" s="15"/>
      <c r="H17" s="22">
        <f>H12-H15</f>
        <v>39633</v>
      </c>
      <c r="I17" s="15"/>
      <c r="J17" s="23">
        <f>IF(H$12=0,0,H17/H$12)</f>
        <v>1</v>
      </c>
      <c r="K17" s="16"/>
      <c r="L17" s="22">
        <f>+D17-H17</f>
        <v>-1255</v>
      </c>
      <c r="M17" s="16"/>
      <c r="N17" s="23">
        <f>IF(H17=0,0,L17/H17)</f>
        <v>-3.1665531249211516E-2</v>
      </c>
      <c r="O17" s="28"/>
      <c r="P17" s="22">
        <f>P12-P15</f>
        <v>437850</v>
      </c>
      <c r="Q17" s="15"/>
      <c r="R17" s="23">
        <f>IF(P$12=0,0,P17/P$12)</f>
        <v>1</v>
      </c>
      <c r="S17" s="15"/>
      <c r="T17" s="22">
        <f>T12-T15</f>
        <v>517186</v>
      </c>
      <c r="U17" s="15"/>
      <c r="V17" s="23">
        <f>IF(T$12=0,0,T17/T$12)</f>
        <v>1</v>
      </c>
      <c r="W17" s="16"/>
      <c r="X17" s="22">
        <f>+P17-T17</f>
        <v>-79336</v>
      </c>
      <c r="Y17" s="16"/>
      <c r="Z17" s="23">
        <f>IF(T17=0,0,X17/T17)</f>
        <v>-0.15339935729118731</v>
      </c>
    </row>
    <row r="18" spans="1:26" ht="15" customHeight="1" x14ac:dyDescent="0.25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25">
      <c r="A19" s="11"/>
      <c r="B19" s="28" t="s">
        <v>289</v>
      </c>
      <c r="C19" s="11"/>
      <c r="D19" s="21" cm="1">
        <f t="array" ref="D19">SUM(OSRRefD22x_0)</f>
        <v>39160.420000000013</v>
      </c>
      <c r="E19" s="21"/>
      <c r="F19" s="31">
        <f t="shared" ref="F19:F61" si="0">IF(D$12=0,0,D19/D$12)</f>
        <v>1.0203872010005737</v>
      </c>
      <c r="G19" s="21"/>
      <c r="H19" s="21" cm="1">
        <f t="array" ref="H19">SUM(OSRRefH22x_0)</f>
        <v>31544.79</v>
      </c>
      <c r="I19" s="21"/>
      <c r="J19" s="31">
        <f t="shared" ref="J19:J61" si="1">IF(H$12=0,0,H19/H$12)</f>
        <v>0.79592233744606766</v>
      </c>
      <c r="K19" s="5"/>
      <c r="L19" s="21">
        <f t="shared" ref="L19:L61" si="2">+D19-H19</f>
        <v>7615.6300000000119</v>
      </c>
      <c r="M19" s="5"/>
      <c r="N19" s="31">
        <f t="shared" ref="N19:N61" si="3">IF(H19=0,0,L19/H19)</f>
        <v>0.24142275158591994</v>
      </c>
      <c r="O19" s="11"/>
      <c r="P19" s="21" cm="1">
        <f t="array" ref="P19">SUM(OSRRefP22x_0)</f>
        <v>405165.02999999997</v>
      </c>
      <c r="Q19" s="21"/>
      <c r="R19" s="31">
        <f t="shared" ref="R19:R61" si="4">IF(P$12=0,0,P19/P$12)</f>
        <v>0.92535121616992111</v>
      </c>
      <c r="S19" s="21"/>
      <c r="T19" s="21" cm="1">
        <f t="array" ref="T19">SUM(OSRRefT22x_0)</f>
        <v>419778.08999999997</v>
      </c>
      <c r="U19" s="21"/>
      <c r="V19" s="31">
        <f t="shared" ref="V19:V61" si="5">IF(T$12=0,0,T19/T$12)</f>
        <v>0.81165787550320379</v>
      </c>
      <c r="W19" s="5"/>
      <c r="X19" s="21">
        <f t="shared" ref="X19:X61" si="6">+P19-T19</f>
        <v>-14613.059999999998</v>
      </c>
      <c r="Y19" s="5"/>
      <c r="Z19" s="31">
        <f t="shared" ref="Z19:Z61" si="7">IF(T19=0,0,X19/T19)</f>
        <v>-3.4811392848064081E-2</v>
      </c>
    </row>
    <row r="20" spans="1:26" s="68" customFormat="1" ht="15" customHeight="1" outlineLevel="1" collapsed="1" x14ac:dyDescent="0.25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4496.6900000000005</v>
      </c>
      <c r="E20" s="2"/>
      <c r="F20" s="6">
        <f t="shared" si="0"/>
        <v>0.11716842982958989</v>
      </c>
      <c r="G20" s="2"/>
      <c r="H20" s="2">
        <f>SUM(OSRRefH22_0x_0)</f>
        <v>3822.8999999999996</v>
      </c>
      <c r="I20" s="2"/>
      <c r="J20" s="6">
        <f t="shared" si="1"/>
        <v>9.6457497539928841E-2</v>
      </c>
      <c r="K20" s="2"/>
      <c r="L20" s="2">
        <f t="shared" si="2"/>
        <v>673.79000000000087</v>
      </c>
      <c r="M20" s="2"/>
      <c r="N20" s="6">
        <f t="shared" si="3"/>
        <v>0.17625101362839754</v>
      </c>
      <c r="O20" s="14"/>
      <c r="P20" s="2">
        <f>SUM(OSRRefP22_0x_0)</f>
        <v>46839.65</v>
      </c>
      <c r="Q20" s="2"/>
      <c r="R20" s="6">
        <f t="shared" si="4"/>
        <v>0.10697647596208748</v>
      </c>
      <c r="S20" s="2"/>
      <c r="T20" s="2">
        <f>SUM(OSRRefT22_0x_0)</f>
        <v>46768.679999999993</v>
      </c>
      <c r="U20" s="2"/>
      <c r="V20" s="6">
        <f t="shared" si="5"/>
        <v>9.0429129945512818E-2</v>
      </c>
      <c r="W20" s="2"/>
      <c r="X20" s="2">
        <f t="shared" si="6"/>
        <v>70.97000000000844</v>
      </c>
      <c r="Y20" s="2"/>
      <c r="Z20" s="6">
        <f t="shared" si="7"/>
        <v>1.5174685280835048E-3</v>
      </c>
    </row>
    <row r="21" spans="1:26" s="69" customFormat="1" ht="15" hidden="1" customHeight="1" outlineLevel="2" x14ac:dyDescent="0.25">
      <c r="A21" s="25"/>
      <c r="B21" s="12" t="str">
        <f>CONCATENATE("          ","6111"," - ","F.I.C.A.")</f>
        <v xml:space="preserve">          6111 - F.I.C.A.</v>
      </c>
      <c r="C21" s="12"/>
      <c r="D21" s="7">
        <v>1114.3</v>
      </c>
      <c r="E21" s="3"/>
      <c r="F21" s="8">
        <f t="shared" si="0"/>
        <v>2.9034863724008545E-2</v>
      </c>
      <c r="G21" s="3"/>
      <c r="H21" s="7">
        <v>899.48</v>
      </c>
      <c r="I21" s="3"/>
      <c r="J21" s="8">
        <f t="shared" si="1"/>
        <v>2.2695228723538467E-2</v>
      </c>
      <c r="K21" s="3"/>
      <c r="L21" s="7">
        <f t="shared" si="2"/>
        <v>214.81999999999994</v>
      </c>
      <c r="M21" s="3"/>
      <c r="N21" s="8">
        <f t="shared" si="3"/>
        <v>0.23882687775158973</v>
      </c>
      <c r="O21" s="12"/>
      <c r="P21" s="7">
        <v>11636.86</v>
      </c>
      <c r="Q21" s="3"/>
      <c r="R21" s="8">
        <f t="shared" si="4"/>
        <v>2.6577275322599066E-2</v>
      </c>
      <c r="S21" s="3"/>
      <c r="T21" s="7">
        <v>11246.77</v>
      </c>
      <c r="U21" s="3"/>
      <c r="V21" s="8">
        <f t="shared" si="5"/>
        <v>2.1746083614018943E-2</v>
      </c>
      <c r="W21" s="3"/>
      <c r="X21" s="7">
        <f t="shared" si="6"/>
        <v>390.09000000000015</v>
      </c>
      <c r="Y21" s="3"/>
      <c r="Z21" s="8">
        <f t="shared" si="7"/>
        <v>3.4684625007891164E-2</v>
      </c>
    </row>
    <row r="22" spans="1:26" s="69" customFormat="1" ht="15" hidden="1" customHeight="1" outlineLevel="2" x14ac:dyDescent="0.25">
      <c r="A22" s="25"/>
      <c r="B22" s="12" t="str">
        <f>CONCATENATE("          ","6112"," - ","COMPENSATION INSURANCE")</f>
        <v xml:space="preserve">          6112 - COMPENSATION INSURANCE</v>
      </c>
      <c r="C22" s="12"/>
      <c r="D22" s="7">
        <v>331.06</v>
      </c>
      <c r="E22" s="3"/>
      <c r="F22" s="8">
        <f t="shared" si="0"/>
        <v>8.6262963155974773E-3</v>
      </c>
      <c r="G22" s="3"/>
      <c r="H22" s="7">
        <v>111.42</v>
      </c>
      <c r="I22" s="3"/>
      <c r="J22" s="8">
        <f t="shared" si="1"/>
        <v>2.8112936189539019E-3</v>
      </c>
      <c r="K22" s="3"/>
      <c r="L22" s="7">
        <f t="shared" si="2"/>
        <v>219.64</v>
      </c>
      <c r="M22" s="3"/>
      <c r="N22" s="8">
        <f t="shared" si="3"/>
        <v>1.9712798420391311</v>
      </c>
      <c r="O22" s="12"/>
      <c r="P22" s="7">
        <v>2029.38</v>
      </c>
      <c r="Q22" s="3"/>
      <c r="R22" s="8">
        <f t="shared" si="4"/>
        <v>4.634874957177116E-3</v>
      </c>
      <c r="S22" s="3"/>
      <c r="T22" s="7">
        <v>893.64</v>
      </c>
      <c r="U22" s="3"/>
      <c r="V22" s="8">
        <f t="shared" si="5"/>
        <v>1.7278889993155267E-3</v>
      </c>
      <c r="W22" s="3"/>
      <c r="X22" s="7">
        <f t="shared" si="6"/>
        <v>1135.7400000000002</v>
      </c>
      <c r="Y22" s="3"/>
      <c r="Z22" s="8">
        <f t="shared" si="7"/>
        <v>1.2709144621995436</v>
      </c>
    </row>
    <row r="23" spans="1:26" s="69" customFormat="1" ht="15" hidden="1" customHeight="1" outlineLevel="2" x14ac:dyDescent="0.25">
      <c r="A23" s="25"/>
      <c r="B23" s="12" t="str">
        <f>CONCATENATE("          ","6113"," - ","GROUP INSURANCE")</f>
        <v xml:space="preserve">          6113 - GROUP INSURANCE</v>
      </c>
      <c r="C23" s="12"/>
      <c r="D23" s="7">
        <v>991.22</v>
      </c>
      <c r="E23" s="3"/>
      <c r="F23" s="8">
        <f t="shared" si="0"/>
        <v>2.582781802074105E-2</v>
      </c>
      <c r="G23" s="3"/>
      <c r="H23" s="7">
        <v>1207.95</v>
      </c>
      <c r="I23" s="3"/>
      <c r="J23" s="8">
        <f t="shared" si="1"/>
        <v>3.0478389221103627E-2</v>
      </c>
      <c r="K23" s="3"/>
      <c r="L23" s="7">
        <f t="shared" si="2"/>
        <v>-216.73000000000002</v>
      </c>
      <c r="M23" s="3"/>
      <c r="N23" s="8">
        <f t="shared" si="3"/>
        <v>-0.17941967796680328</v>
      </c>
      <c r="O23" s="12"/>
      <c r="P23" s="7">
        <v>11176.12</v>
      </c>
      <c r="Q23" s="3"/>
      <c r="R23" s="8">
        <f t="shared" si="4"/>
        <v>2.5524997145141032E-2</v>
      </c>
      <c r="S23" s="3"/>
      <c r="T23" s="7">
        <v>13442.75</v>
      </c>
      <c r="U23" s="3"/>
      <c r="V23" s="8">
        <f t="shared" si="5"/>
        <v>2.5992099554125594E-2</v>
      </c>
      <c r="W23" s="3"/>
      <c r="X23" s="7">
        <f t="shared" si="6"/>
        <v>-2266.6299999999992</v>
      </c>
      <c r="Y23" s="3"/>
      <c r="Z23" s="8">
        <f t="shared" si="7"/>
        <v>-0.16861356493277038</v>
      </c>
    </row>
    <row r="24" spans="1:26" s="69" customFormat="1" ht="15" hidden="1" customHeight="1" outlineLevel="2" x14ac:dyDescent="0.25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7">
        <v>65.77</v>
      </c>
      <c r="E24" s="3"/>
      <c r="F24" s="8">
        <f t="shared" si="0"/>
        <v>1.71374224816301E-3</v>
      </c>
      <c r="G24" s="3"/>
      <c r="H24" s="7">
        <v>46.16</v>
      </c>
      <c r="I24" s="3"/>
      <c r="J24" s="8">
        <f t="shared" si="1"/>
        <v>1.1646859939949033E-3</v>
      </c>
      <c r="K24" s="3"/>
      <c r="L24" s="7">
        <f t="shared" si="2"/>
        <v>19.61</v>
      </c>
      <c r="M24" s="3"/>
      <c r="N24" s="8">
        <f t="shared" si="3"/>
        <v>0.42482668977469673</v>
      </c>
      <c r="O24" s="12"/>
      <c r="P24" s="7">
        <v>401.17</v>
      </c>
      <c r="Q24" s="3"/>
      <c r="R24" s="8">
        <f t="shared" si="4"/>
        <v>9.1622701838529181E-4</v>
      </c>
      <c r="S24" s="3"/>
      <c r="T24" s="7">
        <v>404.28</v>
      </c>
      <c r="U24" s="3"/>
      <c r="V24" s="8">
        <f t="shared" si="5"/>
        <v>7.8169169312394371E-4</v>
      </c>
      <c r="W24" s="3"/>
      <c r="X24" s="7">
        <f t="shared" si="6"/>
        <v>-3.1099999999999568</v>
      </c>
      <c r="Y24" s="3"/>
      <c r="Z24" s="8">
        <f t="shared" si="7"/>
        <v>-7.6926882358760188E-3</v>
      </c>
    </row>
    <row r="25" spans="1:26" s="69" customFormat="1" ht="15" hidden="1" customHeight="1" outlineLevel="2" x14ac:dyDescent="0.25">
      <c r="A25" s="25"/>
      <c r="B25" s="12" t="str">
        <f>CONCATENATE("          ","6115"," - ","P.E.R.S.")</f>
        <v xml:space="preserve">          6115 - P.E.R.S.</v>
      </c>
      <c r="C25" s="12"/>
      <c r="D25" s="7">
        <v>554.66</v>
      </c>
      <c r="E25" s="3"/>
      <c r="F25" s="8">
        <f t="shared" si="0"/>
        <v>1.4452550940643075E-2</v>
      </c>
      <c r="G25" s="3"/>
      <c r="H25" s="7">
        <v>640.35</v>
      </c>
      <c r="I25" s="3"/>
      <c r="J25" s="8">
        <f t="shared" si="1"/>
        <v>1.6156990386798881E-2</v>
      </c>
      <c r="K25" s="3"/>
      <c r="L25" s="7">
        <f t="shared" si="2"/>
        <v>-85.690000000000055</v>
      </c>
      <c r="M25" s="3"/>
      <c r="N25" s="8">
        <f t="shared" si="3"/>
        <v>-0.13381744358553924</v>
      </c>
      <c r="O25" s="12"/>
      <c r="P25" s="7">
        <v>7200.27</v>
      </c>
      <c r="Q25" s="3"/>
      <c r="R25" s="8">
        <f t="shared" si="4"/>
        <v>1.6444604316546763E-2</v>
      </c>
      <c r="S25" s="3"/>
      <c r="T25" s="7">
        <v>8341.6299999999992</v>
      </c>
      <c r="U25" s="3"/>
      <c r="V25" s="8">
        <f t="shared" si="5"/>
        <v>1.6128878198559123E-2</v>
      </c>
      <c r="W25" s="3"/>
      <c r="X25" s="7">
        <f t="shared" si="6"/>
        <v>-1141.3599999999988</v>
      </c>
      <c r="Y25" s="3"/>
      <c r="Z25" s="8">
        <f t="shared" si="7"/>
        <v>-0.13682697506362651</v>
      </c>
    </row>
    <row r="26" spans="1:26" s="69" customFormat="1" ht="15" hidden="1" customHeight="1" outlineLevel="2" x14ac:dyDescent="0.25">
      <c r="A26" s="25"/>
      <c r="B26" s="12" t="str">
        <f>CONCATENATE("          ","6117"," - ","RETIREMENT STAFF HOURLY")</f>
        <v xml:space="preserve">          6117 - RETIREMENT STAFF HOURLY</v>
      </c>
      <c r="C26" s="12"/>
      <c r="D26" s="7">
        <v>120</v>
      </c>
      <c r="E26" s="3"/>
      <c r="F26" s="8">
        <f t="shared" si="0"/>
        <v>3.1267913909010371E-3</v>
      </c>
      <c r="G26" s="3"/>
      <c r="H26" s="7">
        <v>98.26</v>
      </c>
      <c r="I26" s="3"/>
      <c r="J26" s="8">
        <f t="shared" si="1"/>
        <v>2.4792470920697398E-3</v>
      </c>
      <c r="K26" s="3"/>
      <c r="L26" s="7">
        <f t="shared" si="2"/>
        <v>21.739999999999995</v>
      </c>
      <c r="M26" s="3"/>
      <c r="N26" s="8">
        <f t="shared" si="3"/>
        <v>0.22124974557296961</v>
      </c>
      <c r="O26" s="12"/>
      <c r="P26" s="7">
        <v>395.15</v>
      </c>
      <c r="Q26" s="3"/>
      <c r="R26" s="8">
        <f t="shared" si="4"/>
        <v>9.0247801758593115E-4</v>
      </c>
      <c r="S26" s="3"/>
      <c r="T26" s="7">
        <v>987.71</v>
      </c>
      <c r="U26" s="3"/>
      <c r="V26" s="8">
        <f t="shared" si="5"/>
        <v>1.9097771401391376E-3</v>
      </c>
      <c r="W26" s="3"/>
      <c r="X26" s="7">
        <f t="shared" si="6"/>
        <v>-592.56000000000006</v>
      </c>
      <c r="Y26" s="3"/>
      <c r="Z26" s="8">
        <f t="shared" si="7"/>
        <v>-0.59993317876704699</v>
      </c>
    </row>
    <row r="27" spans="1:26" s="69" customFormat="1" ht="15" hidden="1" customHeight="1" outlineLevel="2" x14ac:dyDescent="0.25">
      <c r="A27" s="25"/>
      <c r="B27" s="12" t="str">
        <f>CONCATENATE("          ","6118"," - ","VACATION")</f>
        <v xml:space="preserve">          6118 - VACATION</v>
      </c>
      <c r="C27" s="12"/>
      <c r="D27" s="7">
        <v>608.20000000000005</v>
      </c>
      <c r="E27" s="3"/>
      <c r="F27" s="8">
        <f t="shared" si="0"/>
        <v>1.5847621032883424E-2</v>
      </c>
      <c r="G27" s="3"/>
      <c r="H27" s="7">
        <v>520.02</v>
      </c>
      <c r="I27" s="3"/>
      <c r="J27" s="8">
        <f t="shared" si="1"/>
        <v>1.3120884111725076E-2</v>
      </c>
      <c r="K27" s="3"/>
      <c r="L27" s="7">
        <f t="shared" si="2"/>
        <v>88.180000000000064</v>
      </c>
      <c r="M27" s="3"/>
      <c r="N27" s="8">
        <f t="shared" si="3"/>
        <v>0.16957040113841787</v>
      </c>
      <c r="O27" s="12"/>
      <c r="P27" s="7">
        <v>7435.05</v>
      </c>
      <c r="Q27" s="3"/>
      <c r="R27" s="8">
        <f t="shared" si="4"/>
        <v>1.6980815347721823E-2</v>
      </c>
      <c r="S27" s="3"/>
      <c r="T27" s="7">
        <v>6240.24</v>
      </c>
      <c r="U27" s="3"/>
      <c r="V27" s="8">
        <f t="shared" si="5"/>
        <v>1.2065755840258629E-2</v>
      </c>
      <c r="W27" s="3"/>
      <c r="X27" s="7">
        <f t="shared" si="6"/>
        <v>1194.8100000000004</v>
      </c>
      <c r="Y27" s="3"/>
      <c r="Z27" s="8">
        <f t="shared" si="7"/>
        <v>0.19146859736164001</v>
      </c>
    </row>
    <row r="28" spans="1:26" s="69" customFormat="1" ht="15" hidden="1" customHeight="1" outlineLevel="2" x14ac:dyDescent="0.25">
      <c r="A28" s="25"/>
      <c r="B28" s="12" t="str">
        <f>CONCATENATE("          ","6119"," - ","SICK LEAVE")</f>
        <v xml:space="preserve">          6119 - SICK LEAVE</v>
      </c>
      <c r="C28" s="12"/>
      <c r="D28" s="7">
        <v>443.63</v>
      </c>
      <c r="E28" s="3"/>
      <c r="F28" s="8">
        <f t="shared" si="0"/>
        <v>1.1559487206211892E-2</v>
      </c>
      <c r="G28" s="3"/>
      <c r="H28" s="7">
        <v>299.26</v>
      </c>
      <c r="I28" s="3"/>
      <c r="J28" s="8">
        <f t="shared" si="1"/>
        <v>7.5507783917442535E-3</v>
      </c>
      <c r="K28" s="3"/>
      <c r="L28" s="7">
        <f t="shared" si="2"/>
        <v>144.37</v>
      </c>
      <c r="M28" s="3"/>
      <c r="N28" s="8">
        <f t="shared" si="3"/>
        <v>0.48242331083338907</v>
      </c>
      <c r="O28" s="12"/>
      <c r="P28" s="7">
        <v>5531.01</v>
      </c>
      <c r="Q28" s="3"/>
      <c r="R28" s="8">
        <f t="shared" si="4"/>
        <v>1.2632202809181228E-2</v>
      </c>
      <c r="S28" s="3"/>
      <c r="T28" s="7">
        <v>3591.13</v>
      </c>
      <c r="U28" s="3"/>
      <c r="V28" s="8">
        <f t="shared" si="5"/>
        <v>6.9435947608790646E-3</v>
      </c>
      <c r="W28" s="3"/>
      <c r="X28" s="7">
        <f t="shared" si="6"/>
        <v>1939.88</v>
      </c>
      <c r="Y28" s="3"/>
      <c r="Z28" s="8">
        <f t="shared" si="7"/>
        <v>0.54018651510805793</v>
      </c>
    </row>
    <row r="29" spans="1:26" s="69" customFormat="1" ht="15" hidden="1" customHeight="1" outlineLevel="2" x14ac:dyDescent="0.25">
      <c r="A29" s="25"/>
      <c r="B29" s="12" t="str">
        <f>CONCATENATE("          ","6156"," - ","EMPLOYEE MEALS")</f>
        <v xml:space="preserve">          6156 - EMPLOYEE MEALS</v>
      </c>
      <c r="C29" s="12"/>
      <c r="D29" s="7">
        <v>267.85000000000002</v>
      </c>
      <c r="E29" s="3"/>
      <c r="F29" s="8">
        <f t="shared" si="0"/>
        <v>6.979258950440357E-3</v>
      </c>
      <c r="G29" s="3"/>
      <c r="H29" s="7"/>
      <c r="I29" s="3"/>
      <c r="J29" s="8">
        <f t="shared" si="1"/>
        <v>0</v>
      </c>
      <c r="K29" s="3"/>
      <c r="L29" s="7">
        <f t="shared" si="2"/>
        <v>267.85000000000002</v>
      </c>
      <c r="M29" s="3"/>
      <c r="N29" s="8">
        <f t="shared" si="3"/>
        <v>0</v>
      </c>
      <c r="O29" s="12"/>
      <c r="P29" s="7">
        <v>1034.6400000000001</v>
      </c>
      <c r="Q29" s="3"/>
      <c r="R29" s="8">
        <f t="shared" si="4"/>
        <v>2.3630010277492296E-3</v>
      </c>
      <c r="S29" s="3"/>
      <c r="T29" s="7">
        <v>1620.53</v>
      </c>
      <c r="U29" s="3"/>
      <c r="V29" s="8">
        <f t="shared" si="5"/>
        <v>3.1333601450928678E-3</v>
      </c>
      <c r="W29" s="3"/>
      <c r="X29" s="7">
        <f t="shared" si="6"/>
        <v>-585.88999999999987</v>
      </c>
      <c r="Y29" s="3"/>
      <c r="Z29" s="8">
        <f t="shared" si="7"/>
        <v>-0.36154221149870713</v>
      </c>
    </row>
    <row r="30" spans="1:26" s="68" customFormat="1" ht="15" customHeight="1" outlineLevel="1" collapsed="1" x14ac:dyDescent="0.25">
      <c r="A30" s="26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15761.880000000001</v>
      </c>
      <c r="E30" s="2"/>
      <c r="F30" s="6">
        <f t="shared" si="0"/>
        <v>0.41070092240346034</v>
      </c>
      <c r="G30" s="2"/>
      <c r="H30" s="2">
        <f>SUM(OSRRefH22_1x_0)</f>
        <v>11834.07</v>
      </c>
      <c r="I30" s="2"/>
      <c r="J30" s="6">
        <f t="shared" si="1"/>
        <v>0.29859132541064265</v>
      </c>
      <c r="K30" s="2"/>
      <c r="L30" s="2">
        <f t="shared" si="2"/>
        <v>3927.8100000000013</v>
      </c>
      <c r="M30" s="2"/>
      <c r="N30" s="6">
        <f t="shared" si="3"/>
        <v>0.33190694325789871</v>
      </c>
      <c r="O30" s="14"/>
      <c r="P30" s="2">
        <f>SUM(OSRRefP22_1x_0)</f>
        <v>163584.11000000002</v>
      </c>
      <c r="Q30" s="2"/>
      <c r="R30" s="6">
        <f t="shared" si="4"/>
        <v>0.37360765102203952</v>
      </c>
      <c r="S30" s="2"/>
      <c r="T30" s="2">
        <f>SUM(OSRRefT22_1x_0)</f>
        <v>152168.48000000001</v>
      </c>
      <c r="U30" s="2"/>
      <c r="V30" s="6">
        <f t="shared" si="5"/>
        <v>0.2942238962384906</v>
      </c>
      <c r="W30" s="2"/>
      <c r="X30" s="2">
        <f t="shared" si="6"/>
        <v>11415.630000000005</v>
      </c>
      <c r="Y30" s="2"/>
      <c r="Z30" s="6">
        <f t="shared" si="7"/>
        <v>7.5019675559616583E-2</v>
      </c>
    </row>
    <row r="31" spans="1:26" s="69" customFormat="1" ht="15" hidden="1" customHeight="1" outlineLevel="2" x14ac:dyDescent="0.25">
      <c r="A31" s="25"/>
      <c r="B31" s="12" t="str">
        <f>CONCATENATE("          ","6001"," - ","ADMINISTRATIVE SALARIES")</f>
        <v xml:space="preserve">          6001 - ADMINISTRATIVE SALARIES</v>
      </c>
      <c r="C31" s="12"/>
      <c r="D31" s="7">
        <v>3726.61</v>
      </c>
      <c r="E31" s="3"/>
      <c r="F31" s="8">
        <f t="shared" si="0"/>
        <v>9.7102767210380955E-2</v>
      </c>
      <c r="G31" s="3"/>
      <c r="H31" s="7">
        <v>4205.72</v>
      </c>
      <c r="I31" s="3"/>
      <c r="J31" s="8">
        <f t="shared" si="1"/>
        <v>0.10611661998839352</v>
      </c>
      <c r="K31" s="3"/>
      <c r="L31" s="7">
        <f t="shared" si="2"/>
        <v>-479.11000000000013</v>
      </c>
      <c r="M31" s="3"/>
      <c r="N31" s="8">
        <f t="shared" si="3"/>
        <v>-0.11391866315399031</v>
      </c>
      <c r="O31" s="12"/>
      <c r="P31" s="7">
        <v>51393.19</v>
      </c>
      <c r="Q31" s="3"/>
      <c r="R31" s="8">
        <f t="shared" si="4"/>
        <v>0.11737624757336988</v>
      </c>
      <c r="S31" s="3"/>
      <c r="T31" s="7">
        <v>47945.16</v>
      </c>
      <c r="U31" s="3"/>
      <c r="V31" s="8">
        <f t="shared" si="5"/>
        <v>9.2703901497720356E-2</v>
      </c>
      <c r="W31" s="3"/>
      <c r="X31" s="7">
        <f t="shared" si="6"/>
        <v>3448.0299999999988</v>
      </c>
      <c r="Y31" s="3"/>
      <c r="Z31" s="8">
        <f t="shared" si="7"/>
        <v>7.1916122503293323E-2</v>
      </c>
    </row>
    <row r="32" spans="1:26" s="69" customFormat="1" ht="15" hidden="1" customHeight="1" outlineLevel="2" x14ac:dyDescent="0.25">
      <c r="A32" s="25"/>
      <c r="B32" s="12" t="str">
        <f>CONCATENATE("          ","6002"," - ","STAFF SALARIES")</f>
        <v xml:space="preserve">          6002 - STAFF SALARIES</v>
      </c>
      <c r="C32" s="12"/>
      <c r="D32" s="7">
        <v>1632</v>
      </c>
      <c r="E32" s="3"/>
      <c r="F32" s="8">
        <f t="shared" si="0"/>
        <v>4.2524362916254103E-2</v>
      </c>
      <c r="G32" s="3"/>
      <c r="H32" s="7">
        <v>2282.3000000000002</v>
      </c>
      <c r="I32" s="3"/>
      <c r="J32" s="8">
        <f t="shared" si="1"/>
        <v>5.7585850175358923E-2</v>
      </c>
      <c r="K32" s="3"/>
      <c r="L32" s="7">
        <f t="shared" si="2"/>
        <v>-650.30000000000018</v>
      </c>
      <c r="M32" s="3"/>
      <c r="N32" s="8">
        <f t="shared" si="3"/>
        <v>-0.28493186697629591</v>
      </c>
      <c r="O32" s="12"/>
      <c r="P32" s="7">
        <v>20256.57</v>
      </c>
      <c r="Q32" s="3"/>
      <c r="R32" s="8">
        <f t="shared" si="4"/>
        <v>4.626372045220966E-2</v>
      </c>
      <c r="S32" s="3"/>
      <c r="T32" s="7">
        <v>25789.98</v>
      </c>
      <c r="U32" s="3"/>
      <c r="V32" s="8">
        <f t="shared" si="5"/>
        <v>4.9865966982864968E-2</v>
      </c>
      <c r="W32" s="3"/>
      <c r="X32" s="7">
        <f t="shared" si="6"/>
        <v>-5533.41</v>
      </c>
      <c r="Y32" s="3"/>
      <c r="Z32" s="8">
        <f t="shared" si="7"/>
        <v>-0.21455658360339946</v>
      </c>
    </row>
    <row r="33" spans="1:26" s="69" customFormat="1" ht="15" hidden="1" customHeight="1" outlineLevel="2" x14ac:dyDescent="0.25">
      <c r="A33" s="25"/>
      <c r="B33" s="12" t="str">
        <f>CONCATENATE("          ","6004"," - ","STAFF HOURLY")</f>
        <v xml:space="preserve">          6004 - STAFF HOURLY</v>
      </c>
      <c r="C33" s="12"/>
      <c r="D33" s="7">
        <v>3380.1</v>
      </c>
      <c r="E33" s="3"/>
      <c r="F33" s="8">
        <f t="shared" si="0"/>
        <v>8.8073896503204963E-2</v>
      </c>
      <c r="G33" s="3"/>
      <c r="H33" s="7"/>
      <c r="I33" s="3"/>
      <c r="J33" s="8">
        <f t="shared" si="1"/>
        <v>0</v>
      </c>
      <c r="K33" s="3"/>
      <c r="L33" s="7">
        <f t="shared" si="2"/>
        <v>3380.1</v>
      </c>
      <c r="M33" s="3"/>
      <c r="N33" s="8">
        <f t="shared" si="3"/>
        <v>0</v>
      </c>
      <c r="O33" s="12"/>
      <c r="P33" s="7">
        <v>16702.32</v>
      </c>
      <c r="Q33" s="3"/>
      <c r="R33" s="8">
        <f t="shared" si="4"/>
        <v>3.814621445700582E-2</v>
      </c>
      <c r="S33" s="3"/>
      <c r="T33" s="7"/>
      <c r="U33" s="3"/>
      <c r="V33" s="8">
        <f t="shared" si="5"/>
        <v>0</v>
      </c>
      <c r="W33" s="3"/>
      <c r="X33" s="7">
        <f t="shared" si="6"/>
        <v>16702.32</v>
      </c>
      <c r="Y33" s="3"/>
      <c r="Z33" s="8">
        <f t="shared" si="7"/>
        <v>0</v>
      </c>
    </row>
    <row r="34" spans="1:26" s="69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7">
        <v>2993.94</v>
      </c>
      <c r="E34" s="3"/>
      <c r="F34" s="8">
        <f t="shared" si="0"/>
        <v>7.8011881807285424E-2</v>
      </c>
      <c r="G34" s="3"/>
      <c r="H34" s="7">
        <v>5346.05</v>
      </c>
      <c r="I34" s="3"/>
      <c r="J34" s="8">
        <f t="shared" si="1"/>
        <v>0.13488885524689023</v>
      </c>
      <c r="K34" s="3"/>
      <c r="L34" s="7">
        <f t="shared" si="2"/>
        <v>-2352.11</v>
      </c>
      <c r="M34" s="3"/>
      <c r="N34" s="8">
        <f t="shared" si="3"/>
        <v>-0.43997156779304347</v>
      </c>
      <c r="O34" s="12"/>
      <c r="P34" s="7">
        <v>56889.5</v>
      </c>
      <c r="Q34" s="3"/>
      <c r="R34" s="8">
        <f t="shared" si="4"/>
        <v>0.12992919949754483</v>
      </c>
      <c r="S34" s="3"/>
      <c r="T34" s="7">
        <v>70243.679999999993</v>
      </c>
      <c r="U34" s="3"/>
      <c r="V34" s="8">
        <f t="shared" si="5"/>
        <v>0.13581898968649575</v>
      </c>
      <c r="W34" s="3"/>
      <c r="X34" s="7">
        <f t="shared" si="6"/>
        <v>-13354.179999999993</v>
      </c>
      <c r="Y34" s="3"/>
      <c r="Z34" s="8">
        <f t="shared" si="7"/>
        <v>-0.19011219229971998</v>
      </c>
    </row>
    <row r="35" spans="1:26" s="69" customFormat="1" ht="15" hidden="1" customHeight="1" outlineLevel="2" x14ac:dyDescent="0.25">
      <c r="A35" s="25"/>
      <c r="B35" s="12" t="str">
        <f>CONCATENATE("          ","6007"," - ","STUDENT HOURLY")</f>
        <v xml:space="preserve">          6007 - STUDENT HOURLY</v>
      </c>
      <c r="C35" s="12"/>
      <c r="D35" s="7">
        <v>4029.23</v>
      </c>
      <c r="E35" s="3"/>
      <c r="F35" s="8">
        <f t="shared" si="0"/>
        <v>0.10498801396633488</v>
      </c>
      <c r="G35" s="3"/>
      <c r="H35" s="7"/>
      <c r="I35" s="3"/>
      <c r="J35" s="8">
        <f t="shared" si="1"/>
        <v>0</v>
      </c>
      <c r="K35" s="3"/>
      <c r="L35" s="7">
        <f t="shared" si="2"/>
        <v>4029.23</v>
      </c>
      <c r="M35" s="3"/>
      <c r="N35" s="8">
        <f t="shared" si="3"/>
        <v>0</v>
      </c>
      <c r="O35" s="12"/>
      <c r="P35" s="7">
        <v>18178.310000000001</v>
      </c>
      <c r="Q35" s="3"/>
      <c r="R35" s="8">
        <f t="shared" si="4"/>
        <v>4.1517209089870964E-2</v>
      </c>
      <c r="S35" s="3"/>
      <c r="T35" s="7">
        <v>4277.78</v>
      </c>
      <c r="U35" s="3"/>
      <c r="V35" s="8">
        <f t="shared" si="5"/>
        <v>8.2712602429300085E-3</v>
      </c>
      <c r="W35" s="3"/>
      <c r="X35" s="7">
        <f t="shared" si="6"/>
        <v>13900.530000000002</v>
      </c>
      <c r="Y35" s="3"/>
      <c r="Z35" s="8">
        <f t="shared" si="7"/>
        <v>3.249472857416698</v>
      </c>
    </row>
    <row r="36" spans="1:26" s="69" customFormat="1" ht="15" hidden="1" customHeight="1" outlineLevel="2" x14ac:dyDescent="0.25">
      <c r="A36" s="25"/>
      <c r="B36" s="12" t="str">
        <f>CONCATENATE("          ","6008"," - ","STUDENT HOURLY-FICA EXEMPT")</f>
        <v xml:space="preserve">          6008 - STUDENT HOURLY-FICA EXEMPT</v>
      </c>
      <c r="C36" s="12"/>
      <c r="D36" s="7"/>
      <c r="E36" s="3"/>
      <c r="F36" s="8">
        <f t="shared" si="0"/>
        <v>0</v>
      </c>
      <c r="G36" s="3"/>
      <c r="H36" s="7"/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>
        <v>164.22</v>
      </c>
      <c r="Q36" s="3"/>
      <c r="R36" s="8">
        <f t="shared" si="4"/>
        <v>3.7505995203836932E-4</v>
      </c>
      <c r="S36" s="3"/>
      <c r="T36" s="7">
        <v>3911.88</v>
      </c>
      <c r="U36" s="3"/>
      <c r="V36" s="8">
        <f t="shared" si="5"/>
        <v>7.5637778284795027E-3</v>
      </c>
      <c r="W36" s="3"/>
      <c r="X36" s="7">
        <f t="shared" si="6"/>
        <v>-3747.6600000000003</v>
      </c>
      <c r="Y36" s="3"/>
      <c r="Z36" s="8">
        <f t="shared" si="7"/>
        <v>-0.95802018466824146</v>
      </c>
    </row>
    <row r="37" spans="1:26" s="68" customFormat="1" ht="15" customHeight="1" outlineLevel="1" collapsed="1" x14ac:dyDescent="0.25">
      <c r="A37" s="26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0</v>
      </c>
      <c r="E37" s="2"/>
      <c r="F37" s="6">
        <f t="shared" si="0"/>
        <v>0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SUM(OSRRefP22_2x_0)</f>
        <v>251.18</v>
      </c>
      <c r="Q37" s="2"/>
      <c r="R37" s="6">
        <f t="shared" si="4"/>
        <v>5.7366678086102549E-4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251.18</v>
      </c>
      <c r="Y37" s="2"/>
      <c r="Z37" s="6">
        <f t="shared" si="7"/>
        <v>0</v>
      </c>
    </row>
    <row r="38" spans="1:26" s="69" customFormat="1" ht="15" hidden="1" customHeight="1" outlineLevel="2" x14ac:dyDescent="0.25">
      <c r="A38" s="25"/>
      <c r="B38" s="12" t="str">
        <f>CONCATENATE("          ","6362"," - ","ADVERTISING EXPENSE")</f>
        <v xml:space="preserve">          6362 - ADVERTISING EXPENSE</v>
      </c>
      <c r="C38" s="12"/>
      <c r="D38" s="7"/>
      <c r="E38" s="3"/>
      <c r="F38" s="8">
        <f t="shared" si="0"/>
        <v>0</v>
      </c>
      <c r="G38" s="3"/>
      <c r="H38" s="7"/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>
        <v>251.18</v>
      </c>
      <c r="Q38" s="3"/>
      <c r="R38" s="8">
        <f t="shared" si="4"/>
        <v>5.7366678086102549E-4</v>
      </c>
      <c r="S38" s="3"/>
      <c r="T38" s="7"/>
      <c r="U38" s="3"/>
      <c r="V38" s="8">
        <f t="shared" si="5"/>
        <v>0</v>
      </c>
      <c r="W38" s="3"/>
      <c r="X38" s="7">
        <f t="shared" si="6"/>
        <v>251.18</v>
      </c>
      <c r="Y38" s="3"/>
      <c r="Z38" s="8">
        <f t="shared" si="7"/>
        <v>0</v>
      </c>
    </row>
    <row r="39" spans="1:26" s="68" customFormat="1" ht="15" customHeight="1" outlineLevel="1" collapsed="1" x14ac:dyDescent="0.25">
      <c r="A39" s="26"/>
      <c r="B39" s="14" t="str">
        <f>CONCATENATE("     ","Bank/card Fees                                    ")</f>
        <v xml:space="preserve">     Bank/card Fees                                    </v>
      </c>
      <c r="C39" s="14"/>
      <c r="D39" s="2">
        <f>SUM(OSRRefD22_3x_0)</f>
        <v>335.24</v>
      </c>
      <c r="E39" s="2"/>
      <c r="F39" s="6">
        <f t="shared" si="0"/>
        <v>8.7352128823805306E-3</v>
      </c>
      <c r="G39" s="2"/>
      <c r="H39" s="2">
        <f>SUM(OSRRefH22_3x_0)</f>
        <v>5257.31</v>
      </c>
      <c r="I39" s="2"/>
      <c r="J39" s="6">
        <f t="shared" si="1"/>
        <v>0.13264981202533244</v>
      </c>
      <c r="K39" s="2"/>
      <c r="L39" s="2">
        <f t="shared" si="2"/>
        <v>-4922.0700000000006</v>
      </c>
      <c r="M39" s="2"/>
      <c r="N39" s="6">
        <f t="shared" si="3"/>
        <v>-0.93623354909640111</v>
      </c>
      <c r="O39" s="14"/>
      <c r="P39" s="2">
        <f>SUM(OSRRefP22_3x_0)</f>
        <v>4349.37</v>
      </c>
      <c r="Q39" s="2"/>
      <c r="R39" s="6">
        <f t="shared" si="4"/>
        <v>9.9334703665638919E-3</v>
      </c>
      <c r="S39" s="2"/>
      <c r="T39" s="2">
        <f>SUM(OSRRefT22_3x_0)</f>
        <v>6061.25</v>
      </c>
      <c r="U39" s="2"/>
      <c r="V39" s="6">
        <f t="shared" si="5"/>
        <v>1.1719671452823549E-2</v>
      </c>
      <c r="W39" s="2"/>
      <c r="X39" s="2">
        <f t="shared" si="6"/>
        <v>-1711.88</v>
      </c>
      <c r="Y39" s="2"/>
      <c r="Z39" s="6">
        <f t="shared" si="7"/>
        <v>-0.28243019179212209</v>
      </c>
    </row>
    <row r="40" spans="1:26" s="69" customFormat="1" ht="15" hidden="1" customHeight="1" outlineLevel="2" x14ac:dyDescent="0.25">
      <c r="A40" s="25"/>
      <c r="B40" s="12" t="str">
        <f>CONCATENATE("          ","6381"," - ","BANK/CREDIT CARD FEES")</f>
        <v xml:space="preserve">          6381 - BANK/CREDIT CARD FEES</v>
      </c>
      <c r="C40" s="12"/>
      <c r="D40" s="7">
        <v>335.24</v>
      </c>
      <c r="E40" s="3"/>
      <c r="F40" s="8">
        <f t="shared" si="0"/>
        <v>8.7352128823805306E-3</v>
      </c>
      <c r="G40" s="3"/>
      <c r="H40" s="7">
        <v>5257.31</v>
      </c>
      <c r="I40" s="3"/>
      <c r="J40" s="8">
        <f t="shared" si="1"/>
        <v>0.13264981202533244</v>
      </c>
      <c r="K40" s="3"/>
      <c r="L40" s="7">
        <f t="shared" si="2"/>
        <v>-4922.0700000000006</v>
      </c>
      <c r="M40" s="3"/>
      <c r="N40" s="8">
        <f t="shared" si="3"/>
        <v>-0.93623354909640111</v>
      </c>
      <c r="O40" s="12"/>
      <c r="P40" s="7">
        <v>4349.37</v>
      </c>
      <c r="Q40" s="3"/>
      <c r="R40" s="8">
        <f t="shared" si="4"/>
        <v>9.9334703665638919E-3</v>
      </c>
      <c r="S40" s="3"/>
      <c r="T40" s="7">
        <v>6061.25</v>
      </c>
      <c r="U40" s="3"/>
      <c r="V40" s="8">
        <f t="shared" si="5"/>
        <v>1.1719671452823549E-2</v>
      </c>
      <c r="W40" s="3"/>
      <c r="X40" s="7">
        <f t="shared" si="6"/>
        <v>-1711.88</v>
      </c>
      <c r="Y40" s="3"/>
      <c r="Z40" s="8">
        <f t="shared" si="7"/>
        <v>-0.28243019179212209</v>
      </c>
    </row>
    <row r="41" spans="1:26" s="68" customFormat="1" ht="15" customHeight="1" outlineLevel="1" collapsed="1" x14ac:dyDescent="0.25">
      <c r="A41" s="26"/>
      <c r="B41" s="14" t="str">
        <f>CONCATENATE("     ","Freight out/Postage                               ")</f>
        <v xml:space="preserve">     Freight out/Postage                               </v>
      </c>
      <c r="C41" s="14"/>
      <c r="D41" s="2">
        <f>SUM(OSRRefD22_4x_0)</f>
        <v>0</v>
      </c>
      <c r="E41" s="2"/>
      <c r="F41" s="6">
        <f t="shared" si="0"/>
        <v>0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SUM(OSRRefP22_4x_0)</f>
        <v>0.62</v>
      </c>
      <c r="Q41" s="2"/>
      <c r="R41" s="6">
        <f t="shared" si="4"/>
        <v>1.4160100491035743E-6</v>
      </c>
      <c r="S41" s="2"/>
      <c r="T41" s="2">
        <f>SUM(OSRRefT22_4x_0)</f>
        <v>2.12</v>
      </c>
      <c r="U41" s="2"/>
      <c r="V41" s="6">
        <f t="shared" si="5"/>
        <v>4.0991055442336024E-6</v>
      </c>
      <c r="W41" s="2"/>
      <c r="X41" s="2">
        <f t="shared" si="6"/>
        <v>-1.5</v>
      </c>
      <c r="Y41" s="2"/>
      <c r="Z41" s="6">
        <f t="shared" si="7"/>
        <v>-0.70754716981132071</v>
      </c>
    </row>
    <row r="42" spans="1:26" s="69" customFormat="1" ht="15" hidden="1" customHeight="1" outlineLevel="2" x14ac:dyDescent="0.25">
      <c r="A42" s="25"/>
      <c r="B42" s="12" t="str">
        <f>CONCATENATE("          ","6305"," - ","FREIGHT OUT")</f>
        <v xml:space="preserve">          6305 - FREIGHT OUT</v>
      </c>
      <c r="C42" s="12"/>
      <c r="D42" s="7"/>
      <c r="E42" s="3"/>
      <c r="F42" s="8">
        <f t="shared" si="0"/>
        <v>0</v>
      </c>
      <c r="G42" s="3"/>
      <c r="H42" s="7"/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>
        <v>0.62</v>
      </c>
      <c r="Q42" s="3"/>
      <c r="R42" s="8">
        <f t="shared" si="4"/>
        <v>1.4160100491035743E-6</v>
      </c>
      <c r="S42" s="3"/>
      <c r="T42" s="7">
        <v>1.62</v>
      </c>
      <c r="U42" s="3"/>
      <c r="V42" s="8">
        <f t="shared" si="5"/>
        <v>3.1323353687068096E-6</v>
      </c>
      <c r="W42" s="3"/>
      <c r="X42" s="7">
        <f t="shared" si="6"/>
        <v>-1</v>
      </c>
      <c r="Y42" s="3"/>
      <c r="Z42" s="8">
        <f t="shared" si="7"/>
        <v>-0.61728395061728392</v>
      </c>
    </row>
    <row r="43" spans="1:26" s="69" customFormat="1" ht="15" hidden="1" customHeight="1" outlineLevel="2" x14ac:dyDescent="0.25">
      <c r="A43" s="25"/>
      <c r="B43" s="12" t="str">
        <f>CONCATENATE("          ","6307"," - ","POSTAGE")</f>
        <v xml:space="preserve">          6307 - POSTAGE</v>
      </c>
      <c r="C43" s="12"/>
      <c r="D43" s="7"/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0.5</v>
      </c>
      <c r="U43" s="3"/>
      <c r="V43" s="8">
        <f t="shared" si="5"/>
        <v>9.66770175526793E-7</v>
      </c>
      <c r="W43" s="3"/>
      <c r="X43" s="7">
        <f t="shared" si="6"/>
        <v>-0.5</v>
      </c>
      <c r="Y43" s="3"/>
      <c r="Z43" s="8">
        <f t="shared" si="7"/>
        <v>-1</v>
      </c>
    </row>
    <row r="44" spans="1:26" s="68" customFormat="1" ht="15" customHeight="1" outlineLevel="1" collapsed="1" x14ac:dyDescent="0.25">
      <c r="A44" s="26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SUM(OSRRefD22_5x_0)</f>
        <v>39.43</v>
      </c>
      <c r="E44" s="2"/>
      <c r="F44" s="6">
        <f t="shared" si="0"/>
        <v>1.0274115378602325E-3</v>
      </c>
      <c r="G44" s="2"/>
      <c r="H44" s="2">
        <f>SUM(OSRRefH22_5x_0)</f>
        <v>29.01</v>
      </c>
      <c r="I44" s="2"/>
      <c r="J44" s="6">
        <f t="shared" si="1"/>
        <v>7.3196578608735146E-4</v>
      </c>
      <c r="K44" s="2"/>
      <c r="L44" s="2">
        <f t="shared" si="2"/>
        <v>10.419999999999998</v>
      </c>
      <c r="M44" s="2"/>
      <c r="N44" s="6">
        <f t="shared" si="3"/>
        <v>0.35918648741813158</v>
      </c>
      <c r="O44" s="14"/>
      <c r="P44" s="2">
        <f>SUM(OSRRefP22_5x_0)</f>
        <v>433.73</v>
      </c>
      <c r="Q44" s="2"/>
      <c r="R44" s="6">
        <f t="shared" si="4"/>
        <v>9.9059038483498914E-4</v>
      </c>
      <c r="S44" s="2"/>
      <c r="T44" s="2">
        <f>SUM(OSRRefT22_5x_0)</f>
        <v>319.11</v>
      </c>
      <c r="U44" s="2"/>
      <c r="V44" s="6">
        <f t="shared" si="5"/>
        <v>6.1701206142470994E-4</v>
      </c>
      <c r="W44" s="2"/>
      <c r="X44" s="2">
        <f t="shared" si="6"/>
        <v>114.62</v>
      </c>
      <c r="Y44" s="2"/>
      <c r="Z44" s="6">
        <f t="shared" si="7"/>
        <v>0.35918648741813169</v>
      </c>
    </row>
    <row r="45" spans="1:26" s="69" customFormat="1" ht="15" hidden="1" customHeight="1" outlineLevel="2" x14ac:dyDescent="0.25">
      <c r="A45" s="25"/>
      <c r="B45" s="12" t="str">
        <f>CONCATENATE("          ","6314"," - ","LIABILITY INSURANCE")</f>
        <v xml:space="preserve">          6314 - LIABILITY INSURANCE</v>
      </c>
      <c r="C45" s="12"/>
      <c r="D45" s="7">
        <v>39.43</v>
      </c>
      <c r="E45" s="3"/>
      <c r="F45" s="8">
        <f t="shared" si="0"/>
        <v>1.0274115378602325E-3</v>
      </c>
      <c r="G45" s="3"/>
      <c r="H45" s="7">
        <v>29.01</v>
      </c>
      <c r="I45" s="3"/>
      <c r="J45" s="8">
        <f t="shared" si="1"/>
        <v>7.3196578608735146E-4</v>
      </c>
      <c r="K45" s="3"/>
      <c r="L45" s="7">
        <f t="shared" si="2"/>
        <v>10.419999999999998</v>
      </c>
      <c r="M45" s="3"/>
      <c r="N45" s="8">
        <f t="shared" si="3"/>
        <v>0.35918648741813158</v>
      </c>
      <c r="O45" s="12"/>
      <c r="P45" s="7">
        <v>433.73</v>
      </c>
      <c r="Q45" s="3"/>
      <c r="R45" s="8">
        <f t="shared" si="4"/>
        <v>9.9059038483498914E-4</v>
      </c>
      <c r="S45" s="3"/>
      <c r="T45" s="7">
        <v>319.11</v>
      </c>
      <c r="U45" s="3"/>
      <c r="V45" s="8">
        <f t="shared" si="5"/>
        <v>6.1701206142470994E-4</v>
      </c>
      <c r="W45" s="3"/>
      <c r="X45" s="7">
        <f t="shared" si="6"/>
        <v>114.62</v>
      </c>
      <c r="Y45" s="3"/>
      <c r="Z45" s="8">
        <f t="shared" si="7"/>
        <v>0.35918648741813169</v>
      </c>
    </row>
    <row r="46" spans="1:26" s="68" customFormat="1" ht="15" customHeight="1" outlineLevel="1" collapsed="1" x14ac:dyDescent="0.25">
      <c r="A46" s="26"/>
      <c r="B46" s="14" t="str">
        <f>CONCATENATE("     ","Rent                                              ")</f>
        <v xml:space="preserve">     Rent                                              </v>
      </c>
      <c r="C46" s="14"/>
      <c r="D46" s="2">
        <f>SUM(OSRRefD22_6x_0)</f>
        <v>800</v>
      </c>
      <c r="E46" s="2"/>
      <c r="F46" s="6">
        <f t="shared" si="0"/>
        <v>2.0845275939340248E-2</v>
      </c>
      <c r="G46" s="2"/>
      <c r="H46" s="2">
        <f>SUM(OSRRefH22_6x_0)</f>
        <v>800</v>
      </c>
      <c r="I46" s="2"/>
      <c r="J46" s="6">
        <f t="shared" si="1"/>
        <v>2.018519920268463E-2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8800</v>
      </c>
      <c r="Q46" s="2"/>
      <c r="R46" s="6">
        <f t="shared" si="4"/>
        <v>2.009820714856686E-2</v>
      </c>
      <c r="S46" s="2"/>
      <c r="T46" s="2">
        <f>SUM(OSRRefT22_6x_0)</f>
        <v>8800</v>
      </c>
      <c r="U46" s="2"/>
      <c r="V46" s="6">
        <f t="shared" si="5"/>
        <v>1.7015155089271559E-2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25">
      <c r="A47" s="25"/>
      <c r="B47" s="12" t="str">
        <f>CONCATENATE("          ","6273"," - ","RENT")</f>
        <v xml:space="preserve">          6273 - RENT</v>
      </c>
      <c r="C47" s="12"/>
      <c r="D47" s="7">
        <v>800</v>
      </c>
      <c r="E47" s="3"/>
      <c r="F47" s="8">
        <f t="shared" si="0"/>
        <v>2.0845275939340248E-2</v>
      </c>
      <c r="G47" s="3"/>
      <c r="H47" s="7">
        <v>800</v>
      </c>
      <c r="I47" s="3"/>
      <c r="J47" s="8">
        <f t="shared" si="1"/>
        <v>2.018519920268463E-2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>
        <v>8800</v>
      </c>
      <c r="Q47" s="3"/>
      <c r="R47" s="8">
        <f t="shared" si="4"/>
        <v>2.009820714856686E-2</v>
      </c>
      <c r="S47" s="3"/>
      <c r="T47" s="7">
        <v>8800</v>
      </c>
      <c r="U47" s="3"/>
      <c r="V47" s="8">
        <f t="shared" si="5"/>
        <v>1.7015155089271559E-2</v>
      </c>
      <c r="W47" s="3"/>
      <c r="X47" s="7">
        <f t="shared" si="6"/>
        <v>0</v>
      </c>
      <c r="Y47" s="3"/>
      <c r="Z47" s="8">
        <f t="shared" si="7"/>
        <v>0</v>
      </c>
    </row>
    <row r="48" spans="1:26" s="68" customFormat="1" ht="15" customHeight="1" outlineLevel="1" collapsed="1" x14ac:dyDescent="0.25">
      <c r="A48" s="26"/>
      <c r="B48" s="14" t="str">
        <f>CONCATENATE("     ","Repair and Maintenance                            ")</f>
        <v xml:space="preserve">     Repair and Maintenance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5436</v>
      </c>
      <c r="I48" s="2"/>
      <c r="J48" s="6">
        <f t="shared" si="1"/>
        <v>0.13715842858224206</v>
      </c>
      <c r="K48" s="2"/>
      <c r="L48" s="2">
        <f t="shared" si="2"/>
        <v>-5436</v>
      </c>
      <c r="M48" s="2"/>
      <c r="N48" s="6">
        <f t="shared" si="3"/>
        <v>-1</v>
      </c>
      <c r="O48" s="14"/>
      <c r="P48" s="2">
        <f>SUM(OSRRefP22_7x_0)</f>
        <v>131139.97</v>
      </c>
      <c r="Q48" s="2"/>
      <c r="R48" s="6">
        <f t="shared" si="4"/>
        <v>0.2995088957405504</v>
      </c>
      <c r="S48" s="2"/>
      <c r="T48" s="2">
        <f>SUM(OSRRefT22_7x_0)</f>
        <v>154932.13</v>
      </c>
      <c r="U48" s="2"/>
      <c r="V48" s="6">
        <f t="shared" si="5"/>
        <v>0.29956752502967987</v>
      </c>
      <c r="W48" s="2"/>
      <c r="X48" s="2">
        <f t="shared" si="6"/>
        <v>-23792.160000000003</v>
      </c>
      <c r="Y48" s="2"/>
      <c r="Z48" s="6">
        <f t="shared" si="7"/>
        <v>-0.15356504812784799</v>
      </c>
    </row>
    <row r="49" spans="1:26" s="69" customFormat="1" ht="15" hidden="1" customHeight="1" outlineLevel="2" x14ac:dyDescent="0.25">
      <c r="A49" s="25"/>
      <c r="B49" s="12" t="str">
        <f>CONCATENATE("          ","6371"," - ","COMPUTER SOFTWARE MAINTENANCE")</f>
        <v xml:space="preserve">          6371 - COMPUTER SOFTWARE MAINTENANCE</v>
      </c>
      <c r="C49" s="12"/>
      <c r="D49" s="7"/>
      <c r="E49" s="3"/>
      <c r="F49" s="8">
        <f t="shared" si="0"/>
        <v>0</v>
      </c>
      <c r="G49" s="3"/>
      <c r="H49" s="7">
        <v>5436</v>
      </c>
      <c r="I49" s="3"/>
      <c r="J49" s="8">
        <f t="shared" si="1"/>
        <v>0.13715842858224206</v>
      </c>
      <c r="K49" s="3"/>
      <c r="L49" s="7">
        <f t="shared" si="2"/>
        <v>-5436</v>
      </c>
      <c r="M49" s="3"/>
      <c r="N49" s="8">
        <f t="shared" si="3"/>
        <v>-1</v>
      </c>
      <c r="O49" s="12"/>
      <c r="P49" s="7">
        <v>7583.7</v>
      </c>
      <c r="Q49" s="3"/>
      <c r="R49" s="8">
        <f t="shared" si="4"/>
        <v>1.7320315176430283E-2</v>
      </c>
      <c r="S49" s="3"/>
      <c r="T49" s="7">
        <v>5436</v>
      </c>
      <c r="U49" s="3"/>
      <c r="V49" s="8">
        <f t="shared" si="5"/>
        <v>1.0510725348327294E-2</v>
      </c>
      <c r="W49" s="3"/>
      <c r="X49" s="7">
        <f t="shared" si="6"/>
        <v>2147.6999999999998</v>
      </c>
      <c r="Y49" s="3"/>
      <c r="Z49" s="8">
        <f t="shared" si="7"/>
        <v>0.39508830022075053</v>
      </c>
    </row>
    <row r="50" spans="1:26" s="69" customFormat="1" ht="15" hidden="1" customHeight="1" outlineLevel="2" x14ac:dyDescent="0.25">
      <c r="A50" s="25"/>
      <c r="B50" s="12" t="str">
        <f>CONCATENATE("          ","6372"," - ","COMPUTER HARDWARE MAINTENANCE")</f>
        <v xml:space="preserve">          6372 - COMPUTER HARDWARE MAINTENANCE</v>
      </c>
      <c r="C50" s="12"/>
      <c r="D50" s="7"/>
      <c r="E50" s="3"/>
      <c r="F50" s="8">
        <f t="shared" si="0"/>
        <v>0</v>
      </c>
      <c r="G50" s="3"/>
      <c r="H50" s="7"/>
      <c r="I50" s="3"/>
      <c r="J50" s="8">
        <f t="shared" si="1"/>
        <v>0</v>
      </c>
      <c r="K50" s="3"/>
      <c r="L50" s="7">
        <f t="shared" si="2"/>
        <v>0</v>
      </c>
      <c r="M50" s="3"/>
      <c r="N50" s="8">
        <f t="shared" si="3"/>
        <v>0</v>
      </c>
      <c r="O50" s="12"/>
      <c r="P50" s="7">
        <v>1555.65</v>
      </c>
      <c r="Q50" s="3"/>
      <c r="R50" s="8">
        <f t="shared" si="4"/>
        <v>3.5529290853031862E-3</v>
      </c>
      <c r="S50" s="3"/>
      <c r="T50" s="7"/>
      <c r="U50" s="3"/>
      <c r="V50" s="8">
        <f t="shared" si="5"/>
        <v>0</v>
      </c>
      <c r="W50" s="3"/>
      <c r="X50" s="7">
        <f t="shared" si="6"/>
        <v>1555.65</v>
      </c>
      <c r="Y50" s="3"/>
      <c r="Z50" s="8">
        <f t="shared" si="7"/>
        <v>0</v>
      </c>
    </row>
    <row r="51" spans="1:26" s="69" customFormat="1" ht="15" hidden="1" customHeight="1" outlineLevel="2" x14ac:dyDescent="0.25">
      <c r="A51" s="25"/>
      <c r="B51" s="12" t="str">
        <f>CONCATENATE("          ","6373"," - ","MAINTENANCE CONTRACTS")</f>
        <v xml:space="preserve">          6373 - MAINTENANCE CONTRACTS</v>
      </c>
      <c r="C51" s="12"/>
      <c r="D51" s="7"/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122000.62</v>
      </c>
      <c r="Q51" s="3"/>
      <c r="R51" s="8">
        <f t="shared" si="4"/>
        <v>0.27863565147881691</v>
      </c>
      <c r="S51" s="3"/>
      <c r="T51" s="7">
        <v>142934.13</v>
      </c>
      <c r="U51" s="3"/>
      <c r="V51" s="8">
        <f t="shared" si="5"/>
        <v>0.27636890789773894</v>
      </c>
      <c r="W51" s="3"/>
      <c r="X51" s="7">
        <f t="shared" si="6"/>
        <v>-20933.510000000009</v>
      </c>
      <c r="Y51" s="3"/>
      <c r="Z51" s="8">
        <f t="shared" si="7"/>
        <v>-0.14645564358911345</v>
      </c>
    </row>
    <row r="52" spans="1:26" s="69" customFormat="1" ht="15" hidden="1" customHeight="1" outlineLevel="2" x14ac:dyDescent="0.25">
      <c r="A52" s="25"/>
      <c r="B52" s="12" t="str">
        <f>CONCATENATE("          ","6375"," - ","OUTSIDE REPAIRS &amp; MAINTENANCE")</f>
        <v xml:space="preserve">          6375 - OUTSIDE REPAIRS &amp; MAINTENANCE</v>
      </c>
      <c r="C52" s="12"/>
      <c r="D52" s="7"/>
      <c r="E52" s="3"/>
      <c r="F52" s="8">
        <f t="shared" si="0"/>
        <v>0</v>
      </c>
      <c r="G52" s="3"/>
      <c r="H52" s="7"/>
      <c r="I52" s="3"/>
      <c r="J52" s="8">
        <f t="shared" si="1"/>
        <v>0</v>
      </c>
      <c r="K52" s="3"/>
      <c r="L52" s="7">
        <f t="shared" si="2"/>
        <v>0</v>
      </c>
      <c r="M52" s="3"/>
      <c r="N52" s="8">
        <f t="shared" si="3"/>
        <v>0</v>
      </c>
      <c r="O52" s="12"/>
      <c r="P52" s="7"/>
      <c r="Q52" s="3"/>
      <c r="R52" s="8">
        <f t="shared" si="4"/>
        <v>0</v>
      </c>
      <c r="S52" s="3"/>
      <c r="T52" s="7">
        <v>6562</v>
      </c>
      <c r="U52" s="3"/>
      <c r="V52" s="8">
        <f t="shared" si="5"/>
        <v>1.2687891783613632E-2</v>
      </c>
      <c r="W52" s="3"/>
      <c r="X52" s="7">
        <f t="shared" si="6"/>
        <v>-6562</v>
      </c>
      <c r="Y52" s="3"/>
      <c r="Z52" s="8">
        <f t="shared" si="7"/>
        <v>-1</v>
      </c>
    </row>
    <row r="53" spans="1:26" s="68" customFormat="1" ht="15" customHeight="1" outlineLevel="1" collapsed="1" x14ac:dyDescent="0.25">
      <c r="A53" s="26"/>
      <c r="B53" s="14" t="str">
        <f>CONCATENATE("     ","Subscriptions &amp; Dues                              ")</f>
        <v xml:space="preserve">     Subscriptions &amp; Dues                              </v>
      </c>
      <c r="C53" s="14"/>
      <c r="D53" s="2">
        <f>SUM(OSRRefD22_8x_0)</f>
        <v>935</v>
      </c>
      <c r="E53" s="2"/>
      <c r="F53" s="6">
        <f t="shared" si="0"/>
        <v>2.4362916254103913E-2</v>
      </c>
      <c r="G53" s="2"/>
      <c r="H53" s="2">
        <f>SUM(OSRRefH22_8x_0)</f>
        <v>0</v>
      </c>
      <c r="I53" s="2"/>
      <c r="J53" s="6">
        <f t="shared" si="1"/>
        <v>0</v>
      </c>
      <c r="K53" s="2"/>
      <c r="L53" s="2">
        <f t="shared" si="2"/>
        <v>935</v>
      </c>
      <c r="M53" s="2"/>
      <c r="N53" s="6">
        <f t="shared" si="3"/>
        <v>0</v>
      </c>
      <c r="O53" s="14"/>
      <c r="P53" s="2">
        <f>SUM(OSRRefP22_8x_0)</f>
        <v>935</v>
      </c>
      <c r="Q53" s="2"/>
      <c r="R53" s="6">
        <f t="shared" si="4"/>
        <v>2.135434509535229E-3</v>
      </c>
      <c r="S53" s="2"/>
      <c r="T53" s="2">
        <f>SUM(OSRRefT22_8x_0)</f>
        <v>0</v>
      </c>
      <c r="U53" s="2"/>
      <c r="V53" s="6">
        <f t="shared" si="5"/>
        <v>0</v>
      </c>
      <c r="W53" s="2"/>
      <c r="X53" s="2">
        <f t="shared" si="6"/>
        <v>935</v>
      </c>
      <c r="Y53" s="2"/>
      <c r="Z53" s="6">
        <f t="shared" si="7"/>
        <v>0</v>
      </c>
    </row>
    <row r="54" spans="1:26" s="69" customFormat="1" ht="15" hidden="1" customHeight="1" outlineLevel="2" x14ac:dyDescent="0.25">
      <c r="A54" s="25"/>
      <c r="B54" s="12" t="str">
        <f>CONCATENATE("          ","6258"," - ","MEMBERSHIP DUES")</f>
        <v xml:space="preserve">          6258 - MEMBERSHIP DUES</v>
      </c>
      <c r="C54" s="12"/>
      <c r="D54" s="7">
        <v>935</v>
      </c>
      <c r="E54" s="3"/>
      <c r="F54" s="8">
        <f t="shared" si="0"/>
        <v>2.4362916254103913E-2</v>
      </c>
      <c r="G54" s="3"/>
      <c r="H54" s="7"/>
      <c r="I54" s="3"/>
      <c r="J54" s="8">
        <f t="shared" si="1"/>
        <v>0</v>
      </c>
      <c r="K54" s="3"/>
      <c r="L54" s="7">
        <f t="shared" si="2"/>
        <v>935</v>
      </c>
      <c r="M54" s="3"/>
      <c r="N54" s="8">
        <f t="shared" si="3"/>
        <v>0</v>
      </c>
      <c r="O54" s="12"/>
      <c r="P54" s="7">
        <v>935</v>
      </c>
      <c r="Q54" s="3"/>
      <c r="R54" s="8">
        <f t="shared" si="4"/>
        <v>2.135434509535229E-3</v>
      </c>
      <c r="S54" s="3"/>
      <c r="T54" s="7"/>
      <c r="U54" s="3"/>
      <c r="V54" s="8">
        <f t="shared" si="5"/>
        <v>0</v>
      </c>
      <c r="W54" s="3"/>
      <c r="X54" s="7">
        <f t="shared" si="6"/>
        <v>935</v>
      </c>
      <c r="Y54" s="3"/>
      <c r="Z54" s="8">
        <f t="shared" si="7"/>
        <v>0</v>
      </c>
    </row>
    <row r="55" spans="1:26" s="68" customFormat="1" ht="15" customHeight="1" outlineLevel="1" collapsed="1" x14ac:dyDescent="0.25">
      <c r="A55" s="26"/>
      <c r="B55" s="14" t="str">
        <f>CONCATENATE("     ","Supplies                                          ")</f>
        <v xml:space="preserve">     Supplies                                          </v>
      </c>
      <c r="C55" s="14"/>
      <c r="D55" s="2">
        <f>SUM(OSRRefD22_9x_0)</f>
        <v>16751.38</v>
      </c>
      <c r="E55" s="2"/>
      <c r="F55" s="6">
        <f t="shared" si="0"/>
        <v>0.43648392308093181</v>
      </c>
      <c r="G55" s="2"/>
      <c r="H55" s="2">
        <f>SUM(OSRRefH22_9x_0)</f>
        <v>4277.7</v>
      </c>
      <c r="I55" s="2"/>
      <c r="J55" s="6">
        <f t="shared" si="1"/>
        <v>0.10793278328665505</v>
      </c>
      <c r="K55" s="2"/>
      <c r="L55" s="2">
        <f t="shared" si="2"/>
        <v>12473.68</v>
      </c>
      <c r="M55" s="2"/>
      <c r="N55" s="6">
        <f t="shared" si="3"/>
        <v>2.9159782125908786</v>
      </c>
      <c r="O55" s="14"/>
      <c r="P55" s="2">
        <f>SUM(OSRRefP22_9x_0)</f>
        <v>46366.909999999996</v>
      </c>
      <c r="Q55" s="2"/>
      <c r="R55" s="6">
        <f t="shared" si="4"/>
        <v>0.10589679113851774</v>
      </c>
      <c r="S55" s="2"/>
      <c r="T55" s="2">
        <f>SUM(OSRRefT22_9x_0)</f>
        <v>48839.59</v>
      </c>
      <c r="U55" s="2"/>
      <c r="V55" s="6">
        <f t="shared" si="5"/>
        <v>9.4433317993913204E-2</v>
      </c>
      <c r="W55" s="2"/>
      <c r="X55" s="2">
        <f t="shared" si="6"/>
        <v>-2472.6800000000003</v>
      </c>
      <c r="Y55" s="2"/>
      <c r="Z55" s="6">
        <f t="shared" si="7"/>
        <v>-5.0628598643027115E-2</v>
      </c>
    </row>
    <row r="56" spans="1:26" s="69" customFormat="1" ht="15" hidden="1" customHeight="1" outlineLevel="2" x14ac:dyDescent="0.25">
      <c r="A56" s="25"/>
      <c r="B56" s="12" t="str">
        <f>CONCATENATE("          ","6241"," - ","OFFICE EXPENSE")</f>
        <v xml:space="preserve">          6241 - OFFICE EXPENSE</v>
      </c>
      <c r="C56" s="12"/>
      <c r="D56" s="7">
        <v>16751.38</v>
      </c>
      <c r="E56" s="3"/>
      <c r="F56" s="8">
        <f t="shared" si="0"/>
        <v>0.43648392308093181</v>
      </c>
      <c r="G56" s="3"/>
      <c r="H56" s="7">
        <v>4277.7</v>
      </c>
      <c r="I56" s="3"/>
      <c r="J56" s="8">
        <f t="shared" si="1"/>
        <v>0.10793278328665505</v>
      </c>
      <c r="K56" s="3"/>
      <c r="L56" s="7">
        <f t="shared" si="2"/>
        <v>12473.68</v>
      </c>
      <c r="M56" s="3"/>
      <c r="N56" s="8">
        <f t="shared" si="3"/>
        <v>2.9159782125908786</v>
      </c>
      <c r="O56" s="12"/>
      <c r="P56" s="7">
        <v>46341.56</v>
      </c>
      <c r="Q56" s="3"/>
      <c r="R56" s="8">
        <f t="shared" si="4"/>
        <v>0.10583889459860682</v>
      </c>
      <c r="S56" s="3"/>
      <c r="T56" s="7">
        <v>48839.59</v>
      </c>
      <c r="U56" s="3"/>
      <c r="V56" s="8">
        <f t="shared" si="5"/>
        <v>9.4433317993913204E-2</v>
      </c>
      <c r="W56" s="3"/>
      <c r="X56" s="7">
        <f t="shared" si="6"/>
        <v>-2498.0299999999988</v>
      </c>
      <c r="Y56" s="3"/>
      <c r="Z56" s="8">
        <f t="shared" si="7"/>
        <v>-5.1147644769335678E-2</v>
      </c>
    </row>
    <row r="57" spans="1:26" s="69" customFormat="1" ht="15" hidden="1" customHeight="1" outlineLevel="2" x14ac:dyDescent="0.25">
      <c r="A57" s="25"/>
      <c r="B57" s="12" t="str">
        <f>CONCATENATE("          ","6247"," - ","STORE SUPPLIES")</f>
        <v xml:space="preserve">          6247 - STORE SUPPLIES</v>
      </c>
      <c r="C57" s="12"/>
      <c r="D57" s="7"/>
      <c r="E57" s="3"/>
      <c r="F57" s="8">
        <f t="shared" si="0"/>
        <v>0</v>
      </c>
      <c r="G57" s="3"/>
      <c r="H57" s="7"/>
      <c r="I57" s="3"/>
      <c r="J57" s="8">
        <f t="shared" si="1"/>
        <v>0</v>
      </c>
      <c r="K57" s="3"/>
      <c r="L57" s="7">
        <f t="shared" si="2"/>
        <v>0</v>
      </c>
      <c r="M57" s="3"/>
      <c r="N57" s="8">
        <f t="shared" si="3"/>
        <v>0</v>
      </c>
      <c r="O57" s="12"/>
      <c r="P57" s="7">
        <v>25.35</v>
      </c>
      <c r="Q57" s="3"/>
      <c r="R57" s="8">
        <f t="shared" si="4"/>
        <v>5.78965399109284E-5</v>
      </c>
      <c r="S57" s="3"/>
      <c r="T57" s="7"/>
      <c r="U57" s="3"/>
      <c r="V57" s="8">
        <f t="shared" si="5"/>
        <v>0</v>
      </c>
      <c r="W57" s="3"/>
      <c r="X57" s="7">
        <f t="shared" si="6"/>
        <v>25.35</v>
      </c>
      <c r="Y57" s="3"/>
      <c r="Z57" s="8">
        <f t="shared" si="7"/>
        <v>0</v>
      </c>
    </row>
    <row r="58" spans="1:26" s="68" customFormat="1" ht="15" customHeight="1" outlineLevel="1" collapsed="1" x14ac:dyDescent="0.25">
      <c r="A58" s="26"/>
      <c r="B58" s="14" t="str">
        <f>CONCATENATE("     ","Telephone/Data Lines                              ")</f>
        <v xml:space="preserve">     Telephone/Data Lines                              </v>
      </c>
      <c r="C58" s="14"/>
      <c r="D58" s="2">
        <f>SUM(OSRRefD22_10x_0)</f>
        <v>40.799999999999997</v>
      </c>
      <c r="E58" s="2"/>
      <c r="F58" s="6">
        <f t="shared" si="0"/>
        <v>1.0631090729063526E-3</v>
      </c>
      <c r="G58" s="2"/>
      <c r="H58" s="2">
        <f>SUM(OSRRefH22_10x_0)</f>
        <v>87.8</v>
      </c>
      <c r="I58" s="2"/>
      <c r="J58" s="6">
        <f t="shared" si="1"/>
        <v>2.2153256124946381E-3</v>
      </c>
      <c r="K58" s="2"/>
      <c r="L58" s="2">
        <f t="shared" si="2"/>
        <v>-47</v>
      </c>
      <c r="M58" s="2"/>
      <c r="N58" s="6">
        <f t="shared" si="3"/>
        <v>-0.53530751708428248</v>
      </c>
      <c r="O58" s="14"/>
      <c r="P58" s="2">
        <f>SUM(OSRRefP22_10x_0)</f>
        <v>464.49</v>
      </c>
      <c r="Q58" s="2"/>
      <c r="R58" s="6">
        <f t="shared" si="4"/>
        <v>1.0608427543679342E-3</v>
      </c>
      <c r="S58" s="2"/>
      <c r="T58" s="2">
        <f>SUM(OSRRefT22_10x_0)</f>
        <v>1886.73</v>
      </c>
      <c r="U58" s="2"/>
      <c r="V58" s="6">
        <f t="shared" si="5"/>
        <v>3.6480685865433325E-3</v>
      </c>
      <c r="W58" s="2"/>
      <c r="X58" s="2">
        <f t="shared" si="6"/>
        <v>-1422.24</v>
      </c>
      <c r="Y58" s="2"/>
      <c r="Z58" s="6">
        <f t="shared" si="7"/>
        <v>-0.75381215118220413</v>
      </c>
    </row>
    <row r="59" spans="1:26" s="69" customFormat="1" ht="15" hidden="1" customHeight="1" outlineLevel="2" x14ac:dyDescent="0.25">
      <c r="A59" s="25"/>
      <c r="B59" s="12" t="str">
        <f>CONCATENATE("          ","6309"," - ","TELEPHONE")</f>
        <v xml:space="preserve">          6309 - TELEPHONE</v>
      </c>
      <c r="C59" s="12"/>
      <c r="D59" s="7">
        <v>40.799999999999997</v>
      </c>
      <c r="E59" s="3"/>
      <c r="F59" s="8">
        <f t="shared" si="0"/>
        <v>1.0631090729063526E-3</v>
      </c>
      <c r="G59" s="3"/>
      <c r="H59" s="7">
        <v>87.8</v>
      </c>
      <c r="I59" s="3"/>
      <c r="J59" s="8">
        <f t="shared" si="1"/>
        <v>2.2153256124946381E-3</v>
      </c>
      <c r="K59" s="3"/>
      <c r="L59" s="7">
        <f t="shared" si="2"/>
        <v>-47</v>
      </c>
      <c r="M59" s="3"/>
      <c r="N59" s="8">
        <f t="shared" si="3"/>
        <v>-0.53530751708428248</v>
      </c>
      <c r="O59" s="12"/>
      <c r="P59" s="7">
        <v>464.49</v>
      </c>
      <c r="Q59" s="3"/>
      <c r="R59" s="8">
        <f t="shared" si="4"/>
        <v>1.0608427543679342E-3</v>
      </c>
      <c r="S59" s="3"/>
      <c r="T59" s="7">
        <v>1886.73</v>
      </c>
      <c r="U59" s="3"/>
      <c r="V59" s="8">
        <f t="shared" si="5"/>
        <v>3.6480685865433325E-3</v>
      </c>
      <c r="W59" s="3"/>
      <c r="X59" s="7">
        <f t="shared" si="6"/>
        <v>-1422.24</v>
      </c>
      <c r="Y59" s="3"/>
      <c r="Z59" s="8">
        <f t="shared" si="7"/>
        <v>-0.75381215118220413</v>
      </c>
    </row>
    <row r="60" spans="1:26" s="68" customFormat="1" ht="15" customHeight="1" outlineLevel="1" collapsed="1" x14ac:dyDescent="0.25">
      <c r="A60" s="26"/>
      <c r="B60" s="14" t="str">
        <f>CONCATENATE("     ","Training                                          ")</f>
        <v xml:space="preserve">     Training                                          </v>
      </c>
      <c r="C60" s="14"/>
      <c r="D60" s="2">
        <f>SUM(OSRRefD22_11x_0)</f>
        <v>0</v>
      </c>
      <c r="E60" s="2"/>
      <c r="F60" s="6">
        <f t="shared" si="0"/>
        <v>0</v>
      </c>
      <c r="G60" s="2"/>
      <c r="H60" s="2">
        <f>SUM(OSRRefH22_11x_0)</f>
        <v>0</v>
      </c>
      <c r="I60" s="2"/>
      <c r="J60" s="6">
        <f t="shared" si="1"/>
        <v>0</v>
      </c>
      <c r="K60" s="2"/>
      <c r="L60" s="2">
        <f t="shared" si="2"/>
        <v>0</v>
      </c>
      <c r="M60" s="2"/>
      <c r="N60" s="6">
        <f t="shared" si="3"/>
        <v>0</v>
      </c>
      <c r="O60" s="14"/>
      <c r="P60" s="2">
        <f>SUM(OSRRefP22_11x_0)</f>
        <v>2000</v>
      </c>
      <c r="Q60" s="2"/>
      <c r="R60" s="6">
        <f t="shared" si="4"/>
        <v>4.5677743519470142E-3</v>
      </c>
      <c r="S60" s="2"/>
      <c r="T60" s="2">
        <f>SUM(OSRRefT22_11x_0)</f>
        <v>0</v>
      </c>
      <c r="U60" s="2"/>
      <c r="V60" s="6">
        <f t="shared" si="5"/>
        <v>0</v>
      </c>
      <c r="W60" s="2"/>
      <c r="X60" s="2">
        <f t="shared" si="6"/>
        <v>2000</v>
      </c>
      <c r="Y60" s="2"/>
      <c r="Z60" s="6">
        <f t="shared" si="7"/>
        <v>0</v>
      </c>
    </row>
    <row r="61" spans="1:26" s="69" customFormat="1" ht="15" hidden="1" customHeight="1" outlineLevel="2" x14ac:dyDescent="0.25">
      <c r="A61" s="25"/>
      <c r="B61" s="12" t="str">
        <f>CONCATENATE("          ","6376"," - ","TRAINING")</f>
        <v xml:space="preserve">          6376 - TRAINING</v>
      </c>
      <c r="C61" s="12"/>
      <c r="D61" s="7"/>
      <c r="E61" s="3"/>
      <c r="F61" s="8">
        <f t="shared" si="0"/>
        <v>0</v>
      </c>
      <c r="G61" s="3"/>
      <c r="H61" s="7"/>
      <c r="I61" s="3"/>
      <c r="J61" s="8">
        <f t="shared" si="1"/>
        <v>0</v>
      </c>
      <c r="K61" s="3"/>
      <c r="L61" s="7">
        <f t="shared" si="2"/>
        <v>0</v>
      </c>
      <c r="M61" s="3"/>
      <c r="N61" s="8">
        <f t="shared" si="3"/>
        <v>0</v>
      </c>
      <c r="O61" s="12"/>
      <c r="P61" s="7">
        <v>2000</v>
      </c>
      <c r="Q61" s="3"/>
      <c r="R61" s="8">
        <f t="shared" si="4"/>
        <v>4.5677743519470142E-3</v>
      </c>
      <c r="S61" s="3"/>
      <c r="T61" s="7"/>
      <c r="U61" s="3"/>
      <c r="V61" s="8">
        <f t="shared" si="5"/>
        <v>0</v>
      </c>
      <c r="W61" s="3"/>
      <c r="X61" s="7">
        <f t="shared" si="6"/>
        <v>2000</v>
      </c>
      <c r="Y61" s="3"/>
      <c r="Z61" s="8">
        <f t="shared" si="7"/>
        <v>0</v>
      </c>
    </row>
    <row r="62" spans="1:26" s="64" customFormat="1" ht="15" customHeight="1" x14ac:dyDescent="0.25">
      <c r="A62" s="36"/>
      <c r="B62" s="36"/>
      <c r="C62" s="36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36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62" customFormat="1" ht="15" customHeight="1" collapsed="1" x14ac:dyDescent="0.25">
      <c r="A63" s="11"/>
      <c r="B63" s="28" t="s">
        <v>290</v>
      </c>
      <c r="C63" s="11"/>
      <c r="D63" s="5">
        <f>SUM(OSRRefD25x_0)</f>
        <v>1351.76</v>
      </c>
      <c r="E63" s="5"/>
      <c r="F63" s="13">
        <f>IF(D$12=0,0,D63/D$12)</f>
        <v>3.5222262754703214E-2</v>
      </c>
      <c r="G63" s="5"/>
      <c r="H63" s="5">
        <f>SUM(OSRRefH25x_0)</f>
        <v>338.23</v>
      </c>
      <c r="I63" s="5"/>
      <c r="J63" s="13">
        <f>IF(H$12=0,0,H63/H$12)</f>
        <v>8.5340499079050291E-3</v>
      </c>
      <c r="K63" s="5"/>
      <c r="L63" s="5">
        <f>+D63-H63</f>
        <v>1013.53</v>
      </c>
      <c r="M63" s="5"/>
      <c r="N63" s="13">
        <f>IF(H63=0,0,L63/H63)</f>
        <v>2.9965703811016171</v>
      </c>
      <c r="O63" s="11"/>
      <c r="P63" s="5">
        <f>SUM(OSRRefP25x_0)</f>
        <v>12568.64</v>
      </c>
      <c r="Q63" s="5"/>
      <c r="R63" s="13">
        <f>IF(P$12=0,0,P63/P$12)</f>
        <v>2.8705355715427656E-2</v>
      </c>
      <c r="S63" s="5"/>
      <c r="T63" s="5">
        <f>SUM(OSRRefT25x_0)</f>
        <v>2498.35</v>
      </c>
      <c r="U63" s="5"/>
      <c r="V63" s="13">
        <f>IF(T$12=0,0,T63/T$12)</f>
        <v>4.8306605360547272E-3</v>
      </c>
      <c r="W63" s="5"/>
      <c r="X63" s="5">
        <f>+P63-T63</f>
        <v>10070.289999999999</v>
      </c>
      <c r="Y63" s="5"/>
      <c r="Z63" s="13">
        <f>IF(T63=0,0,X63/T63)</f>
        <v>4.0307763123661617</v>
      </c>
    </row>
    <row r="64" spans="1:26" s="69" customFormat="1" ht="15" hidden="1" customHeight="1" outlineLevel="1" x14ac:dyDescent="0.25">
      <c r="A64" s="42"/>
      <c r="B64" s="12" t="str">
        <f>CONCATENATE("          ","9150"," - ","MISC. INCOME")</f>
        <v xml:space="preserve">          9150 - MISC. INCOME</v>
      </c>
      <c r="C64" s="12"/>
      <c r="D64" s="3">
        <f>--1351.76</f>
        <v>1351.76</v>
      </c>
      <c r="E64" s="3"/>
      <c r="F64" s="20">
        <f>IF(D$12=0,0,D64/D$12)</f>
        <v>3.5222262754703214E-2</v>
      </c>
      <c r="G64" s="3"/>
      <c r="H64" s="3">
        <f>--338.23</f>
        <v>338.23</v>
      </c>
      <c r="I64" s="3"/>
      <c r="J64" s="20">
        <f>IF(H$12=0,0,H64/H$12)</f>
        <v>8.5340499079050291E-3</v>
      </c>
      <c r="K64" s="3"/>
      <c r="L64" s="3">
        <f>+D64-H64</f>
        <v>1013.53</v>
      </c>
      <c r="M64" s="3"/>
      <c r="N64" s="20">
        <f>IF(H64=0,0,L64/H64)</f>
        <v>2.9965703811016171</v>
      </c>
      <c r="O64" s="12"/>
      <c r="P64" s="3">
        <f>--12568.64</f>
        <v>12568.64</v>
      </c>
      <c r="Q64" s="3"/>
      <c r="R64" s="20">
        <f>IF(P$12=0,0,P64/P$12)</f>
        <v>2.8705355715427656E-2</v>
      </c>
      <c r="S64" s="3"/>
      <c r="T64" s="3">
        <f>--2498.35</f>
        <v>2498.35</v>
      </c>
      <c r="U64" s="3"/>
      <c r="V64" s="20">
        <f>IF(T$12=0,0,T64/T$12)</f>
        <v>4.8306605360547272E-3</v>
      </c>
      <c r="W64" s="3"/>
      <c r="X64" s="3">
        <f>+P64-T64</f>
        <v>10070.289999999999</v>
      </c>
      <c r="Y64" s="3"/>
      <c r="Z64" s="20">
        <f>IF(T64=0,0,X64/T64)</f>
        <v>4.0307763123661617</v>
      </c>
    </row>
    <row r="65" spans="1:26" ht="15" customHeight="1" x14ac:dyDescent="0.25">
      <c r="A65" s="10"/>
      <c r="B65" s="11"/>
      <c r="C65" s="11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O65" s="11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25">
      <c r="A66" s="11"/>
      <c r="B66" s="27" t="s">
        <v>291</v>
      </c>
      <c r="C66" s="27"/>
      <c r="D66" s="22">
        <f>+D17-D19+D63</f>
        <v>569.33999999998719</v>
      </c>
      <c r="E66" s="15"/>
      <c r="F66" s="23">
        <f>IF(D$12=0,0,D66/D$12)</f>
        <v>1.4835061754129636E-2</v>
      </c>
      <c r="G66" s="15"/>
      <c r="H66" s="22">
        <f>+H17-H19+H63</f>
        <v>8426.4399999999987</v>
      </c>
      <c r="I66" s="15"/>
      <c r="J66" s="23">
        <f>IF(H$12=0,0,H66/H$12)</f>
        <v>0.21261171246183733</v>
      </c>
      <c r="K66" s="16"/>
      <c r="L66" s="22">
        <f>+D66-H66</f>
        <v>-7857.1000000000113</v>
      </c>
      <c r="M66" s="16"/>
      <c r="N66" s="23">
        <f>IF(H66=0,0,L66/H66)</f>
        <v>-0.93243410028434459</v>
      </c>
      <c r="O66" s="28"/>
      <c r="P66" s="22">
        <f>+P17-P19+P63</f>
        <v>45253.61000000003</v>
      </c>
      <c r="Q66" s="15"/>
      <c r="R66" s="23">
        <f>IF(P$12=0,0,P66/P$12)</f>
        <v>0.10335413954550653</v>
      </c>
      <c r="S66" s="15"/>
      <c r="T66" s="22">
        <f>+T17-T19+T63</f>
        <v>99906.260000000038</v>
      </c>
      <c r="U66" s="15"/>
      <c r="V66" s="23">
        <f>IF(T$12=0,0,T66/T$12)</f>
        <v>0.19317278503285093</v>
      </c>
      <c r="W66" s="16"/>
      <c r="X66" s="22">
        <f>+P66-T66</f>
        <v>-54652.650000000009</v>
      </c>
      <c r="Y66" s="16"/>
      <c r="Z66" s="23">
        <f>IF(T66=0,0,X66/T66)</f>
        <v>-0.54703929463479051</v>
      </c>
    </row>
    <row r="67" spans="1:26" ht="15" customHeight="1" x14ac:dyDescent="0.25">
      <c r="A67" s="10"/>
      <c r="B67" s="11"/>
      <c r="C67" s="10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25">
      <c r="A68" s="48"/>
      <c r="B68" s="11" t="s">
        <v>292</v>
      </c>
      <c r="C68" s="11"/>
      <c r="D68" s="5">
        <v>3971.7</v>
      </c>
      <c r="E68" s="5"/>
      <c r="F68" s="13">
        <f>IF(D$12=0,0,D68/D$12)</f>
        <v>0.10348897806034707</v>
      </c>
      <c r="G68" s="5"/>
      <c r="H68" s="5">
        <v>10611.71</v>
      </c>
      <c r="I68" s="5"/>
      <c r="J68" s="13">
        <f>IF(H$12=0,0,H68/H$12)</f>
        <v>0.26774935028890062</v>
      </c>
      <c r="K68" s="5"/>
      <c r="L68" s="5">
        <f>+D68-H68</f>
        <v>-6640.0099999999993</v>
      </c>
      <c r="M68" s="5"/>
      <c r="N68" s="13">
        <f>IF(H68=0,0,L68/H68)</f>
        <v>-0.62572478893599615</v>
      </c>
      <c r="O68" s="11"/>
      <c r="P68" s="5">
        <v>49225.440000000002</v>
      </c>
      <c r="Q68" s="5"/>
      <c r="R68" s="13">
        <f>IF(P$12=0,0,P68/P$12)</f>
        <v>0.11242535114765331</v>
      </c>
      <c r="S68" s="5"/>
      <c r="T68" s="5">
        <v>110517.74</v>
      </c>
      <c r="U68" s="5"/>
      <c r="V68" s="13">
        <f>IF(T$12=0,0,T68/T$12)</f>
        <v>0.21369050979724896</v>
      </c>
      <c r="W68" s="5"/>
      <c r="X68" s="5">
        <f>+P68-T68</f>
        <v>-61292.3</v>
      </c>
      <c r="Y68" s="5"/>
      <c r="Z68" s="13">
        <f>IF(T68=0,0,X68/T68)</f>
        <v>-0.55459241204172294</v>
      </c>
    </row>
    <row r="69" spans="1:26" ht="15" customHeight="1" x14ac:dyDescent="0.25">
      <c r="A69" s="10"/>
      <c r="B69" s="11"/>
      <c r="C69" s="11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O69" s="11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s="62" customFormat="1" ht="15" customHeight="1" x14ac:dyDescent="0.25">
      <c r="A70" s="11"/>
      <c r="B70" s="27" t="s">
        <v>293</v>
      </c>
      <c r="C70" s="27"/>
      <c r="D70" s="35">
        <f>+D66-D68</f>
        <v>-3402.3600000000124</v>
      </c>
      <c r="E70" s="15"/>
      <c r="F70" s="30">
        <f>IF(D$12=0,0,D70/D$12)</f>
        <v>-8.8653916306217426E-2</v>
      </c>
      <c r="G70" s="15"/>
      <c r="H70" s="35">
        <f>+H66-H68</f>
        <v>-2185.2700000000004</v>
      </c>
      <c r="I70" s="15"/>
      <c r="J70" s="30">
        <f>IF(H$12=0,0,H70/H$12)</f>
        <v>-5.5137637827063317E-2</v>
      </c>
      <c r="K70" s="16"/>
      <c r="L70" s="35">
        <f>D70-H70</f>
        <v>-1217.090000000012</v>
      </c>
      <c r="M70" s="16"/>
      <c r="N70" s="30">
        <f>IF(H70=0,0,L70/H70)</f>
        <v>0.55695177254985051</v>
      </c>
      <c r="O70" s="28"/>
      <c r="P70" s="35">
        <f>+P66-P68</f>
        <v>-3971.8299999999726</v>
      </c>
      <c r="Q70" s="15"/>
      <c r="R70" s="30">
        <f>IF(P$12=0,0,P70/P$12)</f>
        <v>-9.0712116021467917E-3</v>
      </c>
      <c r="S70" s="15"/>
      <c r="T70" s="35">
        <f>+T66-T68</f>
        <v>-10611.479999999967</v>
      </c>
      <c r="U70" s="15"/>
      <c r="V70" s="30">
        <f>IF(T$12=0,0,T70/T$12)</f>
        <v>-2.0517724764398042E-2</v>
      </c>
      <c r="W70" s="16"/>
      <c r="X70" s="35">
        <f>P70-T70</f>
        <v>6639.6499999999942</v>
      </c>
      <c r="Y70" s="16"/>
      <c r="Z70" s="30">
        <f>IF(T70=0,0,X70/T70)</f>
        <v>-0.62570442577284369</v>
      </c>
    </row>
    <row r="71" spans="1:26" ht="15" customHeight="1" x14ac:dyDescent="0.25">
      <c r="A71" s="10"/>
      <c r="B71" s="10"/>
      <c r="C71" s="10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ht="15" customHeight="1" x14ac:dyDescent="0.25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s="62" customFormat="1" ht="15" customHeight="1" x14ac:dyDescent="0.25">
      <c r="A73" s="11"/>
      <c r="B73" s="27" t="s">
        <v>296</v>
      </c>
      <c r="C73" s="27"/>
      <c r="D73" s="32">
        <f>SUM(D70:D72)</f>
        <v>-3402.3600000000124</v>
      </c>
      <c r="E73" s="15"/>
      <c r="F73" s="34">
        <f>IF(D$12=0,0,D73/D$12)</f>
        <v>-8.8653916306217426E-2</v>
      </c>
      <c r="G73" s="15"/>
      <c r="H73" s="32">
        <f>SUM(H70:H72)</f>
        <v>-2185.2700000000004</v>
      </c>
      <c r="I73" s="15"/>
      <c r="J73" s="34">
        <f>IF(H$12=0,0,H73/H$12)</f>
        <v>-5.5137637827063317E-2</v>
      </c>
      <c r="K73" s="16"/>
      <c r="L73" s="32">
        <f>+D73-H73</f>
        <v>-1217.090000000012</v>
      </c>
      <c r="M73" s="16"/>
      <c r="N73" s="34">
        <f>IF(H73=0,0,L73/H73)</f>
        <v>0.55695177254985051</v>
      </c>
      <c r="O73" s="28"/>
      <c r="P73" s="32">
        <f>SUM(P70:P72)</f>
        <v>-3971.8299999999726</v>
      </c>
      <c r="Q73" s="15"/>
      <c r="R73" s="34">
        <f>IF(P$12=0,0,P73/P$12)</f>
        <v>-9.0712116021467917E-3</v>
      </c>
      <c r="S73" s="15"/>
      <c r="T73" s="32">
        <f>SUM(T70:T72)</f>
        <v>-10611.479999999967</v>
      </c>
      <c r="U73" s="15"/>
      <c r="V73" s="34">
        <f>IF(T$12=0,0,T73/T$12)</f>
        <v>-2.0517724764398042E-2</v>
      </c>
      <c r="W73" s="16"/>
      <c r="X73" s="32">
        <f>+P73-T73</f>
        <v>6639.6499999999942</v>
      </c>
      <c r="Y73" s="16"/>
      <c r="Z73" s="34">
        <f>IF(T73=0,0,X73/T73)</f>
        <v>-0.62570442577284369</v>
      </c>
    </row>
    <row r="74" spans="1:26" ht="15" customHeight="1" x14ac:dyDescent="0.25">
      <c r="A74" s="10"/>
      <c r="C74" s="10"/>
      <c r="D74" s="18"/>
      <c r="E74" s="18"/>
      <c r="G74" s="18"/>
      <c r="H74" s="18"/>
      <c r="I74" s="18"/>
      <c r="J74" s="41"/>
      <c r="K74" s="18"/>
      <c r="L74" s="18"/>
      <c r="M74" s="18"/>
      <c r="P74" s="18"/>
      <c r="Q74" s="18"/>
      <c r="R74" s="41"/>
      <c r="S74" s="18"/>
      <c r="T74" s="18"/>
      <c r="U74" s="18"/>
      <c r="V74" s="41"/>
      <c r="W74" s="18"/>
      <c r="X74" s="18"/>
    </row>
    <row r="75" spans="1:26" ht="15" customHeight="1" x14ac:dyDescent="0.25">
      <c r="A75" s="10"/>
      <c r="B75" s="50">
        <v>44727.879654085649</v>
      </c>
      <c r="D75" s="18"/>
      <c r="E75" s="18"/>
      <c r="G75" s="18"/>
      <c r="H75" s="18"/>
      <c r="I75" s="18"/>
      <c r="J75" s="41"/>
      <c r="K75" s="18"/>
      <c r="L75" s="18"/>
      <c r="M75" s="18"/>
      <c r="P75" s="18"/>
      <c r="Q75" s="18"/>
      <c r="R75" s="41"/>
      <c r="S75" s="18"/>
      <c r="T75" s="18"/>
      <c r="U75" s="18"/>
      <c r="V75" s="41"/>
      <c r="W75" s="18"/>
      <c r="X75" s="18"/>
    </row>
    <row r="76" spans="1:26" ht="15" customHeight="1" x14ac:dyDescent="0.25">
      <c r="A76" s="10"/>
      <c r="B76" s="53" t="s">
        <v>297</v>
      </c>
      <c r="D76" s="18"/>
      <c r="E76" s="18"/>
      <c r="G76" s="18"/>
      <c r="H76" s="18"/>
      <c r="I76" s="18"/>
      <c r="J76" s="41"/>
      <c r="K76" s="18"/>
      <c r="L76" s="18"/>
      <c r="M76" s="18"/>
      <c r="P76" s="18"/>
      <c r="Q76" s="18"/>
      <c r="R76" s="41"/>
      <c r="S76" s="18"/>
      <c r="T76" s="18"/>
      <c r="U76" s="18"/>
      <c r="V76" s="41"/>
      <c r="W76" s="18"/>
      <c r="X76" s="18"/>
    </row>
    <row r="77" spans="1:26" ht="15" customHeight="1" x14ac:dyDescent="0.25">
      <c r="A77" s="10"/>
      <c r="B77" s="55"/>
      <c r="D77" s="18"/>
      <c r="E77" s="18"/>
      <c r="G77" s="18"/>
      <c r="H77" s="18"/>
      <c r="I77" s="18"/>
      <c r="J77" s="41"/>
      <c r="K77" s="18"/>
      <c r="L77" s="18"/>
      <c r="M77" s="18"/>
      <c r="P77" s="18"/>
      <c r="Q77" s="18"/>
      <c r="R77" s="41"/>
      <c r="S77" s="18"/>
      <c r="T77" s="18"/>
      <c r="U77" s="18"/>
      <c r="V77" s="41"/>
      <c r="W77" s="18"/>
      <c r="X77" s="18"/>
    </row>
    <row r="78" spans="1:26" ht="15" customHeight="1" x14ac:dyDescent="0.25">
      <c r="D78" s="18"/>
      <c r="E78" s="18"/>
      <c r="G78" s="18"/>
      <c r="H78" s="18"/>
      <c r="I78" s="18"/>
      <c r="J78" s="41"/>
      <c r="K78" s="18"/>
      <c r="L78" s="18"/>
      <c r="M78" s="18"/>
      <c r="P78" s="18"/>
      <c r="Q78" s="18"/>
      <c r="R78" s="41"/>
      <c r="S78" s="18"/>
      <c r="T78" s="18"/>
      <c r="U78" s="18"/>
      <c r="V78" s="41"/>
      <c r="W78" s="18"/>
      <c r="X7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CECDD-D9BE-9441-5467-E41A42554298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FEDFB-B078-5972-684D-B8B6FCED0C0D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FF507-DE53-2933-E422-5970CD54E823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5" customWidth="1"/>
    <col min="2" max="2" width="33.42578125" style="65" customWidth="1"/>
    <col min="3" max="3" width="1.85546875" style="65" customWidth="1"/>
    <col min="4" max="4" width="15" style="65" customWidth="1"/>
    <col min="5" max="5" width="1.85546875" style="65" customWidth="1" outlineLevel="1"/>
    <col min="6" max="6" width="15" style="66" customWidth="1" outlineLevel="1"/>
    <col min="7" max="7" width="1.85546875" style="65" customWidth="1" outlineLevel="1"/>
    <col min="8" max="8" width="15" style="65" customWidth="1" outlineLevel="1"/>
    <col min="9" max="9" width="1.85546875" style="65" customWidth="1" outlineLevel="1"/>
    <col min="10" max="10" width="15" style="67" customWidth="1" outlineLevel="1"/>
    <col min="11" max="11" width="1.85546875" style="65" customWidth="1" outlineLevel="1"/>
    <col min="12" max="12" width="15" style="65" customWidth="1" outlineLevel="1"/>
    <col min="13" max="13" width="1.85546875" style="65" customWidth="1" outlineLevel="1"/>
    <col min="14" max="14" width="15" style="66" customWidth="1" outlineLevel="1"/>
    <col min="15" max="15" width="1.85546875" style="63" customWidth="1"/>
    <col min="16" max="16" width="15" style="65" customWidth="1"/>
    <col min="17" max="17" width="1.85546875" style="65" customWidth="1" outlineLevel="1"/>
    <col min="18" max="18" width="15" style="67" customWidth="1" outlineLevel="1"/>
    <col min="19" max="19" width="1.85546875" style="65" customWidth="1" outlineLevel="1"/>
    <col min="20" max="20" width="15" style="65" customWidth="1" outlineLevel="1"/>
    <col min="21" max="21" width="1.85546875" style="65" customWidth="1" outlineLevel="1"/>
    <col min="22" max="22" width="15" style="67" customWidth="1" outlineLevel="1"/>
    <col min="23" max="23" width="1.85546875" style="65" customWidth="1" outlineLevel="1"/>
    <col min="24" max="24" width="15" style="65" customWidth="1" outlineLevel="1"/>
    <col min="25" max="25" width="1.85546875" style="65" customWidth="1" outlineLevel="1"/>
    <col min="26" max="26" width="15" style="67" customWidth="1" outlineLevel="1"/>
  </cols>
  <sheetData>
    <row r="2" spans="1:26" ht="15" customHeight="1" x14ac:dyDescent="0.25">
      <c r="D2" s="54" t="s">
        <v>276</v>
      </c>
    </row>
    <row r="3" spans="1:26" ht="15" customHeight="1" x14ac:dyDescent="0.25">
      <c r="D3" s="54" t="s">
        <v>277</v>
      </c>
      <c r="E3" s="19"/>
      <c r="F3" s="46"/>
      <c r="G3" s="19"/>
      <c r="H3" s="19"/>
      <c r="I3" s="19"/>
      <c r="J3" s="38"/>
      <c r="K3" s="19"/>
      <c r="L3" s="19"/>
      <c r="M3" s="19"/>
      <c r="N3" s="46"/>
      <c r="O3" s="52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8"/>
      <c r="K4" s="19"/>
      <c r="L4" s="19"/>
      <c r="M4" s="19"/>
      <c r="N4" s="46"/>
      <c r="O4" s="52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25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8"/>
      <c r="K5" s="19"/>
      <c r="L5" s="19"/>
      <c r="M5" s="19"/>
      <c r="N5" s="46"/>
      <c r="O5" s="52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25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6"/>
      <c r="G6" s="19"/>
      <c r="H6" s="19"/>
      <c r="I6" s="19"/>
      <c r="J6" s="38"/>
      <c r="K6" s="19"/>
      <c r="L6" s="19"/>
      <c r="M6" s="19"/>
      <c r="N6" s="46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25">
      <c r="B7" s="57"/>
    </row>
    <row r="8" spans="1:26" ht="15" customHeight="1" x14ac:dyDescent="0.25">
      <c r="B8" s="57"/>
    </row>
    <row r="9" spans="1:26" ht="15" customHeight="1" x14ac:dyDescent="0.25">
      <c r="B9" s="10"/>
      <c r="C9" s="10"/>
      <c r="D9" s="17" t="s">
        <v>279</v>
      </c>
      <c r="E9" s="17"/>
      <c r="F9" s="37"/>
      <c r="G9" s="17"/>
      <c r="H9" s="17"/>
      <c r="I9" s="17"/>
      <c r="J9" s="43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3"/>
      <c r="W9" s="17"/>
      <c r="X9" s="17"/>
      <c r="Y9" s="17"/>
      <c r="Z9" s="37"/>
    </row>
    <row r="10" spans="1:26" ht="15" customHeight="1" x14ac:dyDescent="0.25">
      <c r="A10" s="11"/>
      <c r="B10" s="49"/>
      <c r="C10" s="11"/>
      <c r="D10" s="40" t="s">
        <v>281</v>
      </c>
      <c r="E10" s="29"/>
      <c r="F10" s="33" t="s">
        <v>282</v>
      </c>
      <c r="G10" s="29"/>
      <c r="H10" s="45" t="s">
        <v>283</v>
      </c>
      <c r="I10" s="29"/>
      <c r="J10" s="33" t="s">
        <v>282</v>
      </c>
      <c r="K10" s="11"/>
      <c r="L10" s="40" t="s">
        <v>284</v>
      </c>
      <c r="M10" s="11"/>
      <c r="N10" s="33" t="s">
        <v>285</v>
      </c>
      <c r="O10" s="11"/>
      <c r="P10" s="58" t="s">
        <v>281</v>
      </c>
      <c r="Q10" s="29"/>
      <c r="R10" s="33" t="s">
        <v>282</v>
      </c>
      <c r="S10" s="29"/>
      <c r="T10" s="45" t="s">
        <v>283</v>
      </c>
      <c r="U10" s="29"/>
      <c r="V10" s="33" t="s">
        <v>282</v>
      </c>
      <c r="W10" s="11"/>
      <c r="X10" s="40" t="s">
        <v>284</v>
      </c>
      <c r="Y10" s="11"/>
      <c r="Z10" s="33" t="s">
        <v>285</v>
      </c>
    </row>
    <row r="11" spans="1:26" ht="16.5" customHeight="1" x14ac:dyDescent="0.25">
      <c r="A11" s="10"/>
      <c r="B11" s="56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25">
      <c r="A12" s="11"/>
      <c r="B12" s="28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25">
      <c r="A15" s="11"/>
      <c r="B15" s="28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25">
      <c r="A18" s="11"/>
      <c r="B18" s="27" t="s">
        <v>288</v>
      </c>
      <c r="C18" s="27"/>
      <c r="D18" s="22" t="e">
        <f ca="1">D12-D15</f>
        <v>#NAME?</v>
      </c>
      <c r="E18" s="15"/>
      <c r="F18" s="23" t="e">
        <f ca="1">IF(D$12=0,0,D18/D$12)</f>
        <v>#NAME?</v>
      </c>
      <c r="G18" s="15"/>
      <c r="H18" s="22" t="e">
        <f ca="1">H12-H15</f>
        <v>#NAME?</v>
      </c>
      <c r="I18" s="15"/>
      <c r="J18" s="23" t="e">
        <f ca="1">IF(H$12=0,0,H18/H$12)</f>
        <v>#NAME?</v>
      </c>
      <c r="K18" s="16"/>
      <c r="L18" s="22" t="e">
        <f ca="1">+D18-H18</f>
        <v>#NAME?</v>
      </c>
      <c r="M18" s="16"/>
      <c r="N18" s="23" t="e">
        <f ca="1">IF(H18=0,0,L18/H18)</f>
        <v>#NAME?</v>
      </c>
      <c r="O18" s="28"/>
      <c r="P18" s="22" t="e">
        <f ca="1">P12-P15</f>
        <v>#NAME?</v>
      </c>
      <c r="Q18" s="15"/>
      <c r="R18" s="23" t="e">
        <f ca="1">IF(P$12=0,0,P18/P$12)</f>
        <v>#NAME?</v>
      </c>
      <c r="S18" s="15"/>
      <c r="T18" s="22" t="e">
        <f ca="1">T12-T15</f>
        <v>#NAME?</v>
      </c>
      <c r="U18" s="15"/>
      <c r="V18" s="23" t="e">
        <f ca="1">IF(T$12=0,0,T18/T$12)</f>
        <v>#NAME?</v>
      </c>
      <c r="W18" s="16"/>
      <c r="X18" s="22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25">
      <c r="A20" s="11"/>
      <c r="B20" s="28" t="s">
        <v>289</v>
      </c>
      <c r="C20" s="11"/>
      <c r="D20" s="21" t="e">
        <f ca="1">SUM(_xll.ONESTOP.REPORTPLAYER.OSRFUNCTIONS.OSRREF(D22))</f>
        <v>#NAME?</v>
      </c>
      <c r="E20" s="21"/>
      <c r="F20" s="31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ca="1">IF(H$12=0,0,H20/H$12)</f>
        <v>#NAME?</v>
      </c>
      <c r="K20" s="5"/>
      <c r="L20" s="21" t="e">
        <f ca="1">+D20-H20</f>
        <v>#NAME?</v>
      </c>
      <c r="M20" s="5"/>
      <c r="N20" s="31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ca="1">IF(T$12=0,0,T20/T$12)</f>
        <v>#NAME?</v>
      </c>
      <c r="W20" s="5"/>
      <c r="X20" s="21" t="e">
        <f ca="1">+P20-T20</f>
        <v>#NAME?</v>
      </c>
      <c r="Y20" s="5"/>
      <c r="Z20" s="31" t="e">
        <f ca="1">IF(T20=0,0,X20/T20)</f>
        <v>#NAME?</v>
      </c>
    </row>
    <row r="21" spans="1:26" s="68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4" customFormat="1" ht="15" customHeight="1" x14ac:dyDescent="0.25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25">
      <c r="A24" s="11"/>
      <c r="B24" s="28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25">
      <c r="A27" s="11"/>
      <c r="B27" s="27" t="s">
        <v>291</v>
      </c>
      <c r="C27" s="27"/>
      <c r="D27" s="22" t="e">
        <f ca="1">+D18-D20+D24</f>
        <v>#NAME?</v>
      </c>
      <c r="E27" s="15"/>
      <c r="F27" s="23" t="e">
        <f ca="1">IF(D$12=0,0,D27/D$12)</f>
        <v>#NAME?</v>
      </c>
      <c r="G27" s="15"/>
      <c r="H27" s="22" t="e">
        <f ca="1">+H18-H20+H24</f>
        <v>#NAME?</v>
      </c>
      <c r="I27" s="15"/>
      <c r="J27" s="23" t="e">
        <f ca="1">IF(H$12=0,0,H27/H$12)</f>
        <v>#NAME?</v>
      </c>
      <c r="K27" s="16"/>
      <c r="L27" s="22" t="e">
        <f ca="1">+D27-H27</f>
        <v>#NAME?</v>
      </c>
      <c r="M27" s="16"/>
      <c r="N27" s="23" t="e">
        <f ca="1">IF(H27=0,0,L27/H27)</f>
        <v>#NAME?</v>
      </c>
      <c r="O27" s="28"/>
      <c r="P27" s="22" t="e">
        <f ca="1">+P18-P20+P24</f>
        <v>#NAME?</v>
      </c>
      <c r="Q27" s="15"/>
      <c r="R27" s="23" t="e">
        <f ca="1">IF(P$12=0,0,P27/P$12)</f>
        <v>#NAME?</v>
      </c>
      <c r="S27" s="15"/>
      <c r="T27" s="22" t="e">
        <f ca="1">+T18-T20+T24</f>
        <v>#NAME?</v>
      </c>
      <c r="U27" s="15"/>
      <c r="V27" s="23" t="e">
        <f ca="1">IF(T$12=0,0,T27/T$12)</f>
        <v>#NAME?</v>
      </c>
      <c r="W27" s="16"/>
      <c r="X27" s="22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25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25">
      <c r="A31" s="11"/>
      <c r="B31" s="27" t="s">
        <v>293</v>
      </c>
      <c r="C31" s="27"/>
      <c r="D31" s="35" t="e">
        <f ca="1">+D27-D29</f>
        <v>#NAME?</v>
      </c>
      <c r="E31" s="15"/>
      <c r="F31" s="30" t="e">
        <f ca="1">IF(D$12=0,0,D31/D$12)</f>
        <v>#NAME?</v>
      </c>
      <c r="G31" s="15"/>
      <c r="H31" s="35" t="e">
        <f ca="1">+H27-H29</f>
        <v>#NAME?</v>
      </c>
      <c r="I31" s="15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8"/>
      <c r="P31" s="35" t="e">
        <f ca="1">+P27-P29</f>
        <v>#NAME?</v>
      </c>
      <c r="Q31" s="15"/>
      <c r="R31" s="30" t="e">
        <f ca="1">IF(P$12=0,0,P31/P$12)</f>
        <v>#NAME?</v>
      </c>
      <c r="S31" s="15"/>
      <c r="T31" s="35" t="e">
        <f ca="1">+T27-T29</f>
        <v>#NAME?</v>
      </c>
      <c r="U31" s="15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25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25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25">
      <c r="A36" s="11"/>
      <c r="B36" s="27" t="s">
        <v>296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25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25">
      <c r="A39" s="10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25">
      <c r="A40" s="10"/>
      <c r="B40" s="55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3892</vt:i4>
      </vt:variant>
    </vt:vector>
  </HeadingPairs>
  <TitlesOfParts>
    <vt:vector size="3990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320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'414'!OSRRefD13x_0</vt:lpstr>
      <vt:lpstr>'415'!OSRRefD13x_0</vt:lpstr>
      <vt:lpstr>'420'!OSRRefD13x_0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'316'!OSRRefD16x_0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'414'!OSRRefD16x_0</vt:lpstr>
      <vt:lpstr>'415'!OSRRefD16x_0</vt:lpstr>
      <vt:lpstr>'418'!OSRRefD16x_0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'317'!OSRRefD22_11x_0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'317'!OSRRefD22_12x_0</vt:lpstr>
      <vt:lpstr>'321'!OSRRefD22_12x_0</vt:lpstr>
      <vt:lpstr>'325'!OSRRefD22_12x_0</vt:lpstr>
      <vt:lpstr>'326'!OSRRefD22_12x_0</vt:lpstr>
      <vt:lpstr>'331'!OSRRefD22_12x_0</vt:lpstr>
      <vt:lpstr>'332'!OSRRefD22_12x_0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'316'!OSRRefD22_13x_0</vt:lpstr>
      <vt:lpstr>'321'!OSRRefD22_13x_0</vt:lpstr>
      <vt:lpstr>'325'!OSRRefD22_13x_0</vt:lpstr>
      <vt:lpstr>'326'!OSRRefD22_13x_0</vt:lpstr>
      <vt:lpstr>'331'!OSRRefD22_13x_0</vt:lpstr>
      <vt:lpstr>'332'!OSRRefD22_13x_0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'411'!OSRRefD22_15x_0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'333'!OSRRefD22_16x_0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'333'!OSRRefD22_17x_0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'333'!OSRRefD22_21x_0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'331'!OSRRefD22_22x_0</vt:lpstr>
      <vt:lpstr>'333'!OSRRefD22_22x_0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'414'!OSRRefH13x_0</vt:lpstr>
      <vt:lpstr>'415'!OSRRefH13x_0</vt:lpstr>
      <vt:lpstr>'420'!OSRRefH13x_0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'316'!OSRRefH16x_0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'414'!OSRRefH16x_0</vt:lpstr>
      <vt:lpstr>'415'!OSRRefH16x_0</vt:lpstr>
      <vt:lpstr>'418'!OSRRefH16x_0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'317'!OSRRefH22_11x_0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'317'!OSRRefH22_12x_0</vt:lpstr>
      <vt:lpstr>'321'!OSRRefH22_12x_0</vt:lpstr>
      <vt:lpstr>'325'!OSRRefH22_12x_0</vt:lpstr>
      <vt:lpstr>'326'!OSRRefH22_12x_0</vt:lpstr>
      <vt:lpstr>'331'!OSRRefH22_12x_0</vt:lpstr>
      <vt:lpstr>'332'!OSRRefH22_12x_0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'316'!OSRRefH22_13x_0</vt:lpstr>
      <vt:lpstr>'321'!OSRRefH22_13x_0</vt:lpstr>
      <vt:lpstr>'325'!OSRRefH22_13x_0</vt:lpstr>
      <vt:lpstr>'326'!OSRRefH22_13x_0</vt:lpstr>
      <vt:lpstr>'331'!OSRRefH22_13x_0</vt:lpstr>
      <vt:lpstr>'332'!OSRRefH22_13x_0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'411'!OSRRefH22_15x_0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'333'!OSRRefH22_16x_0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'333'!OSRRefH22_17x_0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'333'!OSRRefH22_21x_0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'331'!OSRRefH22_22x_0</vt:lpstr>
      <vt:lpstr>'333'!OSRRefH22_22x_0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'414'!OSRRefP13x_0</vt:lpstr>
      <vt:lpstr>'415'!OSRRefP13x_0</vt:lpstr>
      <vt:lpstr>'420'!OSRRefP13x_0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'316'!OSRRefP16x_0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'414'!OSRRefP16x_0</vt:lpstr>
      <vt:lpstr>'415'!OSRRefP16x_0</vt:lpstr>
      <vt:lpstr>'418'!OSRRefP16x_0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'317'!OSRRefP22_11x_0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'317'!OSRRefP22_12x_0</vt:lpstr>
      <vt:lpstr>'321'!OSRRefP22_12x_0</vt:lpstr>
      <vt:lpstr>'325'!OSRRefP22_12x_0</vt:lpstr>
      <vt:lpstr>'326'!OSRRefP22_12x_0</vt:lpstr>
      <vt:lpstr>'331'!OSRRefP22_12x_0</vt:lpstr>
      <vt:lpstr>'332'!OSRRefP22_12x_0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'316'!OSRRefP22_13x_0</vt:lpstr>
      <vt:lpstr>'321'!OSRRefP22_13x_0</vt:lpstr>
      <vt:lpstr>'325'!OSRRefP22_13x_0</vt:lpstr>
      <vt:lpstr>'326'!OSRRefP22_13x_0</vt:lpstr>
      <vt:lpstr>'331'!OSRRefP22_13x_0</vt:lpstr>
      <vt:lpstr>'332'!OSRRefP22_13x_0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'411'!OSRRefP22_15x_0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'333'!OSRRefP22_16x_0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'333'!OSRRefP22_17x_0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'333'!OSRRefP22_21x_0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'331'!OSRRefP22_22x_0</vt:lpstr>
      <vt:lpstr>'333'!OSRRefP22_22x_0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'414'!OSRRefT13x_0</vt:lpstr>
      <vt:lpstr>'415'!OSRRefT13x_0</vt:lpstr>
      <vt:lpstr>'420'!OSRRefT13x_0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'316'!OSRRefT16x_0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'414'!OSRRefT16x_0</vt:lpstr>
      <vt:lpstr>'415'!OSRRefT16x_0</vt:lpstr>
      <vt:lpstr>'418'!OSRRefT16x_0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'317'!OSRRefT22_11x_0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'317'!OSRRefT22_12x_0</vt:lpstr>
      <vt:lpstr>'321'!OSRRefT22_12x_0</vt:lpstr>
      <vt:lpstr>'325'!OSRRefT22_12x_0</vt:lpstr>
      <vt:lpstr>'326'!OSRRefT22_12x_0</vt:lpstr>
      <vt:lpstr>'331'!OSRRefT22_12x_0</vt:lpstr>
      <vt:lpstr>'332'!OSRRefT22_12x_0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'316'!OSRRefT22_13x_0</vt:lpstr>
      <vt:lpstr>'321'!OSRRefT22_13x_0</vt:lpstr>
      <vt:lpstr>'325'!OSRRefT22_13x_0</vt:lpstr>
      <vt:lpstr>'326'!OSRRefT22_13x_0</vt:lpstr>
      <vt:lpstr>'331'!OSRRefT22_13x_0</vt:lpstr>
      <vt:lpstr>'332'!OSRRefT22_13x_0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'411'!OSRRefT22_15x_0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'333'!OSRRefT22_16x_0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'333'!OSRRefT22_17x_0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'333'!OSRRefT22_21x_0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'331'!OSRRefT22_22x_0</vt:lpstr>
      <vt:lpstr>'333'!OSRRefT22_22x_0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'OSR_331 (2)_...7280af70_1P5SPLT'!Print_Area</vt:lpstr>
      <vt:lpstr>OSR_331_10VKQAJ!Print_Area</vt:lpstr>
      <vt:lpstr>OSR_332_6NDVBW!Print_Area</vt:lpstr>
      <vt:lpstr>OSR_333_69UF5U!Print_Area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'OSR_331 (2)_...7280af70_1P5SPLT'!Print_Titles</vt:lpstr>
      <vt:lpstr>OSR_331_10VKQAJ!Print_Titles</vt:lpstr>
      <vt:lpstr>OSR_332_6NDVBW!Print_Titles</vt:lpstr>
      <vt:lpstr>OSR_333_69UF5U!Print_Titles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2022-06-15T21:08:22Z</dcterms:created>
  <dcterms:modified xsi:type="dcterms:W3CDTF">2022-06-15T21:19:42Z</dcterms:modified>
</cp:coreProperties>
</file>